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Default Extension="rels" ContentType="application/vnd.openxmlformats-package.relationships+xml"/>
  <Override PartName="/xl/worksheets/sheet11.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640" yWindow="520" windowWidth="27500" windowHeight="14760" firstSheet="4" activeTab="4"/>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Sheet1" sheetId="11" r:id="rId11"/>
    <sheet name="Sheet2" sheetId="12" r:id="rId12"/>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163" i="6"/>
  <c r="D155"/>
  <c r="A155"/>
  <c r="D154"/>
  <c r="A154"/>
  <c r="D153"/>
  <c r="A153"/>
  <c r="D152"/>
  <c r="A152"/>
  <c r="D151"/>
  <c r="A151"/>
  <c r="D150"/>
  <c r="A150"/>
  <c r="D149"/>
  <c r="A149"/>
  <c r="D148"/>
  <c r="A148"/>
  <c r="D147"/>
  <c r="A147"/>
  <c r="D146"/>
  <c r="A146"/>
  <c r="D145"/>
  <c r="A145"/>
  <c r="D144"/>
  <c r="A144"/>
  <c r="N143"/>
  <c r="L143"/>
  <c r="J143"/>
  <c r="H143"/>
  <c r="F143"/>
  <c r="D143"/>
  <c r="A143"/>
  <c r="D140"/>
  <c r="A138"/>
  <c r="D136"/>
  <c r="A136"/>
  <c r="D135"/>
  <c r="A135"/>
  <c r="D134"/>
  <c r="A134"/>
  <c r="D133"/>
  <c r="A133"/>
  <c r="D132"/>
  <c r="A132"/>
  <c r="D131"/>
  <c r="A131"/>
  <c r="D130"/>
  <c r="A130"/>
  <c r="D129"/>
  <c r="A129"/>
  <c r="D128"/>
  <c r="A128"/>
  <c r="D127"/>
  <c r="A127"/>
  <c r="D126"/>
  <c r="A126"/>
  <c r="D125"/>
  <c r="A125"/>
  <c r="D124"/>
  <c r="A124"/>
  <c r="D123"/>
  <c r="A123"/>
  <c r="D122"/>
  <c r="A122"/>
  <c r="N121"/>
  <c r="L121"/>
  <c r="J121"/>
  <c r="H121"/>
  <c r="F121"/>
  <c r="D121"/>
  <c r="A121"/>
  <c r="N120"/>
  <c r="L120"/>
  <c r="J120"/>
  <c r="H120"/>
  <c r="F120"/>
  <c r="D120"/>
  <c r="A120"/>
  <c r="N119"/>
  <c r="L119"/>
  <c r="J119"/>
  <c r="H119"/>
  <c r="F119"/>
  <c r="D119"/>
  <c r="D138"/>
  <c r="A119"/>
  <c r="A116"/>
  <c r="D114"/>
  <c r="A114"/>
  <c r="D113"/>
  <c r="A113"/>
  <c r="D112"/>
  <c r="A112"/>
  <c r="D111"/>
  <c r="A111"/>
  <c r="D110"/>
  <c r="A110"/>
  <c r="D109"/>
  <c r="A109"/>
  <c r="D108"/>
  <c r="A108"/>
  <c r="D107"/>
  <c r="A107"/>
  <c r="D106"/>
  <c r="A106"/>
  <c r="D105"/>
  <c r="A105"/>
  <c r="N104"/>
  <c r="L104"/>
  <c r="J104"/>
  <c r="H104"/>
  <c r="F104"/>
  <c r="D104"/>
  <c r="A104"/>
  <c r="D103"/>
  <c r="A103"/>
  <c r="N102"/>
  <c r="L102"/>
  <c r="J102"/>
  <c r="H102"/>
  <c r="F102"/>
  <c r="D102"/>
  <c r="A102"/>
  <c r="D101"/>
  <c r="A101"/>
  <c r="D100"/>
  <c r="A100"/>
  <c r="D99"/>
  <c r="A99"/>
  <c r="N98"/>
  <c r="L98"/>
  <c r="J98"/>
  <c r="H98"/>
  <c r="D98"/>
  <c r="A98"/>
  <c r="N97"/>
  <c r="L97"/>
  <c r="J97"/>
  <c r="H97"/>
  <c r="F97"/>
  <c r="D97"/>
  <c r="A97"/>
  <c r="N96"/>
  <c r="L96"/>
  <c r="J96"/>
  <c r="H96"/>
  <c r="D96"/>
  <c r="A96"/>
  <c r="N95"/>
  <c r="L95"/>
  <c r="J95"/>
  <c r="H95"/>
  <c r="D95"/>
  <c r="A95"/>
  <c r="A92"/>
  <c r="D90"/>
  <c r="A90"/>
  <c r="D89"/>
  <c r="A89"/>
  <c r="N88"/>
  <c r="L88"/>
  <c r="J88"/>
  <c r="H88"/>
  <c r="F88"/>
  <c r="D88"/>
  <c r="A88"/>
  <c r="D87"/>
  <c r="A87"/>
  <c r="N86"/>
  <c r="L86"/>
  <c r="J86"/>
  <c r="H86"/>
  <c r="F86"/>
  <c r="D86"/>
  <c r="A86"/>
  <c r="D85"/>
  <c r="A85"/>
  <c r="N84"/>
  <c r="L84"/>
  <c r="J84"/>
  <c r="H84"/>
  <c r="F84"/>
  <c r="D84"/>
  <c r="A84"/>
  <c r="D83"/>
  <c r="A83"/>
  <c r="N82"/>
  <c r="L82"/>
  <c r="J82"/>
  <c r="H82"/>
  <c r="F82"/>
  <c r="D82"/>
  <c r="A82"/>
  <c r="D81"/>
  <c r="A81"/>
  <c r="D80"/>
  <c r="A80"/>
  <c r="D79"/>
  <c r="A79"/>
  <c r="D78"/>
  <c r="A78"/>
  <c r="D77"/>
  <c r="A77"/>
  <c r="D76"/>
  <c r="A76"/>
  <c r="D75"/>
  <c r="A75"/>
  <c r="A74"/>
  <c r="A73"/>
  <c r="A72"/>
  <c r="D71"/>
  <c r="A71"/>
  <c r="D70"/>
  <c r="A70"/>
  <c r="A69"/>
  <c r="A64"/>
  <c r="D62"/>
  <c r="A62"/>
  <c r="D61"/>
  <c r="A61"/>
  <c r="D60"/>
  <c r="A60"/>
  <c r="D59"/>
  <c r="A59"/>
  <c r="D58"/>
  <c r="A58"/>
  <c r="F57"/>
  <c r="D57"/>
  <c r="A57"/>
  <c r="D56"/>
  <c r="A56"/>
  <c r="F55"/>
  <c r="D55"/>
  <c r="A55"/>
  <c r="D54"/>
  <c r="A54"/>
  <c r="D53"/>
  <c r="A53"/>
  <c r="D52"/>
  <c r="A52"/>
  <c r="N51"/>
  <c r="L51"/>
  <c r="J51"/>
  <c r="H51"/>
  <c r="F51"/>
  <c r="D51"/>
  <c r="A51"/>
  <c r="D50"/>
  <c r="A50"/>
  <c r="D49"/>
  <c r="A49"/>
  <c r="D48"/>
  <c r="A48"/>
  <c r="D47"/>
  <c r="A47"/>
  <c r="N46"/>
  <c r="L46"/>
  <c r="J46"/>
  <c r="H46"/>
  <c r="F46"/>
  <c r="D46"/>
  <c r="A46"/>
  <c r="H45"/>
  <c r="D45"/>
  <c r="A45"/>
  <c r="N44"/>
  <c r="L44"/>
  <c r="J44"/>
  <c r="H44"/>
  <c r="D44"/>
  <c r="A44"/>
  <c r="N43"/>
  <c r="L43"/>
  <c r="J43"/>
  <c r="H43"/>
  <c r="F43"/>
  <c r="D43"/>
  <c r="A43"/>
  <c r="D42"/>
  <c r="A42"/>
  <c r="D41"/>
  <c r="A41"/>
  <c r="D40"/>
  <c r="D64"/>
  <c r="A40"/>
  <c r="N33"/>
  <c r="L33"/>
  <c r="J33"/>
  <c r="H33"/>
  <c r="F33"/>
  <c r="D33"/>
  <c r="A33"/>
  <c r="N32"/>
  <c r="L32"/>
  <c r="J32"/>
  <c r="H32"/>
  <c r="F32"/>
  <c r="D32"/>
  <c r="A32"/>
  <c r="N31"/>
  <c r="L31"/>
  <c r="J31"/>
  <c r="H31"/>
  <c r="F31"/>
  <c r="D31"/>
  <c r="A31"/>
  <c r="N30"/>
  <c r="L30"/>
  <c r="J30"/>
  <c r="H30"/>
  <c r="F30"/>
  <c r="D30"/>
  <c r="A30"/>
  <c r="N29"/>
  <c r="L29"/>
  <c r="J29"/>
  <c r="H29"/>
  <c r="F29"/>
  <c r="D29"/>
  <c r="A29"/>
  <c r="N28"/>
  <c r="L28"/>
  <c r="J28"/>
  <c r="H28"/>
  <c r="D28"/>
  <c r="A28"/>
  <c r="N27"/>
  <c r="L27"/>
  <c r="J27"/>
  <c r="H27"/>
  <c r="F27"/>
  <c r="D27"/>
  <c r="A27"/>
  <c r="N26"/>
  <c r="L26"/>
  <c r="J26"/>
  <c r="H26"/>
  <c r="F26"/>
  <c r="D26"/>
  <c r="A26"/>
  <c r="N25"/>
  <c r="L25"/>
  <c r="J25"/>
  <c r="H25"/>
  <c r="F25"/>
  <c r="D25"/>
  <c r="A25"/>
  <c r="D24"/>
  <c r="A24"/>
  <c r="N23"/>
  <c r="L23"/>
  <c r="J23"/>
  <c r="H23"/>
  <c r="F23"/>
  <c r="D23"/>
  <c r="A23"/>
  <c r="N22"/>
  <c r="L22"/>
  <c r="J22"/>
  <c r="H22"/>
  <c r="F22"/>
  <c r="D22"/>
  <c r="A22"/>
  <c r="D21"/>
  <c r="A21"/>
  <c r="D20"/>
  <c r="A20"/>
  <c r="D19"/>
  <c r="A19"/>
  <c r="D18"/>
  <c r="A18"/>
  <c r="D17"/>
  <c r="A17"/>
  <c r="D16"/>
  <c r="A16"/>
  <c r="D15"/>
  <c r="A15"/>
  <c r="N14"/>
  <c r="L14"/>
  <c r="J14"/>
  <c r="H14"/>
  <c r="F14"/>
  <c r="D14"/>
  <c r="A14"/>
  <c r="D13"/>
  <c r="A13"/>
  <c r="N12"/>
  <c r="L12"/>
  <c r="J12"/>
  <c r="D12"/>
  <c r="A12"/>
  <c r="D11"/>
  <c r="A11"/>
  <c r="D10"/>
  <c r="D35"/>
  <c r="A10"/>
  <c r="D9"/>
  <c r="A1"/>
  <c r="N128"/>
  <c r="L128"/>
  <c r="J128"/>
  <c r="H128"/>
  <c r="F128"/>
  <c r="N126"/>
  <c r="L126"/>
  <c r="J126"/>
  <c r="H126"/>
  <c r="F126"/>
  <c r="N125"/>
  <c r="L125"/>
  <c r="J125"/>
  <c r="H125"/>
  <c r="N58"/>
  <c r="L58"/>
  <c r="J58"/>
  <c r="H58"/>
  <c r="F58"/>
  <c r="D116"/>
  <c r="D157"/>
  <c r="F176"/>
  <c r="J176"/>
  <c r="N176"/>
  <c r="F9"/>
  <c r="F175"/>
  <c r="P9"/>
  <c r="V39"/>
  <c r="H79"/>
  <c r="H81"/>
  <c r="H85"/>
  <c r="H89"/>
  <c r="H123"/>
  <c r="H127"/>
  <c r="H129"/>
  <c r="H131"/>
  <c r="H133"/>
  <c r="H135"/>
  <c r="H140"/>
  <c r="H145"/>
  <c r="H147"/>
  <c r="H149"/>
  <c r="H151"/>
  <c r="H153"/>
  <c r="H155"/>
  <c r="H41"/>
  <c r="H48"/>
  <c r="H50"/>
  <c r="H53"/>
  <c r="H56"/>
  <c r="H57"/>
  <c r="H59"/>
  <c r="H61"/>
  <c r="H100"/>
  <c r="H103"/>
  <c r="H106"/>
  <c r="H108"/>
  <c r="H110"/>
  <c r="H112"/>
  <c r="H114"/>
  <c r="H176"/>
  <c r="L176"/>
  <c r="H42"/>
  <c r="H47"/>
  <c r="H52"/>
  <c r="H55"/>
  <c r="H60"/>
  <c r="H62"/>
  <c r="H76"/>
  <c r="H80"/>
  <c r="H83"/>
  <c r="H87"/>
  <c r="H90"/>
  <c r="F95"/>
  <c r="F96"/>
  <c r="F98"/>
  <c r="F99"/>
  <c r="F100"/>
  <c r="F101"/>
  <c r="F103"/>
  <c r="F105"/>
  <c r="F106"/>
  <c r="F107"/>
  <c r="F108"/>
  <c r="F109"/>
  <c r="F110"/>
  <c r="F111"/>
  <c r="F112"/>
  <c r="F113"/>
  <c r="F114"/>
  <c r="F116"/>
  <c r="H99"/>
  <c r="H101"/>
  <c r="H105"/>
  <c r="H107"/>
  <c r="H109"/>
  <c r="H111"/>
  <c r="H113"/>
  <c r="H122"/>
  <c r="L122"/>
  <c r="L123"/>
  <c r="L124"/>
  <c r="L127"/>
  <c r="L129"/>
  <c r="L130"/>
  <c r="L131"/>
  <c r="L132"/>
  <c r="L133"/>
  <c r="L134"/>
  <c r="L135"/>
  <c r="L136"/>
  <c r="L138"/>
  <c r="H124"/>
  <c r="H130"/>
  <c r="H132"/>
  <c r="H134"/>
  <c r="H136"/>
  <c r="H144"/>
  <c r="H146"/>
  <c r="H148"/>
  <c r="H150"/>
  <c r="H152"/>
  <c r="H154"/>
  <c r="N99"/>
  <c r="N100"/>
  <c r="N101"/>
  <c r="N103"/>
  <c r="N105"/>
  <c r="N106"/>
  <c r="N107"/>
  <c r="N108"/>
  <c r="N109"/>
  <c r="N110"/>
  <c r="N111"/>
  <c r="N112"/>
  <c r="N113"/>
  <c r="N114"/>
  <c r="N116"/>
  <c r="J99"/>
  <c r="J100"/>
  <c r="J101"/>
  <c r="J103"/>
  <c r="J105"/>
  <c r="J106"/>
  <c r="J107"/>
  <c r="J108"/>
  <c r="J109"/>
  <c r="J110"/>
  <c r="J111"/>
  <c r="J112"/>
  <c r="J113"/>
  <c r="J114"/>
  <c r="J116"/>
  <c r="H116"/>
  <c r="L99"/>
  <c r="L100"/>
  <c r="L101"/>
  <c r="L103"/>
  <c r="L105"/>
  <c r="L106"/>
  <c r="L107"/>
  <c r="L108"/>
  <c r="L109"/>
  <c r="L110"/>
  <c r="L111"/>
  <c r="L112"/>
  <c r="L113"/>
  <c r="L114"/>
  <c r="L116"/>
  <c r="H138"/>
  <c r="F122"/>
  <c r="F123"/>
  <c r="F124"/>
  <c r="F125"/>
  <c r="F127"/>
  <c r="F129"/>
  <c r="F130"/>
  <c r="F131"/>
  <c r="F132"/>
  <c r="F133"/>
  <c r="F134"/>
  <c r="F135"/>
  <c r="F136"/>
  <c r="F138"/>
  <c r="J122"/>
  <c r="J123"/>
  <c r="J124"/>
  <c r="J127"/>
  <c r="J129"/>
  <c r="J130"/>
  <c r="J131"/>
  <c r="J132"/>
  <c r="J133"/>
  <c r="J134"/>
  <c r="J135"/>
  <c r="J136"/>
  <c r="J138"/>
  <c r="N122"/>
  <c r="N123"/>
  <c r="N124"/>
  <c r="N127"/>
  <c r="N129"/>
  <c r="N130"/>
  <c r="N131"/>
  <c r="N132"/>
  <c r="N133"/>
  <c r="N134"/>
  <c r="N135"/>
  <c r="N136"/>
  <c r="N138"/>
  <c r="H157"/>
  <c r="L144"/>
  <c r="L145"/>
  <c r="L146"/>
  <c r="L147"/>
  <c r="L148"/>
  <c r="L149"/>
  <c r="L150"/>
  <c r="L151"/>
  <c r="L152"/>
  <c r="L153"/>
  <c r="L154"/>
  <c r="L155"/>
  <c r="L157"/>
  <c r="F144"/>
  <c r="F145"/>
  <c r="F146"/>
  <c r="F147"/>
  <c r="F148"/>
  <c r="F149"/>
  <c r="F150"/>
  <c r="F151"/>
  <c r="F152"/>
  <c r="F153"/>
  <c r="F154"/>
  <c r="F155"/>
  <c r="F157"/>
  <c r="J144"/>
  <c r="J145"/>
  <c r="J146"/>
  <c r="J147"/>
  <c r="J148"/>
  <c r="J149"/>
  <c r="J150"/>
  <c r="J151"/>
  <c r="J152"/>
  <c r="J153"/>
  <c r="J154"/>
  <c r="J155"/>
  <c r="J157"/>
  <c r="N144"/>
  <c r="N145"/>
  <c r="N146"/>
  <c r="N147"/>
  <c r="N148"/>
  <c r="N149"/>
  <c r="N150"/>
  <c r="N151"/>
  <c r="N152"/>
  <c r="N153"/>
  <c r="N154"/>
  <c r="N155"/>
  <c r="N157"/>
  <c r="Q9"/>
  <c r="W39"/>
  <c r="H9"/>
  <c r="H175"/>
  <c r="J9"/>
  <c r="J175"/>
  <c r="R9"/>
  <c r="X39"/>
  <c r="L79"/>
  <c r="L81"/>
  <c r="L85"/>
  <c r="L89"/>
  <c r="L41"/>
  <c r="L45"/>
  <c r="L53"/>
  <c r="L57"/>
  <c r="L59"/>
  <c r="L61"/>
  <c r="L42"/>
  <c r="L52"/>
  <c r="L60"/>
  <c r="L62"/>
  <c r="L83"/>
  <c r="L87"/>
  <c r="L140"/>
  <c r="L48"/>
  <c r="L50"/>
  <c r="L56"/>
  <c r="L47"/>
  <c r="L55"/>
  <c r="L76"/>
  <c r="L80"/>
  <c r="L90"/>
  <c r="N76"/>
  <c r="N80"/>
  <c r="N90"/>
  <c r="N42"/>
  <c r="N52"/>
  <c r="N60"/>
  <c r="N62"/>
  <c r="N41"/>
  <c r="N45"/>
  <c r="N53"/>
  <c r="N57"/>
  <c r="N59"/>
  <c r="N61"/>
  <c r="N83"/>
  <c r="N87"/>
  <c r="N47"/>
  <c r="N55"/>
  <c r="N48"/>
  <c r="N50"/>
  <c r="N56"/>
  <c r="N79"/>
  <c r="N81"/>
  <c r="N85"/>
  <c r="N89"/>
  <c r="N140"/>
  <c r="F76"/>
  <c r="F80"/>
  <c r="F90"/>
  <c r="F42"/>
  <c r="F52"/>
  <c r="F60"/>
  <c r="F62"/>
  <c r="F41"/>
  <c r="F53"/>
  <c r="F59"/>
  <c r="F61"/>
  <c r="F83"/>
  <c r="F87"/>
  <c r="F45"/>
  <c r="F47"/>
  <c r="F44"/>
  <c r="F48"/>
  <c r="F50"/>
  <c r="F56"/>
  <c r="F79"/>
  <c r="F81"/>
  <c r="F85"/>
  <c r="F89"/>
  <c r="F140"/>
  <c r="S9"/>
  <c r="Y39"/>
  <c r="L9"/>
  <c r="L175"/>
  <c r="J76"/>
  <c r="J80"/>
  <c r="J90"/>
  <c r="J42"/>
  <c r="J52"/>
  <c r="J60"/>
  <c r="J62"/>
  <c r="J41"/>
  <c r="J45"/>
  <c r="J53"/>
  <c r="J57"/>
  <c r="J59"/>
  <c r="J61"/>
  <c r="J83"/>
  <c r="J87"/>
  <c r="J47"/>
  <c r="J55"/>
  <c r="J48"/>
  <c r="J50"/>
  <c r="J56"/>
  <c r="J79"/>
  <c r="J81"/>
  <c r="J85"/>
  <c r="J89"/>
  <c r="J140"/>
  <c r="H177"/>
  <c r="F177"/>
  <c r="N9"/>
  <c r="N175"/>
  <c r="T9"/>
  <c r="Z39"/>
  <c r="J177"/>
  <c r="L177"/>
  <c r="N177"/>
  <c r="F24"/>
  <c r="J24"/>
  <c r="H24"/>
  <c r="L24"/>
  <c r="N24"/>
  <c r="H178"/>
  <c r="W79"/>
  <c r="W81"/>
  <c r="W85"/>
  <c r="W89"/>
  <c r="W123"/>
  <c r="W125"/>
  <c r="W127"/>
  <c r="W129"/>
  <c r="W131"/>
  <c r="W133"/>
  <c r="W135"/>
  <c r="W140"/>
  <c r="W145"/>
  <c r="W147"/>
  <c r="W149"/>
  <c r="W151"/>
  <c r="W153"/>
  <c r="W155"/>
  <c r="W51"/>
  <c r="W41"/>
  <c r="W48"/>
  <c r="W50"/>
  <c r="W53"/>
  <c r="W56"/>
  <c r="W57"/>
  <c r="W59"/>
  <c r="W61"/>
  <c r="W100"/>
  <c r="W103"/>
  <c r="W106"/>
  <c r="W108"/>
  <c r="W110"/>
  <c r="W112"/>
  <c r="W114"/>
  <c r="W42"/>
  <c r="W47"/>
  <c r="W52"/>
  <c r="W55"/>
  <c r="W58"/>
  <c r="W60"/>
  <c r="W62"/>
  <c r="W76"/>
  <c r="W80"/>
  <c r="W83"/>
  <c r="W87"/>
  <c r="W90"/>
  <c r="W99"/>
  <c r="W101"/>
  <c r="W105"/>
  <c r="W107"/>
  <c r="W109"/>
  <c r="W111"/>
  <c r="W113"/>
  <c r="W122"/>
  <c r="W124"/>
  <c r="W126"/>
  <c r="W128"/>
  <c r="W130"/>
  <c r="W132"/>
  <c r="W134"/>
  <c r="W136"/>
  <c r="W144"/>
  <c r="W146"/>
  <c r="W148"/>
  <c r="W150"/>
  <c r="W152"/>
  <c r="W154"/>
  <c r="W43"/>
  <c r="W45"/>
  <c r="W44"/>
  <c r="W46"/>
  <c r="W102"/>
  <c r="W104"/>
  <c r="W84"/>
  <c r="W88"/>
  <c r="W82"/>
  <c r="W86"/>
  <c r="W97"/>
  <c r="W98"/>
  <c r="W120"/>
  <c r="L54"/>
  <c r="L178"/>
  <c r="Y54"/>
  <c r="H54"/>
  <c r="W54"/>
  <c r="N178"/>
  <c r="Z144"/>
  <c r="D72"/>
  <c r="D73"/>
  <c r="Z99"/>
  <c r="N54"/>
  <c r="Z54"/>
  <c r="W143"/>
  <c r="W157"/>
  <c r="W121"/>
  <c r="W96"/>
  <c r="W95"/>
  <c r="W116"/>
  <c r="Y79"/>
  <c r="Y81"/>
  <c r="Y85"/>
  <c r="Y89"/>
  <c r="Y123"/>
  <c r="Y125"/>
  <c r="Y127"/>
  <c r="Y129"/>
  <c r="Y131"/>
  <c r="Y133"/>
  <c r="Y135"/>
  <c r="Y145"/>
  <c r="Y147"/>
  <c r="Y151"/>
  <c r="Y153"/>
  <c r="Y155"/>
  <c r="Y51"/>
  <c r="Y41"/>
  <c r="Y45"/>
  <c r="Y53"/>
  <c r="Y57"/>
  <c r="Y59"/>
  <c r="Y61"/>
  <c r="Y103"/>
  <c r="Y42"/>
  <c r="Y52"/>
  <c r="Y58"/>
  <c r="Y60"/>
  <c r="Y62"/>
  <c r="Y83"/>
  <c r="Y87"/>
  <c r="Y99"/>
  <c r="Y101"/>
  <c r="Y105"/>
  <c r="Y107"/>
  <c r="Y109"/>
  <c r="Y111"/>
  <c r="Y113"/>
  <c r="Y124"/>
  <c r="Y126"/>
  <c r="Y128"/>
  <c r="Y130"/>
  <c r="Y132"/>
  <c r="Y134"/>
  <c r="Y136"/>
  <c r="Y144"/>
  <c r="Y146"/>
  <c r="Y148"/>
  <c r="Y150"/>
  <c r="Y152"/>
  <c r="Y154"/>
  <c r="Y46"/>
  <c r="Y84"/>
  <c r="Y88"/>
  <c r="Y96"/>
  <c r="Y97"/>
  <c r="Y102"/>
  <c r="Y121"/>
  <c r="Y120"/>
  <c r="Y140"/>
  <c r="Y149"/>
  <c r="Y48"/>
  <c r="Y50"/>
  <c r="Y56"/>
  <c r="Y100"/>
  <c r="Y106"/>
  <c r="Y108"/>
  <c r="Y110"/>
  <c r="Y112"/>
  <c r="Y114"/>
  <c r="Y47"/>
  <c r="Y55"/>
  <c r="Y76"/>
  <c r="Y80"/>
  <c r="Y90"/>
  <c r="Y122"/>
  <c r="Y43"/>
  <c r="Y44"/>
  <c r="Y98"/>
  <c r="Y82"/>
  <c r="Y86"/>
  <c r="Y104"/>
  <c r="Z88"/>
  <c r="Z84"/>
  <c r="Z76"/>
  <c r="Z80"/>
  <c r="Z90"/>
  <c r="Z122"/>
  <c r="Z124"/>
  <c r="Z126"/>
  <c r="Z128"/>
  <c r="Z130"/>
  <c r="Z132"/>
  <c r="Z134"/>
  <c r="Z136"/>
  <c r="Z146"/>
  <c r="Z148"/>
  <c r="Z150"/>
  <c r="Z152"/>
  <c r="Z154"/>
  <c r="Z46"/>
  <c r="Z42"/>
  <c r="Z52"/>
  <c r="Z58"/>
  <c r="Z60"/>
  <c r="Z62"/>
  <c r="Z41"/>
  <c r="Z45"/>
  <c r="Z53"/>
  <c r="Z57"/>
  <c r="Z59"/>
  <c r="Z61"/>
  <c r="Z100"/>
  <c r="Z106"/>
  <c r="Z108"/>
  <c r="Z110"/>
  <c r="Z112"/>
  <c r="Z114"/>
  <c r="Z123"/>
  <c r="Z125"/>
  <c r="Z127"/>
  <c r="Z129"/>
  <c r="Z131"/>
  <c r="Z133"/>
  <c r="Z135"/>
  <c r="Z145"/>
  <c r="Z147"/>
  <c r="Z149"/>
  <c r="Z151"/>
  <c r="Z153"/>
  <c r="Z155"/>
  <c r="Z96"/>
  <c r="Z102"/>
  <c r="Z120"/>
  <c r="Z97"/>
  <c r="Z98"/>
  <c r="Z121"/>
  <c r="Z83"/>
  <c r="Z87"/>
  <c r="Z44"/>
  <c r="Z47"/>
  <c r="Z55"/>
  <c r="Z101"/>
  <c r="Z105"/>
  <c r="Z107"/>
  <c r="Z109"/>
  <c r="Z111"/>
  <c r="Z113"/>
  <c r="Z48"/>
  <c r="Z50"/>
  <c r="Z56"/>
  <c r="Z79"/>
  <c r="Z81"/>
  <c r="Z85"/>
  <c r="Z89"/>
  <c r="Z103"/>
  <c r="Z140"/>
  <c r="Z43"/>
  <c r="Z51"/>
  <c r="Z104"/>
  <c r="Z82"/>
  <c r="Z86"/>
  <c r="W119"/>
  <c r="W138"/>
  <c r="D74"/>
  <c r="Y119"/>
  <c r="Y138"/>
  <c r="Z119"/>
  <c r="Z138"/>
  <c r="Y95"/>
  <c r="Y116"/>
  <c r="F178"/>
  <c r="V88"/>
  <c r="V84"/>
  <c r="V76"/>
  <c r="V80"/>
  <c r="V90"/>
  <c r="V122"/>
  <c r="V124"/>
  <c r="V126"/>
  <c r="V128"/>
  <c r="V130"/>
  <c r="V132"/>
  <c r="V136"/>
  <c r="V146"/>
  <c r="V148"/>
  <c r="V150"/>
  <c r="V152"/>
  <c r="V154"/>
  <c r="V46"/>
  <c r="V42"/>
  <c r="V52"/>
  <c r="V58"/>
  <c r="V60"/>
  <c r="V62"/>
  <c r="V96"/>
  <c r="V41"/>
  <c r="V53"/>
  <c r="V59"/>
  <c r="V61"/>
  <c r="V98"/>
  <c r="V100"/>
  <c r="V106"/>
  <c r="V108"/>
  <c r="V110"/>
  <c r="V112"/>
  <c r="V114"/>
  <c r="V123"/>
  <c r="V125"/>
  <c r="V127"/>
  <c r="V129"/>
  <c r="V131"/>
  <c r="V133"/>
  <c r="V135"/>
  <c r="V145"/>
  <c r="V147"/>
  <c r="V149"/>
  <c r="V151"/>
  <c r="V153"/>
  <c r="V155"/>
  <c r="V55"/>
  <c r="V102"/>
  <c r="V82"/>
  <c r="V86"/>
  <c r="V121"/>
  <c r="V83"/>
  <c r="V87"/>
  <c r="V134"/>
  <c r="V45"/>
  <c r="V47"/>
  <c r="V99"/>
  <c r="V101"/>
  <c r="V105"/>
  <c r="V107"/>
  <c r="V109"/>
  <c r="V111"/>
  <c r="V113"/>
  <c r="V44"/>
  <c r="V48"/>
  <c r="V50"/>
  <c r="V56"/>
  <c r="V79"/>
  <c r="V81"/>
  <c r="V85"/>
  <c r="V89"/>
  <c r="V103"/>
  <c r="V140"/>
  <c r="V43"/>
  <c r="V51"/>
  <c r="V57"/>
  <c r="V104"/>
  <c r="V120"/>
  <c r="V97"/>
  <c r="F54"/>
  <c r="V54"/>
  <c r="V144"/>
  <c r="Z143"/>
  <c r="Z157"/>
  <c r="Y143"/>
  <c r="Y157"/>
  <c r="J178"/>
  <c r="X76"/>
  <c r="X80"/>
  <c r="X90"/>
  <c r="X122"/>
  <c r="X124"/>
  <c r="X126"/>
  <c r="X128"/>
  <c r="X130"/>
  <c r="X132"/>
  <c r="X134"/>
  <c r="X136"/>
  <c r="X146"/>
  <c r="X148"/>
  <c r="X150"/>
  <c r="X152"/>
  <c r="X154"/>
  <c r="X44"/>
  <c r="X42"/>
  <c r="X52"/>
  <c r="X58"/>
  <c r="X60"/>
  <c r="X62"/>
  <c r="X41"/>
  <c r="X45"/>
  <c r="X53"/>
  <c r="X57"/>
  <c r="X59"/>
  <c r="X61"/>
  <c r="X100"/>
  <c r="X106"/>
  <c r="X108"/>
  <c r="X110"/>
  <c r="X112"/>
  <c r="X114"/>
  <c r="X123"/>
  <c r="X125"/>
  <c r="X127"/>
  <c r="X129"/>
  <c r="X131"/>
  <c r="X133"/>
  <c r="X135"/>
  <c r="X145"/>
  <c r="X147"/>
  <c r="X149"/>
  <c r="X151"/>
  <c r="X153"/>
  <c r="X155"/>
  <c r="X43"/>
  <c r="X51"/>
  <c r="X82"/>
  <c r="X86"/>
  <c r="X97"/>
  <c r="X104"/>
  <c r="X83"/>
  <c r="X87"/>
  <c r="X46"/>
  <c r="X47"/>
  <c r="X55"/>
  <c r="X101"/>
  <c r="X105"/>
  <c r="X107"/>
  <c r="X109"/>
  <c r="X111"/>
  <c r="X113"/>
  <c r="X48"/>
  <c r="X50"/>
  <c r="X56"/>
  <c r="X79"/>
  <c r="X81"/>
  <c r="X85"/>
  <c r="X89"/>
  <c r="X103"/>
  <c r="X140"/>
  <c r="X96"/>
  <c r="X102"/>
  <c r="X120"/>
  <c r="X84"/>
  <c r="X88"/>
  <c r="X98"/>
  <c r="X121"/>
  <c r="J54"/>
  <c r="X54"/>
  <c r="X144"/>
  <c r="X99"/>
  <c r="Z95"/>
  <c r="Z116"/>
  <c r="X95"/>
  <c r="X116"/>
  <c r="F73"/>
  <c r="V73"/>
  <c r="F72"/>
  <c r="V72"/>
  <c r="X119"/>
  <c r="X138"/>
  <c r="H70"/>
  <c r="W70"/>
  <c r="V143"/>
  <c r="V157"/>
  <c r="X143"/>
  <c r="X157"/>
  <c r="F70"/>
  <c r="V70"/>
  <c r="F71"/>
  <c r="V71"/>
  <c r="H71"/>
  <c r="W71"/>
  <c r="V95"/>
  <c r="V116"/>
  <c r="V119"/>
  <c r="V138"/>
  <c r="H75"/>
  <c r="W75"/>
  <c r="F77"/>
  <c r="V77"/>
  <c r="F75"/>
  <c r="V75"/>
  <c r="F78"/>
  <c r="V78"/>
  <c r="H77"/>
  <c r="W77"/>
  <c r="H72"/>
  <c r="W72"/>
  <c r="H73"/>
  <c r="W73"/>
  <c r="H74"/>
  <c r="W74"/>
  <c r="F74"/>
  <c r="V74"/>
  <c r="H78"/>
  <c r="W78"/>
  <c r="L70"/>
  <c r="Y70"/>
  <c r="N70"/>
  <c r="Z70"/>
  <c r="J71"/>
  <c r="X71"/>
  <c r="F21"/>
  <c r="F10"/>
  <c r="F11"/>
  <c r="F12"/>
  <c r="F13"/>
  <c r="F69"/>
  <c r="F92"/>
  <c r="V69"/>
  <c r="V92"/>
  <c r="H69"/>
  <c r="W69"/>
  <c r="W92"/>
  <c r="J72"/>
  <c r="X72"/>
  <c r="L71"/>
  <c r="Y71"/>
  <c r="J70"/>
  <c r="X70"/>
  <c r="J73"/>
  <c r="X73"/>
  <c r="N71"/>
  <c r="Z71"/>
  <c r="H92"/>
  <c r="J75"/>
  <c r="X75"/>
  <c r="J78"/>
  <c r="X78"/>
  <c r="J77"/>
  <c r="X77"/>
  <c r="N72"/>
  <c r="Z72"/>
  <c r="L73"/>
  <c r="Y73"/>
  <c r="N73"/>
  <c r="Z73"/>
  <c r="L72"/>
  <c r="Y72"/>
  <c r="F20"/>
  <c r="F16"/>
  <c r="J74"/>
  <c r="X74"/>
  <c r="N77"/>
  <c r="Z77"/>
  <c r="N75"/>
  <c r="Z75"/>
  <c r="N78"/>
  <c r="Z78"/>
  <c r="L78"/>
  <c r="Y78"/>
  <c r="L77"/>
  <c r="Y77"/>
  <c r="L75"/>
  <c r="Y75"/>
  <c r="H21"/>
  <c r="H10"/>
  <c r="H11"/>
  <c r="H12"/>
  <c r="H13"/>
  <c r="H15"/>
  <c r="H16"/>
  <c r="J21"/>
  <c r="J10"/>
  <c r="J11"/>
  <c r="J13"/>
  <c r="J15"/>
  <c r="J16"/>
  <c r="N74"/>
  <c r="Z74"/>
  <c r="J69"/>
  <c r="J92"/>
  <c r="X69"/>
  <c r="X92"/>
  <c r="L74"/>
  <c r="Y74"/>
  <c r="L69"/>
  <c r="L92"/>
  <c r="Y69"/>
  <c r="Y92"/>
  <c r="N69"/>
  <c r="N92"/>
  <c r="Z69"/>
  <c r="Z92"/>
  <c r="N21"/>
  <c r="N10"/>
  <c r="N11"/>
  <c r="N13"/>
  <c r="N15"/>
  <c r="N16"/>
  <c r="L21"/>
  <c r="L10"/>
  <c r="L11"/>
  <c r="L13"/>
  <c r="L15"/>
  <c r="L16"/>
  <c r="J20"/>
  <c r="H20"/>
  <c r="L20"/>
  <c r="N20"/>
  <c r="D69"/>
  <c r="D92"/>
  <c r="D159"/>
  <c r="D161"/>
  <c r="D164"/>
  <c r="D165"/>
  <c r="F163"/>
  <c r="H49"/>
  <c r="W49"/>
  <c r="N49"/>
  <c r="Z49"/>
  <c r="L49"/>
  <c r="Y49"/>
  <c r="J49"/>
  <c r="X49"/>
  <c r="F49"/>
  <c r="V49"/>
  <c r="F15"/>
  <c r="F17"/>
  <c r="F18"/>
  <c r="F19"/>
  <c r="F35"/>
  <c r="P21"/>
  <c r="F40"/>
  <c r="V40"/>
  <c r="V64"/>
  <c r="V159"/>
  <c r="H40"/>
  <c r="W40"/>
  <c r="W64"/>
  <c r="W159"/>
  <c r="F64"/>
  <c r="F159"/>
  <c r="P121"/>
  <c r="P104"/>
  <c r="P102"/>
  <c r="P46"/>
  <c r="P83"/>
  <c r="P87"/>
  <c r="P134"/>
  <c r="P45"/>
  <c r="P47"/>
  <c r="P99"/>
  <c r="P101"/>
  <c r="P105"/>
  <c r="P107"/>
  <c r="P109"/>
  <c r="P111"/>
  <c r="P113"/>
  <c r="P44"/>
  <c r="P48"/>
  <c r="P50"/>
  <c r="P56"/>
  <c r="P75"/>
  <c r="P77"/>
  <c r="P79"/>
  <c r="P81"/>
  <c r="P85"/>
  <c r="P89"/>
  <c r="P103"/>
  <c r="P140"/>
  <c r="P57"/>
  <c r="P120"/>
  <c r="P84"/>
  <c r="P88"/>
  <c r="P76"/>
  <c r="P78"/>
  <c r="P80"/>
  <c r="P90"/>
  <c r="P122"/>
  <c r="P124"/>
  <c r="P126"/>
  <c r="P128"/>
  <c r="P130"/>
  <c r="P132"/>
  <c r="P136"/>
  <c r="P146"/>
  <c r="P148"/>
  <c r="P150"/>
  <c r="P152"/>
  <c r="P154"/>
  <c r="P43"/>
  <c r="P55"/>
  <c r="P42"/>
  <c r="P52"/>
  <c r="P58"/>
  <c r="P60"/>
  <c r="P62"/>
  <c r="P96"/>
  <c r="P41"/>
  <c r="P53"/>
  <c r="P59"/>
  <c r="P61"/>
  <c r="P98"/>
  <c r="P100"/>
  <c r="P106"/>
  <c r="P108"/>
  <c r="P110"/>
  <c r="P112"/>
  <c r="P114"/>
  <c r="P123"/>
  <c r="P125"/>
  <c r="P127"/>
  <c r="P129"/>
  <c r="P131"/>
  <c r="P133"/>
  <c r="P135"/>
  <c r="P145"/>
  <c r="P147"/>
  <c r="P149"/>
  <c r="P151"/>
  <c r="P153"/>
  <c r="P155"/>
  <c r="P51"/>
  <c r="P82"/>
  <c r="P86"/>
  <c r="P97"/>
  <c r="P144"/>
  <c r="P54"/>
  <c r="P70"/>
  <c r="P49"/>
  <c r="P73"/>
  <c r="P72"/>
  <c r="P71"/>
  <c r="P74"/>
  <c r="H64"/>
  <c r="H159"/>
  <c r="Q56"/>
  <c r="Q110"/>
  <c r="Q45"/>
  <c r="Q75"/>
  <c r="Q77"/>
  <c r="Q89"/>
  <c r="Q133"/>
  <c r="Q135"/>
  <c r="Q151"/>
  <c r="Q57"/>
  <c r="Q61"/>
  <c r="Q58"/>
  <c r="Q99"/>
  <c r="Q101"/>
  <c r="Q109"/>
  <c r="Q126"/>
  <c r="Q128"/>
  <c r="Q134"/>
  <c r="Q148"/>
  <c r="Q150"/>
  <c r="Q46"/>
  <c r="Q104"/>
  <c r="Q73"/>
  <c r="Q74"/>
  <c r="P20"/>
  <c r="P23"/>
  <c r="P28"/>
  <c r="P32"/>
  <c r="P24"/>
  <c r="P25"/>
  <c r="P29"/>
  <c r="P33"/>
  <c r="P14"/>
  <c r="P26"/>
  <c r="P30"/>
  <c r="P22"/>
  <c r="P27"/>
  <c r="P31"/>
  <c r="P12"/>
  <c r="P13"/>
  <c r="P11"/>
  <c r="P16"/>
  <c r="P15"/>
  <c r="P17"/>
  <c r="P19"/>
  <c r="P18"/>
  <c r="Q70"/>
  <c r="Q43"/>
  <c r="Q136"/>
  <c r="Q111"/>
  <c r="Q60"/>
  <c r="Q153"/>
  <c r="Q125"/>
  <c r="Q96"/>
  <c r="Q72"/>
  <c r="Q49"/>
  <c r="Q98"/>
  <c r="Q154"/>
  <c r="Q146"/>
  <c r="Q132"/>
  <c r="Q124"/>
  <c r="Q107"/>
  <c r="Q87"/>
  <c r="Q42"/>
  <c r="Q53"/>
  <c r="Q149"/>
  <c r="Q129"/>
  <c r="Q85"/>
  <c r="Q78"/>
  <c r="Q84"/>
  <c r="Q71"/>
  <c r="Q54"/>
  <c r="Q51"/>
  <c r="Q152"/>
  <c r="Q144"/>
  <c r="Q130"/>
  <c r="Q113"/>
  <c r="Q105"/>
  <c r="Q62"/>
  <c r="Q103"/>
  <c r="Q41"/>
  <c r="Q145"/>
  <c r="Q127"/>
  <c r="Q81"/>
  <c r="Q102"/>
  <c r="Q55"/>
  <c r="Q90"/>
  <c r="Q106"/>
  <c r="Q86"/>
  <c r="Q83"/>
  <c r="Q52"/>
  <c r="Q59"/>
  <c r="Q155"/>
  <c r="Q147"/>
  <c r="Q131"/>
  <c r="Q123"/>
  <c r="Q79"/>
  <c r="Q121"/>
  <c r="Q44"/>
  <c r="Q114"/>
  <c r="Q48"/>
  <c r="Q120"/>
  <c r="Q122"/>
  <c r="Q80"/>
  <c r="Q76"/>
  <c r="Q47"/>
  <c r="Q112"/>
  <c r="Q108"/>
  <c r="Q100"/>
  <c r="Q50"/>
  <c r="Q140"/>
  <c r="Q88"/>
  <c r="Q82"/>
  <c r="Q97"/>
  <c r="P69"/>
  <c r="P92"/>
  <c r="H17"/>
  <c r="H18"/>
  <c r="H19"/>
  <c r="H35"/>
  <c r="Q21"/>
  <c r="P10"/>
  <c r="P35"/>
  <c r="J17"/>
  <c r="J18"/>
  <c r="J19"/>
  <c r="J35"/>
  <c r="R21"/>
  <c r="J40"/>
  <c r="X40"/>
  <c r="X64"/>
  <c r="X159"/>
  <c r="P95"/>
  <c r="P116"/>
  <c r="P119"/>
  <c r="P138"/>
  <c r="P143"/>
  <c r="P157"/>
  <c r="Q143"/>
  <c r="Q157"/>
  <c r="Q119"/>
  <c r="Q138"/>
  <c r="Q95"/>
  <c r="Q116"/>
  <c r="Q69"/>
  <c r="Q92"/>
  <c r="P40"/>
  <c r="P64"/>
  <c r="P159"/>
  <c r="J64"/>
  <c r="J159"/>
  <c r="R98"/>
  <c r="R121"/>
  <c r="R104"/>
  <c r="R102"/>
  <c r="R96"/>
  <c r="R46"/>
  <c r="R44"/>
  <c r="R83"/>
  <c r="R87"/>
  <c r="R43"/>
  <c r="R47"/>
  <c r="R55"/>
  <c r="R101"/>
  <c r="R105"/>
  <c r="R107"/>
  <c r="R109"/>
  <c r="R111"/>
  <c r="R113"/>
  <c r="R48"/>
  <c r="R50"/>
  <c r="R56"/>
  <c r="R75"/>
  <c r="R77"/>
  <c r="R79"/>
  <c r="R81"/>
  <c r="R85"/>
  <c r="R89"/>
  <c r="R103"/>
  <c r="R140"/>
  <c r="R51"/>
  <c r="R82"/>
  <c r="R86"/>
  <c r="R97"/>
  <c r="R120"/>
  <c r="R76"/>
  <c r="R78"/>
  <c r="R80"/>
  <c r="R90"/>
  <c r="R122"/>
  <c r="R124"/>
  <c r="R126"/>
  <c r="R128"/>
  <c r="R130"/>
  <c r="R132"/>
  <c r="R134"/>
  <c r="R136"/>
  <c r="R146"/>
  <c r="R148"/>
  <c r="R150"/>
  <c r="R152"/>
  <c r="R154"/>
  <c r="R42"/>
  <c r="R52"/>
  <c r="R58"/>
  <c r="R60"/>
  <c r="R62"/>
  <c r="R41"/>
  <c r="R45"/>
  <c r="R53"/>
  <c r="R57"/>
  <c r="R59"/>
  <c r="R61"/>
  <c r="R100"/>
  <c r="R106"/>
  <c r="R108"/>
  <c r="R110"/>
  <c r="R112"/>
  <c r="R114"/>
  <c r="R123"/>
  <c r="R125"/>
  <c r="R127"/>
  <c r="R129"/>
  <c r="R131"/>
  <c r="R133"/>
  <c r="R135"/>
  <c r="R145"/>
  <c r="R147"/>
  <c r="R149"/>
  <c r="R151"/>
  <c r="R153"/>
  <c r="R155"/>
  <c r="R84"/>
  <c r="R88"/>
  <c r="R144"/>
  <c r="R99"/>
  <c r="R54"/>
  <c r="R49"/>
  <c r="R72"/>
  <c r="R73"/>
  <c r="R71"/>
  <c r="R70"/>
  <c r="R74"/>
  <c r="L40"/>
  <c r="Y40"/>
  <c r="Y64"/>
  <c r="Y159"/>
  <c r="N40"/>
  <c r="Z40"/>
  <c r="Z64"/>
  <c r="Z159"/>
  <c r="N17"/>
  <c r="N18"/>
  <c r="N19"/>
  <c r="N35"/>
  <c r="T21"/>
  <c r="L17"/>
  <c r="L18"/>
  <c r="L19"/>
  <c r="L35"/>
  <c r="S21"/>
  <c r="J161"/>
  <c r="J164"/>
  <c r="R20"/>
  <c r="R14"/>
  <c r="R26"/>
  <c r="R30"/>
  <c r="R22"/>
  <c r="R27"/>
  <c r="R31"/>
  <c r="R15"/>
  <c r="R23"/>
  <c r="R28"/>
  <c r="R32"/>
  <c r="R24"/>
  <c r="R12"/>
  <c r="R25"/>
  <c r="R29"/>
  <c r="R33"/>
  <c r="R11"/>
  <c r="R13"/>
  <c r="R16"/>
  <c r="R18"/>
  <c r="R19"/>
  <c r="R17"/>
  <c r="H161"/>
  <c r="H164"/>
  <c r="Q28"/>
  <c r="Q27"/>
  <c r="Q26"/>
  <c r="Q25"/>
  <c r="Q23"/>
  <c r="Q22"/>
  <c r="Q14"/>
  <c r="Q24"/>
  <c r="Q31"/>
  <c r="Q32"/>
  <c r="Q15"/>
  <c r="Q29"/>
  <c r="Q33"/>
  <c r="Q30"/>
  <c r="Q13"/>
  <c r="Q20"/>
  <c r="Q17"/>
  <c r="Q11"/>
  <c r="Q18"/>
  <c r="Q19"/>
  <c r="Q16"/>
  <c r="Q12"/>
  <c r="Q40"/>
  <c r="Q64"/>
  <c r="Q159"/>
  <c r="R69"/>
  <c r="R92"/>
  <c r="Q10"/>
  <c r="Q35"/>
  <c r="R10"/>
  <c r="R35"/>
  <c r="L64"/>
  <c r="L159"/>
  <c r="L161"/>
  <c r="L164"/>
  <c r="S28"/>
  <c r="S27"/>
  <c r="S26"/>
  <c r="S25"/>
  <c r="S23"/>
  <c r="S22"/>
  <c r="S14"/>
  <c r="S12"/>
  <c r="S15"/>
  <c r="S29"/>
  <c r="S33"/>
  <c r="S30"/>
  <c r="S24"/>
  <c r="S31"/>
  <c r="S32"/>
  <c r="S11"/>
  <c r="S20"/>
  <c r="S13"/>
  <c r="S18"/>
  <c r="S19"/>
  <c r="S16"/>
  <c r="S17"/>
  <c r="S10"/>
  <c r="S35"/>
  <c r="N64"/>
  <c r="N159"/>
  <c r="N161"/>
  <c r="N164"/>
  <c r="T15"/>
  <c r="T23"/>
  <c r="T28"/>
  <c r="T32"/>
  <c r="T24"/>
  <c r="T12"/>
  <c r="T25"/>
  <c r="T29"/>
  <c r="T33"/>
  <c r="T20"/>
  <c r="T14"/>
  <c r="T26"/>
  <c r="T30"/>
  <c r="T22"/>
  <c r="T27"/>
  <c r="T31"/>
  <c r="T13"/>
  <c r="T11"/>
  <c r="T17"/>
  <c r="T18"/>
  <c r="T16"/>
  <c r="T19"/>
  <c r="T121"/>
  <c r="T104"/>
  <c r="T102"/>
  <c r="T96"/>
  <c r="T98"/>
  <c r="T46"/>
  <c r="T44"/>
  <c r="T83"/>
  <c r="T87"/>
  <c r="T47"/>
  <c r="T55"/>
  <c r="T101"/>
  <c r="T105"/>
  <c r="T107"/>
  <c r="T109"/>
  <c r="T111"/>
  <c r="T113"/>
  <c r="T48"/>
  <c r="T50"/>
  <c r="T56"/>
  <c r="T75"/>
  <c r="T77"/>
  <c r="T79"/>
  <c r="T81"/>
  <c r="T85"/>
  <c r="T89"/>
  <c r="T103"/>
  <c r="T140"/>
  <c r="T84"/>
  <c r="T88"/>
  <c r="T76"/>
  <c r="T78"/>
  <c r="T80"/>
  <c r="T90"/>
  <c r="T122"/>
  <c r="T124"/>
  <c r="T126"/>
  <c r="T128"/>
  <c r="T130"/>
  <c r="T132"/>
  <c r="T134"/>
  <c r="T136"/>
  <c r="T146"/>
  <c r="T148"/>
  <c r="T150"/>
  <c r="T152"/>
  <c r="T154"/>
  <c r="T43"/>
  <c r="T42"/>
  <c r="T52"/>
  <c r="T58"/>
  <c r="T60"/>
  <c r="T62"/>
  <c r="T41"/>
  <c r="T45"/>
  <c r="T53"/>
  <c r="T57"/>
  <c r="T59"/>
  <c r="T61"/>
  <c r="T100"/>
  <c r="T106"/>
  <c r="T108"/>
  <c r="T110"/>
  <c r="T112"/>
  <c r="T114"/>
  <c r="T123"/>
  <c r="T125"/>
  <c r="T127"/>
  <c r="T129"/>
  <c r="T131"/>
  <c r="T133"/>
  <c r="T135"/>
  <c r="T145"/>
  <c r="T147"/>
  <c r="T149"/>
  <c r="T151"/>
  <c r="T153"/>
  <c r="T155"/>
  <c r="T51"/>
  <c r="T82"/>
  <c r="T86"/>
  <c r="T97"/>
  <c r="T120"/>
  <c r="T144"/>
  <c r="T99"/>
  <c r="T54"/>
  <c r="T49"/>
  <c r="T70"/>
  <c r="T71"/>
  <c r="T72"/>
  <c r="T73"/>
  <c r="T74"/>
  <c r="R95"/>
  <c r="R116"/>
  <c r="R119"/>
  <c r="R138"/>
  <c r="S120"/>
  <c r="S88"/>
  <c r="S84"/>
  <c r="S97"/>
  <c r="S86"/>
  <c r="S82"/>
  <c r="S140"/>
  <c r="S149"/>
  <c r="S48"/>
  <c r="S50"/>
  <c r="S56"/>
  <c r="S100"/>
  <c r="S106"/>
  <c r="S108"/>
  <c r="S110"/>
  <c r="S112"/>
  <c r="S114"/>
  <c r="S47"/>
  <c r="S55"/>
  <c r="S76"/>
  <c r="S78"/>
  <c r="S80"/>
  <c r="S90"/>
  <c r="S46"/>
  <c r="S43"/>
  <c r="S51"/>
  <c r="S98"/>
  <c r="S104"/>
  <c r="S75"/>
  <c r="S77"/>
  <c r="S79"/>
  <c r="S81"/>
  <c r="S85"/>
  <c r="S89"/>
  <c r="S123"/>
  <c r="S125"/>
  <c r="S127"/>
  <c r="S129"/>
  <c r="S131"/>
  <c r="S133"/>
  <c r="S135"/>
  <c r="S145"/>
  <c r="S147"/>
  <c r="S151"/>
  <c r="S153"/>
  <c r="S155"/>
  <c r="S41"/>
  <c r="S45"/>
  <c r="S53"/>
  <c r="S57"/>
  <c r="S59"/>
  <c r="S61"/>
  <c r="S103"/>
  <c r="S42"/>
  <c r="S52"/>
  <c r="S58"/>
  <c r="S60"/>
  <c r="S62"/>
  <c r="S83"/>
  <c r="S87"/>
  <c r="S99"/>
  <c r="S101"/>
  <c r="S105"/>
  <c r="S107"/>
  <c r="S109"/>
  <c r="S111"/>
  <c r="S113"/>
  <c r="S122"/>
  <c r="S124"/>
  <c r="S126"/>
  <c r="S128"/>
  <c r="S130"/>
  <c r="S132"/>
  <c r="S134"/>
  <c r="S136"/>
  <c r="S144"/>
  <c r="S146"/>
  <c r="S148"/>
  <c r="S150"/>
  <c r="S152"/>
  <c r="S154"/>
  <c r="S44"/>
  <c r="S96"/>
  <c r="S102"/>
  <c r="S121"/>
  <c r="S54"/>
  <c r="S49"/>
  <c r="S71"/>
  <c r="S70"/>
  <c r="S73"/>
  <c r="S72"/>
  <c r="S74"/>
  <c r="R143"/>
  <c r="R157"/>
  <c r="F161"/>
  <c r="F164"/>
  <c r="F165"/>
  <c r="H163"/>
  <c r="H165"/>
  <c r="J163"/>
  <c r="J165"/>
  <c r="L163"/>
  <c r="L165"/>
  <c r="N163"/>
  <c r="N165"/>
  <c r="R40"/>
  <c r="R64"/>
  <c r="R159"/>
  <c r="S69"/>
  <c r="S92"/>
  <c r="T69"/>
  <c r="T92"/>
  <c r="S143"/>
  <c r="S157"/>
  <c r="T10"/>
  <c r="T35"/>
  <c r="S119"/>
  <c r="S138"/>
  <c r="S95"/>
  <c r="S116"/>
  <c r="T95"/>
  <c r="T116"/>
  <c r="T119"/>
  <c r="T138"/>
  <c r="T143"/>
  <c r="T157"/>
  <c r="T40"/>
  <c r="T64"/>
  <c r="T159"/>
  <c r="S40"/>
  <c r="S64"/>
  <c r="S159"/>
  <c r="L125" i="5"/>
  <c r="J163"/>
  <c r="J157"/>
  <c r="T155"/>
  <c r="R155"/>
  <c r="P155"/>
  <c r="N155"/>
  <c r="L155"/>
  <c r="T154"/>
  <c r="R154"/>
  <c r="P154"/>
  <c r="N154"/>
  <c r="L154"/>
  <c r="T153"/>
  <c r="R153"/>
  <c r="P153"/>
  <c r="N153"/>
  <c r="L153"/>
  <c r="T152"/>
  <c r="R152"/>
  <c r="P152"/>
  <c r="N152"/>
  <c r="L152"/>
  <c r="T151"/>
  <c r="R151"/>
  <c r="P151"/>
  <c r="N151"/>
  <c r="L151"/>
  <c r="T150"/>
  <c r="R150"/>
  <c r="P150"/>
  <c r="N150"/>
  <c r="L150"/>
  <c r="T149"/>
  <c r="R149"/>
  <c r="P149"/>
  <c r="N149"/>
  <c r="L149"/>
  <c r="T148"/>
  <c r="R148"/>
  <c r="P148"/>
  <c r="N148"/>
  <c r="L148"/>
  <c r="T147"/>
  <c r="R147"/>
  <c r="P147"/>
  <c r="N147"/>
  <c r="L147"/>
  <c r="T146"/>
  <c r="R146"/>
  <c r="P146"/>
  <c r="N146"/>
  <c r="L146"/>
  <c r="T145"/>
  <c r="R145"/>
  <c r="P145"/>
  <c r="N145"/>
  <c r="L145"/>
  <c r="T144"/>
  <c r="R144"/>
  <c r="P144"/>
  <c r="N144"/>
  <c r="L144"/>
  <c r="T140"/>
  <c r="R140"/>
  <c r="P140"/>
  <c r="N140"/>
  <c r="L140"/>
  <c r="J138"/>
  <c r="T136"/>
  <c r="R136"/>
  <c r="P136"/>
  <c r="N136"/>
  <c r="L136"/>
  <c r="T135"/>
  <c r="R135"/>
  <c r="P135"/>
  <c r="N135"/>
  <c r="L135"/>
  <c r="T134"/>
  <c r="R134"/>
  <c r="P134"/>
  <c r="N134"/>
  <c r="L134"/>
  <c r="T133"/>
  <c r="R133"/>
  <c r="P133"/>
  <c r="N133"/>
  <c r="L133"/>
  <c r="T132"/>
  <c r="R132"/>
  <c r="P132"/>
  <c r="N132"/>
  <c r="L132"/>
  <c r="T131"/>
  <c r="R131"/>
  <c r="P131"/>
  <c r="N131"/>
  <c r="L131"/>
  <c r="T130"/>
  <c r="R130"/>
  <c r="P130"/>
  <c r="N130"/>
  <c r="L130"/>
  <c r="T129"/>
  <c r="R129"/>
  <c r="P129"/>
  <c r="N129"/>
  <c r="L129"/>
  <c r="T127"/>
  <c r="R127"/>
  <c r="P127"/>
  <c r="N127"/>
  <c r="L127"/>
  <c r="T124"/>
  <c r="R124"/>
  <c r="P124"/>
  <c r="N124"/>
  <c r="L124"/>
  <c r="T123"/>
  <c r="R123"/>
  <c r="P123"/>
  <c r="N123"/>
  <c r="L123"/>
  <c r="T122"/>
  <c r="R122"/>
  <c r="P122"/>
  <c r="N122"/>
  <c r="L122"/>
  <c r="J116"/>
  <c r="T114"/>
  <c r="R114"/>
  <c r="P114"/>
  <c r="N114"/>
  <c r="L114"/>
  <c r="T113"/>
  <c r="R113"/>
  <c r="P113"/>
  <c r="N113"/>
  <c r="L113"/>
  <c r="T112"/>
  <c r="R112"/>
  <c r="P112"/>
  <c r="N112"/>
  <c r="L112"/>
  <c r="T111"/>
  <c r="R111"/>
  <c r="P111"/>
  <c r="N111"/>
  <c r="L111"/>
  <c r="T110"/>
  <c r="R110"/>
  <c r="P110"/>
  <c r="N110"/>
  <c r="L110"/>
  <c r="T109"/>
  <c r="R109"/>
  <c r="P109"/>
  <c r="N109"/>
  <c r="L109"/>
  <c r="T108"/>
  <c r="R108"/>
  <c r="P108"/>
  <c r="N108"/>
  <c r="L108"/>
  <c r="T107"/>
  <c r="R107"/>
  <c r="P107"/>
  <c r="N107"/>
  <c r="L107"/>
  <c r="T106"/>
  <c r="R106"/>
  <c r="P106"/>
  <c r="N106"/>
  <c r="L106"/>
  <c r="T105"/>
  <c r="R105"/>
  <c r="P105"/>
  <c r="N105"/>
  <c r="L105"/>
  <c r="T103"/>
  <c r="R103"/>
  <c r="P103"/>
  <c r="N103"/>
  <c r="L103"/>
  <c r="T101"/>
  <c r="R101"/>
  <c r="P101"/>
  <c r="N101"/>
  <c r="L101"/>
  <c r="T100"/>
  <c r="R100"/>
  <c r="P100"/>
  <c r="N100"/>
  <c r="L100"/>
  <c r="T99"/>
  <c r="R99"/>
  <c r="P99"/>
  <c r="N99"/>
  <c r="L99"/>
  <c r="L98"/>
  <c r="L96"/>
  <c r="L95"/>
  <c r="T90"/>
  <c r="R90"/>
  <c r="P90"/>
  <c r="N90"/>
  <c r="L90"/>
  <c r="T89"/>
  <c r="R89"/>
  <c r="P89"/>
  <c r="N89"/>
  <c r="L89"/>
  <c r="T87"/>
  <c r="R87"/>
  <c r="P87"/>
  <c r="N87"/>
  <c r="L87"/>
  <c r="T85"/>
  <c r="R85"/>
  <c r="P85"/>
  <c r="N85"/>
  <c r="L85"/>
  <c r="T83"/>
  <c r="R83"/>
  <c r="P83"/>
  <c r="N83"/>
  <c r="L83"/>
  <c r="T81"/>
  <c r="R81"/>
  <c r="P81"/>
  <c r="N81"/>
  <c r="L81"/>
  <c r="T80"/>
  <c r="R80"/>
  <c r="P80"/>
  <c r="N80"/>
  <c r="L80"/>
  <c r="T79"/>
  <c r="R79"/>
  <c r="P79"/>
  <c r="N79"/>
  <c r="L79"/>
  <c r="T76"/>
  <c r="R76"/>
  <c r="P76"/>
  <c r="N76"/>
  <c r="L76"/>
  <c r="J64"/>
  <c r="T62"/>
  <c r="R62"/>
  <c r="P62"/>
  <c r="N62"/>
  <c r="L62"/>
  <c r="T61"/>
  <c r="R61"/>
  <c r="P61"/>
  <c r="N61"/>
  <c r="L61"/>
  <c r="T60"/>
  <c r="R60"/>
  <c r="P60"/>
  <c r="N60"/>
  <c r="L60"/>
  <c r="T59"/>
  <c r="R59"/>
  <c r="P59"/>
  <c r="N59"/>
  <c r="L59"/>
  <c r="T57"/>
  <c r="R57"/>
  <c r="P57"/>
  <c r="N57"/>
  <c r="T56"/>
  <c r="R56"/>
  <c r="P56"/>
  <c r="N56"/>
  <c r="L56"/>
  <c r="T55"/>
  <c r="R55"/>
  <c r="P55"/>
  <c r="N55"/>
  <c r="T53"/>
  <c r="R53"/>
  <c r="P53"/>
  <c r="N53"/>
  <c r="L53"/>
  <c r="T52"/>
  <c r="R52"/>
  <c r="P52"/>
  <c r="N52"/>
  <c r="L52"/>
  <c r="T50"/>
  <c r="R50"/>
  <c r="P50"/>
  <c r="N50"/>
  <c r="L50"/>
  <c r="T48"/>
  <c r="R48"/>
  <c r="P48"/>
  <c r="N48"/>
  <c r="L48"/>
  <c r="T47"/>
  <c r="R47"/>
  <c r="P47"/>
  <c r="N47"/>
  <c r="L47"/>
  <c r="T45"/>
  <c r="R45"/>
  <c r="P45"/>
  <c r="L45"/>
  <c r="L44"/>
  <c r="T42"/>
  <c r="R42"/>
  <c r="P42"/>
  <c r="N42"/>
  <c r="L42"/>
  <c r="T41"/>
  <c r="R41"/>
  <c r="P41"/>
  <c r="N41"/>
  <c r="L41"/>
  <c r="J35"/>
  <c r="T24"/>
  <c r="R24"/>
  <c r="P24"/>
  <c r="N24"/>
  <c r="L24"/>
  <c r="L9"/>
  <c r="N116"/>
  <c r="N9"/>
  <c r="L138"/>
  <c r="T138"/>
  <c r="L157"/>
  <c r="P157"/>
  <c r="T157"/>
  <c r="L174"/>
  <c r="P116"/>
  <c r="T116"/>
  <c r="R116"/>
  <c r="P138"/>
  <c r="R157"/>
  <c r="L116"/>
  <c r="N138"/>
  <c r="R138"/>
  <c r="N157"/>
  <c r="N174"/>
  <c r="P9"/>
  <c r="P174"/>
  <c r="R9"/>
  <c r="R174"/>
  <c r="T9"/>
  <c r="T174"/>
  <c r="L20"/>
  <c r="T20"/>
  <c r="P20"/>
  <c r="R15"/>
  <c r="N15"/>
  <c r="T15"/>
  <c r="P15"/>
  <c r="L11"/>
  <c r="T11"/>
  <c r="P13"/>
  <c r="P11"/>
  <c r="R13"/>
  <c r="L175"/>
  <c r="L54"/>
  <c r="P175"/>
  <c r="P54"/>
  <c r="T175"/>
  <c r="T54"/>
  <c r="N11"/>
  <c r="L12"/>
  <c r="R11"/>
  <c r="L13"/>
  <c r="N13"/>
  <c r="T13"/>
  <c r="R20"/>
  <c r="N20"/>
  <c r="N175"/>
  <c r="N54"/>
  <c r="R175"/>
  <c r="R54"/>
  <c r="N12"/>
  <c r="R16"/>
  <c r="N16"/>
  <c r="T16"/>
  <c r="J72"/>
  <c r="J73"/>
  <c r="P16"/>
  <c r="L16"/>
  <c r="J74"/>
  <c r="N70"/>
  <c r="N71"/>
  <c r="L71"/>
  <c r="L70"/>
  <c r="L72"/>
  <c r="L73"/>
  <c r="L74"/>
  <c r="N74"/>
  <c r="N72"/>
  <c r="N73"/>
  <c r="L21"/>
  <c r="N176"/>
  <c r="N75"/>
  <c r="L176"/>
  <c r="L77"/>
  <c r="L75"/>
  <c r="L78"/>
  <c r="N77"/>
  <c r="T71"/>
  <c r="R71"/>
  <c r="T70"/>
  <c r="P72"/>
  <c r="P73"/>
  <c r="L69"/>
  <c r="L92"/>
  <c r="R70"/>
  <c r="P71"/>
  <c r="P70"/>
  <c r="N78"/>
  <c r="P74"/>
  <c r="N21"/>
  <c r="P21"/>
  <c r="L10"/>
  <c r="R72"/>
  <c r="R73"/>
  <c r="T72"/>
  <c r="T73"/>
  <c r="N69"/>
  <c r="N92"/>
  <c r="P176"/>
  <c r="P75"/>
  <c r="P78"/>
  <c r="P77"/>
  <c r="R74"/>
  <c r="T21"/>
  <c r="R21"/>
  <c r="T74"/>
  <c r="N10"/>
  <c r="P69"/>
  <c r="P92"/>
  <c r="P10"/>
  <c r="T176"/>
  <c r="T77"/>
  <c r="T75"/>
  <c r="T78"/>
  <c r="R176"/>
  <c r="R78"/>
  <c r="R77"/>
  <c r="R75"/>
  <c r="T69"/>
  <c r="T92"/>
  <c r="T10"/>
  <c r="R69"/>
  <c r="R92"/>
  <c r="R10"/>
  <c r="J69"/>
  <c r="J92"/>
  <c r="J159"/>
  <c r="J161"/>
  <c r="J164"/>
  <c r="J165"/>
  <c r="L163"/>
  <c r="N19"/>
  <c r="N18"/>
  <c r="T19"/>
  <c r="T18"/>
  <c r="R19"/>
  <c r="R18"/>
  <c r="N177"/>
  <c r="N49"/>
  <c r="P19"/>
  <c r="P18"/>
  <c r="R177"/>
  <c r="R49"/>
  <c r="T177"/>
  <c r="T49"/>
  <c r="L19"/>
  <c r="L18"/>
  <c r="L17"/>
  <c r="P177"/>
  <c r="P49"/>
  <c r="L177"/>
  <c r="L49"/>
  <c r="L40"/>
  <c r="L64"/>
  <c r="L159"/>
  <c r="N40"/>
  <c r="N64"/>
  <c r="N159"/>
  <c r="N17"/>
  <c r="N35"/>
  <c r="N161"/>
  <c r="N164"/>
  <c r="P40"/>
  <c r="P64"/>
  <c r="P159"/>
  <c r="P17"/>
  <c r="P35"/>
  <c r="P161"/>
  <c r="P164"/>
  <c r="T40"/>
  <c r="T64"/>
  <c r="T159"/>
  <c r="T17"/>
  <c r="T35"/>
  <c r="T161"/>
  <c r="T164"/>
  <c r="R40"/>
  <c r="R64"/>
  <c r="R159"/>
  <c r="R17"/>
  <c r="R35"/>
  <c r="R161"/>
  <c r="R164"/>
  <c r="L15"/>
  <c r="L35"/>
  <c r="L161"/>
  <c r="L164"/>
  <c r="L165"/>
  <c r="N163"/>
  <c r="N165"/>
  <c r="P163"/>
  <c r="P165"/>
  <c r="R163"/>
  <c r="R165"/>
  <c r="T163"/>
  <c r="T165"/>
  <c r="A1" i="8"/>
  <c r="B35" i="7"/>
  <c r="B18"/>
  <c r="B1"/>
  <c r="C199" i="2"/>
  <c r="C197"/>
  <c r="C195"/>
  <c r="B194"/>
  <c r="O191"/>
  <c r="M191"/>
  <c r="K191"/>
  <c r="I191"/>
  <c r="G191"/>
  <c r="E191"/>
  <c r="C191"/>
  <c r="A176"/>
  <c r="A175"/>
  <c r="A174"/>
  <c r="A173"/>
  <c r="A172"/>
  <c r="A171"/>
  <c r="A170"/>
  <c r="A169"/>
  <c r="A168"/>
  <c r="A167"/>
  <c r="A166"/>
  <c r="A165"/>
  <c r="A164"/>
  <c r="A163"/>
  <c r="A162"/>
  <c r="A161"/>
  <c r="A160"/>
  <c r="A159"/>
  <c r="A158"/>
  <c r="A157"/>
  <c r="A156"/>
  <c r="A155"/>
  <c r="A154"/>
  <c r="C153"/>
  <c r="A153"/>
  <c r="A152"/>
  <c r="C86"/>
  <c r="C151"/>
  <c r="A151"/>
  <c r="F150"/>
  <c r="E89"/>
  <c r="E150"/>
  <c r="A150"/>
  <c r="A149"/>
  <c r="E148"/>
  <c r="N147"/>
  <c r="L147"/>
  <c r="J147"/>
  <c r="H147"/>
  <c r="E141"/>
  <c r="A141"/>
  <c r="E140"/>
  <c r="A140"/>
  <c r="E139"/>
  <c r="A139"/>
  <c r="E138"/>
  <c r="A138"/>
  <c r="E137"/>
  <c r="A137"/>
  <c r="E136"/>
  <c r="A136"/>
  <c r="E135"/>
  <c r="A135"/>
  <c r="E134"/>
  <c r="A134"/>
  <c r="E133"/>
  <c r="A133"/>
  <c r="E132"/>
  <c r="A132"/>
  <c r="E131"/>
  <c r="A131"/>
  <c r="E130"/>
  <c r="A130"/>
  <c r="E129"/>
  <c r="A129"/>
  <c r="E128"/>
  <c r="A128"/>
  <c r="E127"/>
  <c r="A127"/>
  <c r="E126"/>
  <c r="A126"/>
  <c r="E125"/>
  <c r="A125"/>
  <c r="E124"/>
  <c r="A124"/>
  <c r="E123"/>
  <c r="A123"/>
  <c r="E122"/>
  <c r="A122"/>
  <c r="E121"/>
  <c r="A121"/>
  <c r="E120"/>
  <c r="E119"/>
  <c r="E142"/>
  <c r="A120"/>
  <c r="A119"/>
  <c r="E118"/>
  <c r="A118"/>
  <c r="E115"/>
  <c r="E176"/>
  <c r="C115"/>
  <c r="C176"/>
  <c r="A115"/>
  <c r="E114"/>
  <c r="E175"/>
  <c r="C114"/>
  <c r="G114"/>
  <c r="A114"/>
  <c r="E113"/>
  <c r="E174"/>
  <c r="C113"/>
  <c r="C175"/>
  <c r="A113"/>
  <c r="E112"/>
  <c r="E173"/>
  <c r="C112"/>
  <c r="C174"/>
  <c r="A112"/>
  <c r="E111"/>
  <c r="E172"/>
  <c r="C111"/>
  <c r="C173"/>
  <c r="A111"/>
  <c r="E110"/>
  <c r="E171"/>
  <c r="C110"/>
  <c r="G110"/>
  <c r="A110"/>
  <c r="E109"/>
  <c r="E170"/>
  <c r="C109"/>
  <c r="G109"/>
  <c r="A109"/>
  <c r="E108"/>
  <c r="E169"/>
  <c r="C108"/>
  <c r="G108"/>
  <c r="A108"/>
  <c r="E107"/>
  <c r="E168"/>
  <c r="C107"/>
  <c r="C172"/>
  <c r="A107"/>
  <c r="E106"/>
  <c r="E167"/>
  <c r="C106"/>
  <c r="C171"/>
  <c r="A106"/>
  <c r="E105"/>
  <c r="E166"/>
  <c r="C105"/>
  <c r="C170"/>
  <c r="A105"/>
  <c r="E104"/>
  <c r="E165"/>
  <c r="C104"/>
  <c r="C169"/>
  <c r="A104"/>
  <c r="E103"/>
  <c r="E164"/>
  <c r="C103"/>
  <c r="G103"/>
  <c r="A103"/>
  <c r="E102"/>
  <c r="E163"/>
  <c r="C102"/>
  <c r="G102"/>
  <c r="A102"/>
  <c r="E101"/>
  <c r="E162"/>
  <c r="C101"/>
  <c r="C166"/>
  <c r="A101"/>
  <c r="E100"/>
  <c r="E161"/>
  <c r="C100"/>
  <c r="C167"/>
  <c r="A100"/>
  <c r="E99"/>
  <c r="E160"/>
  <c r="C99"/>
  <c r="C164"/>
  <c r="A99"/>
  <c r="E98"/>
  <c r="E159"/>
  <c r="C98"/>
  <c r="C163"/>
  <c r="A98"/>
  <c r="E97"/>
  <c r="E158"/>
  <c r="C97"/>
  <c r="C162"/>
  <c r="A97"/>
  <c r="E96"/>
  <c r="E157"/>
  <c r="C96"/>
  <c r="C161"/>
  <c r="A96"/>
  <c r="E95"/>
  <c r="E156"/>
  <c r="C95"/>
  <c r="C160"/>
  <c r="A95"/>
  <c r="E94"/>
  <c r="E155"/>
  <c r="C94"/>
  <c r="C159"/>
  <c r="A94"/>
  <c r="E93"/>
  <c r="E154"/>
  <c r="C93"/>
  <c r="C158"/>
  <c r="A93"/>
  <c r="E92"/>
  <c r="E153"/>
  <c r="C92"/>
  <c r="C157"/>
  <c r="A92"/>
  <c r="E91"/>
  <c r="E152"/>
  <c r="C91"/>
  <c r="C156"/>
  <c r="A91"/>
  <c r="E90"/>
  <c r="E151"/>
  <c r="C90"/>
  <c r="C155"/>
  <c r="A90"/>
  <c r="C89"/>
  <c r="C154"/>
  <c r="A89"/>
  <c r="A88"/>
  <c r="C87"/>
  <c r="C152"/>
  <c r="A87"/>
  <c r="G86"/>
  <c r="G140"/>
  <c r="A86"/>
  <c r="C85"/>
  <c r="C150"/>
  <c r="A85"/>
  <c r="C84"/>
  <c r="G84"/>
  <c r="G138"/>
  <c r="A84"/>
  <c r="C83"/>
  <c r="C141"/>
  <c r="A83"/>
  <c r="C82"/>
  <c r="G82"/>
  <c r="G136"/>
  <c r="C140"/>
  <c r="A82"/>
  <c r="C81"/>
  <c r="C139"/>
  <c r="A81"/>
  <c r="C80"/>
  <c r="G80"/>
  <c r="G134"/>
  <c r="C138"/>
  <c r="A80"/>
  <c r="C79"/>
  <c r="C137"/>
  <c r="A79"/>
  <c r="C78"/>
  <c r="G78"/>
  <c r="G132"/>
  <c r="C136"/>
  <c r="A78"/>
  <c r="C77"/>
  <c r="C135"/>
  <c r="A77"/>
  <c r="C76"/>
  <c r="G76"/>
  <c r="G130"/>
  <c r="C134"/>
  <c r="A76"/>
  <c r="C75"/>
  <c r="C133"/>
  <c r="A75"/>
  <c r="C74"/>
  <c r="G74"/>
  <c r="G128"/>
  <c r="C132"/>
  <c r="A74"/>
  <c r="C73"/>
  <c r="G73"/>
  <c r="A73"/>
  <c r="C72"/>
  <c r="G72"/>
  <c r="G126"/>
  <c r="C128"/>
  <c r="A72"/>
  <c r="C71"/>
  <c r="C127"/>
  <c r="A71"/>
  <c r="C70"/>
  <c r="G70"/>
  <c r="G124"/>
  <c r="C126"/>
  <c r="A70"/>
  <c r="C69"/>
  <c r="C125"/>
  <c r="A69"/>
  <c r="C68"/>
  <c r="G68"/>
  <c r="G122"/>
  <c r="C124"/>
  <c r="A68"/>
  <c r="C67"/>
  <c r="C123"/>
  <c r="A67"/>
  <c r="C66"/>
  <c r="C122"/>
  <c r="A66"/>
  <c r="L65"/>
  <c r="N65"/>
  <c r="C65"/>
  <c r="G65"/>
  <c r="G119"/>
  <c r="C121"/>
  <c r="C130"/>
  <c r="A65"/>
  <c r="A64"/>
  <c r="E61"/>
  <c r="G6"/>
  <c r="G118"/>
  <c r="A1"/>
  <c r="G163"/>
  <c r="I102"/>
  <c r="G169"/>
  <c r="I108"/>
  <c r="G171"/>
  <c r="I110"/>
  <c r="G175"/>
  <c r="I114"/>
  <c r="E181"/>
  <c r="E188"/>
  <c r="G147"/>
  <c r="G148"/>
  <c r="G186"/>
  <c r="G127"/>
  <c r="I73"/>
  <c r="I103"/>
  <c r="G164"/>
  <c r="G170"/>
  <c r="I109"/>
  <c r="G61"/>
  <c r="I65"/>
  <c r="G66"/>
  <c r="G89"/>
  <c r="G90"/>
  <c r="G91"/>
  <c r="G92"/>
  <c r="G93"/>
  <c r="G94"/>
  <c r="G95"/>
  <c r="G96"/>
  <c r="G97"/>
  <c r="G98"/>
  <c r="G99"/>
  <c r="G100"/>
  <c r="G101"/>
  <c r="G104"/>
  <c r="G105"/>
  <c r="G106"/>
  <c r="G107"/>
  <c r="G111"/>
  <c r="G112"/>
  <c r="G113"/>
  <c r="G115"/>
  <c r="C165"/>
  <c r="C187"/>
  <c r="G67"/>
  <c r="I68"/>
  <c r="G69"/>
  <c r="I70"/>
  <c r="G71"/>
  <c r="I72"/>
  <c r="I74"/>
  <c r="G75"/>
  <c r="I76"/>
  <c r="G77"/>
  <c r="I78"/>
  <c r="G79"/>
  <c r="I80"/>
  <c r="G81"/>
  <c r="I82"/>
  <c r="G83"/>
  <c r="I84"/>
  <c r="G85"/>
  <c r="I86"/>
  <c r="G87"/>
  <c r="G141"/>
  <c r="I87"/>
  <c r="G139"/>
  <c r="I85"/>
  <c r="G137"/>
  <c r="I83"/>
  <c r="G135"/>
  <c r="I81"/>
  <c r="G133"/>
  <c r="I79"/>
  <c r="G131"/>
  <c r="I77"/>
  <c r="G129"/>
  <c r="I75"/>
  <c r="I126"/>
  <c r="K72"/>
  <c r="I124"/>
  <c r="K70"/>
  <c r="I122"/>
  <c r="K68"/>
  <c r="I6"/>
  <c r="G176"/>
  <c r="I115"/>
  <c r="G173"/>
  <c r="I112"/>
  <c r="G168"/>
  <c r="I107"/>
  <c r="I105"/>
  <c r="G166"/>
  <c r="I101"/>
  <c r="G162"/>
  <c r="I99"/>
  <c r="G160"/>
  <c r="I97"/>
  <c r="G158"/>
  <c r="I95"/>
  <c r="G156"/>
  <c r="I93"/>
  <c r="G154"/>
  <c r="I91"/>
  <c r="G152"/>
  <c r="I89"/>
  <c r="G150"/>
  <c r="I119"/>
  <c r="I170"/>
  <c r="K109"/>
  <c r="K73"/>
  <c r="I127"/>
  <c r="E203"/>
  <c r="E199"/>
  <c r="E189"/>
  <c r="I140"/>
  <c r="K86"/>
  <c r="I138"/>
  <c r="K84"/>
  <c r="I136"/>
  <c r="K82"/>
  <c r="I134"/>
  <c r="K80"/>
  <c r="I132"/>
  <c r="K78"/>
  <c r="I130"/>
  <c r="K76"/>
  <c r="I128"/>
  <c r="K74"/>
  <c r="G125"/>
  <c r="I71"/>
  <c r="G123"/>
  <c r="I69"/>
  <c r="G121"/>
  <c r="I67"/>
  <c r="G174"/>
  <c r="I113"/>
  <c r="G172"/>
  <c r="I111"/>
  <c r="G167"/>
  <c r="I106"/>
  <c r="G165"/>
  <c r="I104"/>
  <c r="G161"/>
  <c r="I100"/>
  <c r="G159"/>
  <c r="I98"/>
  <c r="G157"/>
  <c r="I96"/>
  <c r="G155"/>
  <c r="I94"/>
  <c r="G153"/>
  <c r="I92"/>
  <c r="G151"/>
  <c r="I90"/>
  <c r="G120"/>
  <c r="I66"/>
  <c r="I164"/>
  <c r="K103"/>
  <c r="I175"/>
  <c r="K114"/>
  <c r="I171"/>
  <c r="K110"/>
  <c r="I169"/>
  <c r="K108"/>
  <c r="I163"/>
  <c r="K102"/>
  <c r="K169"/>
  <c r="M108"/>
  <c r="K175"/>
  <c r="M114"/>
  <c r="K164"/>
  <c r="M103"/>
  <c r="I151"/>
  <c r="K90"/>
  <c r="I155"/>
  <c r="K94"/>
  <c r="I159"/>
  <c r="K98"/>
  <c r="I165"/>
  <c r="K104"/>
  <c r="I172"/>
  <c r="K111"/>
  <c r="K69"/>
  <c r="I123"/>
  <c r="K71"/>
  <c r="I125"/>
  <c r="K128"/>
  <c r="M74"/>
  <c r="M76"/>
  <c r="K130"/>
  <c r="K132"/>
  <c r="M78"/>
  <c r="K134"/>
  <c r="M80"/>
  <c r="K136"/>
  <c r="M82"/>
  <c r="K138"/>
  <c r="M84"/>
  <c r="K140"/>
  <c r="M86"/>
  <c r="K170"/>
  <c r="M109"/>
  <c r="K119"/>
  <c r="M65"/>
  <c r="G181"/>
  <c r="G188"/>
  <c r="I168"/>
  <c r="K107"/>
  <c r="I173"/>
  <c r="K112"/>
  <c r="I176"/>
  <c r="K115"/>
  <c r="K6"/>
  <c r="K122"/>
  <c r="M68"/>
  <c r="K124"/>
  <c r="M70"/>
  <c r="K126"/>
  <c r="M72"/>
  <c r="I129"/>
  <c r="K75"/>
  <c r="K77"/>
  <c r="I131"/>
  <c r="K79"/>
  <c r="I133"/>
  <c r="K81"/>
  <c r="I135"/>
  <c r="K83"/>
  <c r="I137"/>
  <c r="K85"/>
  <c r="I139"/>
  <c r="K87"/>
  <c r="I141"/>
  <c r="M102"/>
  <c r="K163"/>
  <c r="K171"/>
  <c r="M110"/>
  <c r="I120"/>
  <c r="K66"/>
  <c r="I153"/>
  <c r="K92"/>
  <c r="I157"/>
  <c r="K96"/>
  <c r="I161"/>
  <c r="K100"/>
  <c r="I167"/>
  <c r="K106"/>
  <c r="I174"/>
  <c r="K113"/>
  <c r="K67"/>
  <c r="I121"/>
  <c r="G184"/>
  <c r="G142"/>
  <c r="G183"/>
  <c r="E201"/>
  <c r="K127"/>
  <c r="M73"/>
  <c r="I147"/>
  <c r="I148"/>
  <c r="I186"/>
  <c r="I142"/>
  <c r="I183"/>
  <c r="I150"/>
  <c r="K89"/>
  <c r="I152"/>
  <c r="K91"/>
  <c r="I154"/>
  <c r="K93"/>
  <c r="I156"/>
  <c r="K95"/>
  <c r="I158"/>
  <c r="K97"/>
  <c r="I160"/>
  <c r="K99"/>
  <c r="I162"/>
  <c r="K101"/>
  <c r="I166"/>
  <c r="K105"/>
  <c r="I118"/>
  <c r="I61"/>
  <c r="I181"/>
  <c r="I188"/>
  <c r="K121"/>
  <c r="M67"/>
  <c r="I184"/>
  <c r="M171"/>
  <c r="O110"/>
  <c r="O171"/>
  <c r="K141"/>
  <c r="M87"/>
  <c r="K139"/>
  <c r="M85"/>
  <c r="K137"/>
  <c r="M83"/>
  <c r="K135"/>
  <c r="M81"/>
  <c r="K133"/>
  <c r="M79"/>
  <c r="K131"/>
  <c r="M77"/>
  <c r="M6"/>
  <c r="M119"/>
  <c r="O119"/>
  <c r="M140"/>
  <c r="O86"/>
  <c r="O140"/>
  <c r="M138"/>
  <c r="O84"/>
  <c r="O138"/>
  <c r="M136"/>
  <c r="O82"/>
  <c r="O136"/>
  <c r="M134"/>
  <c r="O80"/>
  <c r="O134"/>
  <c r="M132"/>
  <c r="O78"/>
  <c r="O132"/>
  <c r="M128"/>
  <c r="O74"/>
  <c r="O128"/>
  <c r="K172"/>
  <c r="M111"/>
  <c r="M104"/>
  <c r="K165"/>
  <c r="M98"/>
  <c r="K159"/>
  <c r="M94"/>
  <c r="K155"/>
  <c r="M90"/>
  <c r="K151"/>
  <c r="M164"/>
  <c r="O103"/>
  <c r="O164"/>
  <c r="M175"/>
  <c r="O114"/>
  <c r="O175"/>
  <c r="M169"/>
  <c r="O108"/>
  <c r="O169"/>
  <c r="K166"/>
  <c r="M105"/>
  <c r="K162"/>
  <c r="M101"/>
  <c r="K160"/>
  <c r="M99"/>
  <c r="K158"/>
  <c r="M97"/>
  <c r="K156"/>
  <c r="M95"/>
  <c r="K154"/>
  <c r="M93"/>
  <c r="K152"/>
  <c r="M91"/>
  <c r="K150"/>
  <c r="M89"/>
  <c r="I185"/>
  <c r="I197"/>
  <c r="I195"/>
  <c r="I187"/>
  <c r="O73"/>
  <c r="O127"/>
  <c r="M127"/>
  <c r="G195"/>
  <c r="G187"/>
  <c r="G189"/>
  <c r="G185"/>
  <c r="G197"/>
  <c r="K174"/>
  <c r="M113"/>
  <c r="M106"/>
  <c r="K167"/>
  <c r="M100"/>
  <c r="K161"/>
  <c r="M96"/>
  <c r="K157"/>
  <c r="M92"/>
  <c r="K153"/>
  <c r="K120"/>
  <c r="M66"/>
  <c r="M163"/>
  <c r="O102"/>
  <c r="O163"/>
  <c r="K129"/>
  <c r="M75"/>
  <c r="M126"/>
  <c r="O72"/>
  <c r="O126"/>
  <c r="M124"/>
  <c r="O70"/>
  <c r="O124"/>
  <c r="M122"/>
  <c r="O68"/>
  <c r="O122"/>
  <c r="K118"/>
  <c r="K61"/>
  <c r="K176"/>
  <c r="M115"/>
  <c r="K173"/>
  <c r="M112"/>
  <c r="K168"/>
  <c r="M107"/>
  <c r="G203"/>
  <c r="G199"/>
  <c r="K147"/>
  <c r="K148"/>
  <c r="K186"/>
  <c r="M170"/>
  <c r="O109"/>
  <c r="O170"/>
  <c r="M130"/>
  <c r="O76"/>
  <c r="O130"/>
  <c r="K125"/>
  <c r="M71"/>
  <c r="K123"/>
  <c r="M69"/>
  <c r="I189"/>
  <c r="M173"/>
  <c r="O112"/>
  <c r="O173"/>
  <c r="O69"/>
  <c r="O123"/>
  <c r="M123"/>
  <c r="O71"/>
  <c r="O125"/>
  <c r="M125"/>
  <c r="K142"/>
  <c r="K183"/>
  <c r="K184"/>
  <c r="M153"/>
  <c r="O92"/>
  <c r="O153"/>
  <c r="M157"/>
  <c r="O96"/>
  <c r="O157"/>
  <c r="M161"/>
  <c r="O100"/>
  <c r="O161"/>
  <c r="M167"/>
  <c r="O106"/>
  <c r="O167"/>
  <c r="G201"/>
  <c r="I201"/>
  <c r="K181"/>
  <c r="K188"/>
  <c r="M151"/>
  <c r="O90"/>
  <c r="O151"/>
  <c r="M155"/>
  <c r="O94"/>
  <c r="O155"/>
  <c r="M159"/>
  <c r="O98"/>
  <c r="O159"/>
  <c r="M165"/>
  <c r="O104"/>
  <c r="O165"/>
  <c r="M147"/>
  <c r="M148"/>
  <c r="M186"/>
  <c r="O6"/>
  <c r="O67"/>
  <c r="O121"/>
  <c r="M121"/>
  <c r="I203"/>
  <c r="I199"/>
  <c r="M168"/>
  <c r="O107"/>
  <c r="O168"/>
  <c r="M176"/>
  <c r="O115"/>
  <c r="O176"/>
  <c r="M129"/>
  <c r="O75"/>
  <c r="O129"/>
  <c r="M120"/>
  <c r="M131"/>
  <c r="M133"/>
  <c r="M135"/>
  <c r="M137"/>
  <c r="M139"/>
  <c r="M141"/>
  <c r="M142"/>
  <c r="M183"/>
  <c r="O66"/>
  <c r="O120"/>
  <c r="M174"/>
  <c r="O113"/>
  <c r="O174"/>
  <c r="M150"/>
  <c r="O89"/>
  <c r="O150"/>
  <c r="M152"/>
  <c r="O91"/>
  <c r="O152"/>
  <c r="M154"/>
  <c r="O93"/>
  <c r="O154"/>
  <c r="M156"/>
  <c r="O95"/>
  <c r="O156"/>
  <c r="M158"/>
  <c r="O97"/>
  <c r="O158"/>
  <c r="M160"/>
  <c r="O99"/>
  <c r="O160"/>
  <c r="M162"/>
  <c r="O101"/>
  <c r="O162"/>
  <c r="M166"/>
  <c r="O105"/>
  <c r="O166"/>
  <c r="M172"/>
  <c r="O111"/>
  <c r="O172"/>
  <c r="O147"/>
  <c r="O148"/>
  <c r="O186"/>
  <c r="M118"/>
  <c r="M61"/>
  <c r="O77"/>
  <c r="O131"/>
  <c r="O79"/>
  <c r="O133"/>
  <c r="O81"/>
  <c r="O135"/>
  <c r="O83"/>
  <c r="O137"/>
  <c r="O85"/>
  <c r="O139"/>
  <c r="O87"/>
  <c r="O141"/>
  <c r="O142"/>
  <c r="O183"/>
  <c r="O195"/>
  <c r="O187"/>
  <c r="M187"/>
  <c r="M195"/>
  <c r="O181"/>
  <c r="O188"/>
  <c r="O184"/>
  <c r="O185"/>
  <c r="O197"/>
  <c r="O118"/>
  <c r="O61"/>
  <c r="K203"/>
  <c r="K199"/>
  <c r="M181"/>
  <c r="M188"/>
  <c r="M184"/>
  <c r="M185"/>
  <c r="M197"/>
  <c r="K195"/>
  <c r="K187"/>
  <c r="K189"/>
  <c r="K185"/>
  <c r="K197"/>
  <c r="K201"/>
  <c r="O189"/>
  <c r="M203"/>
  <c r="M199"/>
  <c r="O203"/>
  <c r="O199"/>
  <c r="M189"/>
  <c r="M201"/>
  <c r="O201"/>
  <c r="M96" i="4"/>
  <c r="G69"/>
  <c r="E69"/>
  <c r="G68"/>
  <c r="E68"/>
  <c r="G67"/>
  <c r="E67"/>
  <c r="G66"/>
  <c r="E66"/>
  <c r="E70"/>
  <c r="M62"/>
  <c r="K62"/>
  <c r="I62"/>
  <c r="M61"/>
  <c r="K61"/>
  <c r="I61"/>
  <c r="M60"/>
  <c r="K60"/>
  <c r="I60"/>
  <c r="M59"/>
  <c r="K59"/>
  <c r="I59"/>
  <c r="M56"/>
  <c r="M69"/>
  <c r="K56"/>
  <c r="K69"/>
  <c r="I56"/>
  <c r="I69"/>
  <c r="M55"/>
  <c r="M68"/>
  <c r="K55"/>
  <c r="K68"/>
  <c r="I55"/>
  <c r="I68"/>
  <c r="M54"/>
  <c r="M67"/>
  <c r="K54"/>
  <c r="K67"/>
  <c r="I54"/>
  <c r="I67"/>
  <c r="M53"/>
  <c r="M66"/>
  <c r="M70"/>
  <c r="K53"/>
  <c r="K66"/>
  <c r="I53"/>
  <c r="I66"/>
  <c r="I70"/>
  <c r="C46"/>
  <c r="G39"/>
  <c r="G40"/>
  <c r="G41"/>
  <c r="C41"/>
  <c r="M40"/>
  <c r="K40"/>
  <c r="K39"/>
  <c r="K41"/>
  <c r="I40"/>
  <c r="E40"/>
  <c r="M39"/>
  <c r="M41"/>
  <c r="I39"/>
  <c r="I41"/>
  <c r="C36"/>
  <c r="C43"/>
  <c r="M35"/>
  <c r="K35"/>
  <c r="K34"/>
  <c r="K36"/>
  <c r="K43"/>
  <c r="I35"/>
  <c r="G35"/>
  <c r="G34"/>
  <c r="G36"/>
  <c r="G43"/>
  <c r="E35"/>
  <c r="M34"/>
  <c r="M36"/>
  <c r="M43"/>
  <c r="I34"/>
  <c r="I36"/>
  <c r="I43"/>
  <c r="M29"/>
  <c r="K29"/>
  <c r="I29"/>
  <c r="G29"/>
  <c r="L20"/>
  <c r="J20"/>
  <c r="H20"/>
  <c r="F20"/>
  <c r="C13"/>
  <c r="M12"/>
  <c r="K12"/>
  <c r="I12"/>
  <c r="G12"/>
  <c r="M10"/>
  <c r="M18"/>
  <c r="K10"/>
  <c r="K18"/>
  <c r="I10"/>
  <c r="I18"/>
  <c r="G10"/>
  <c r="G18"/>
  <c r="E10"/>
  <c r="E18"/>
  <c r="B1"/>
  <c r="E8"/>
  <c r="K70"/>
  <c r="G70"/>
  <c r="E75"/>
  <c r="E46"/>
  <c r="E33"/>
  <c r="E89"/>
  <c r="E27"/>
  <c r="E16"/>
  <c r="G8"/>
  <c r="I8"/>
  <c r="G89"/>
  <c r="G27"/>
  <c r="G16"/>
  <c r="G75"/>
  <c r="G46"/>
  <c r="G33"/>
  <c r="K8"/>
  <c r="I75"/>
  <c r="I46"/>
  <c r="I33"/>
  <c r="I89"/>
  <c r="I27"/>
  <c r="I16"/>
  <c r="M8"/>
  <c r="K89"/>
  <c r="K27"/>
  <c r="K16"/>
  <c r="K46"/>
  <c r="K33"/>
  <c r="K75"/>
  <c r="M75"/>
  <c r="M46"/>
  <c r="M33"/>
  <c r="M89"/>
  <c r="M27"/>
  <c r="M16"/>
  <c r="K79"/>
  <c r="G79"/>
  <c r="M78"/>
  <c r="I78"/>
  <c r="E78"/>
  <c r="K77"/>
  <c r="G77"/>
  <c r="M93"/>
  <c r="K93"/>
  <c r="I93"/>
  <c r="G93"/>
  <c r="E93"/>
  <c r="M92"/>
  <c r="K92"/>
  <c r="I92"/>
  <c r="G92"/>
  <c r="E92"/>
  <c r="M91"/>
  <c r="K91"/>
  <c r="G91"/>
  <c r="E91"/>
  <c r="G90"/>
  <c r="G94"/>
  <c r="M84"/>
  <c r="K84"/>
  <c r="I84"/>
  <c r="G84"/>
  <c r="E84"/>
  <c r="M83"/>
  <c r="K83"/>
  <c r="I83"/>
  <c r="G83"/>
  <c r="E83"/>
  <c r="M82"/>
  <c r="K82"/>
  <c r="I82"/>
  <c r="G82"/>
  <c r="E82"/>
  <c r="M81"/>
  <c r="K81"/>
  <c r="I81"/>
  <c r="G81"/>
  <c r="E81"/>
  <c r="K80"/>
  <c r="G80"/>
  <c r="M79"/>
  <c r="I79"/>
  <c r="E79"/>
  <c r="K78"/>
  <c r="G78"/>
  <c r="M77"/>
  <c r="I77"/>
  <c r="E77"/>
  <c r="G76"/>
  <c r="G85"/>
  <c r="G97"/>
  <c r="G28"/>
  <c r="G30"/>
  <c r="G17"/>
  <c r="G19"/>
  <c r="G20"/>
  <c r="G22"/>
  <c r="G23"/>
  <c r="G24"/>
  <c r="G9"/>
  <c r="G11"/>
  <c r="G13"/>
  <c r="E90"/>
  <c r="E94"/>
  <c r="E39"/>
  <c r="E41"/>
  <c r="M90"/>
  <c r="M94"/>
  <c r="I80"/>
  <c r="K90"/>
  <c r="K94"/>
  <c r="I91"/>
  <c r="I90"/>
  <c r="I94"/>
  <c r="E80"/>
  <c r="M80"/>
  <c r="E76"/>
  <c r="E85"/>
  <c r="E34"/>
  <c r="E36"/>
  <c r="E43"/>
  <c r="M76"/>
  <c r="M85"/>
  <c r="M97"/>
  <c r="M28"/>
  <c r="M30"/>
  <c r="M17"/>
  <c r="M19"/>
  <c r="M20"/>
  <c r="M22"/>
  <c r="M23"/>
  <c r="M24"/>
  <c r="M9"/>
  <c r="M11"/>
  <c r="M13"/>
  <c r="K76"/>
  <c r="K85"/>
  <c r="K97"/>
  <c r="K9"/>
  <c r="K11"/>
  <c r="K13"/>
  <c r="K28"/>
  <c r="K30"/>
  <c r="K17"/>
  <c r="K19"/>
  <c r="K20"/>
  <c r="K22"/>
  <c r="K23"/>
  <c r="K24"/>
  <c r="I76"/>
  <c r="I85"/>
  <c r="I97"/>
  <c r="I28"/>
  <c r="I30"/>
  <c r="I17"/>
  <c r="I19"/>
  <c r="I20"/>
  <c r="I22"/>
  <c r="I23"/>
  <c r="I24"/>
  <c r="I9"/>
  <c r="I11"/>
  <c r="I13"/>
  <c r="E97"/>
  <c r="E28"/>
  <c r="E30"/>
  <c r="E17"/>
  <c r="E19"/>
  <c r="E20"/>
  <c r="E22"/>
  <c r="E23"/>
  <c r="E24"/>
  <c r="E9"/>
  <c r="E11"/>
  <c r="E13"/>
  <c r="Y226" i="3"/>
  <c r="Y235"/>
  <c r="K226"/>
  <c r="K235"/>
  <c r="AF226"/>
  <c r="AF235"/>
  <c r="R226"/>
  <c r="R235"/>
  <c r="D226"/>
  <c r="D235"/>
  <c r="X209"/>
  <c r="X210"/>
  <c r="X211"/>
  <c r="AA216"/>
  <c r="J209"/>
  <c r="J210"/>
  <c r="J211"/>
  <c r="M216"/>
  <c r="AG210"/>
  <c r="AE210"/>
  <c r="Z210"/>
  <c r="S210"/>
  <c r="Q210"/>
  <c r="L210"/>
  <c r="E210"/>
  <c r="C210"/>
  <c r="AG209"/>
  <c r="AE209"/>
  <c r="AE211"/>
  <c r="AH216"/>
  <c r="Z209"/>
  <c r="S209"/>
  <c r="Q209"/>
  <c r="Q211"/>
  <c r="T216"/>
  <c r="L209"/>
  <c r="E209"/>
  <c r="C209"/>
  <c r="C211"/>
  <c r="F216"/>
  <c r="AG192"/>
  <c r="AE192"/>
  <c r="Z192"/>
  <c r="X192"/>
  <c r="S192"/>
  <c r="Q192"/>
  <c r="L192"/>
  <c r="J192"/>
  <c r="E192"/>
  <c r="C192"/>
  <c r="AG191"/>
  <c r="AE191"/>
  <c r="Z191"/>
  <c r="X191"/>
  <c r="S191"/>
  <c r="Q191"/>
  <c r="L191"/>
  <c r="J191"/>
  <c r="E191"/>
  <c r="C191"/>
  <c r="AG190"/>
  <c r="AE190"/>
  <c r="Z190"/>
  <c r="X190"/>
  <c r="S190"/>
  <c r="Q190"/>
  <c r="L190"/>
  <c r="J190"/>
  <c r="E190"/>
  <c r="C190"/>
  <c r="AG189"/>
  <c r="AE189"/>
  <c r="AE193"/>
  <c r="AH200"/>
  <c r="Z189"/>
  <c r="X189"/>
  <c r="X193"/>
  <c r="AA200"/>
  <c r="S189"/>
  <c r="Q189"/>
  <c r="Q193"/>
  <c r="T200"/>
  <c r="L189"/>
  <c r="J189"/>
  <c r="J193"/>
  <c r="M200"/>
  <c r="E189"/>
  <c r="C189"/>
  <c r="C193"/>
  <c r="F200"/>
  <c r="AE161"/>
  <c r="X161"/>
  <c r="Q161"/>
  <c r="J161"/>
  <c r="C161"/>
  <c r="X16"/>
  <c r="X143"/>
  <c r="J18"/>
  <c r="J143"/>
  <c r="C143"/>
  <c r="AE15"/>
  <c r="AE137"/>
  <c r="C137"/>
  <c r="AF130"/>
  <c r="AF132"/>
  <c r="Y130"/>
  <c r="Y132"/>
  <c r="R130"/>
  <c r="R132"/>
  <c r="K130"/>
  <c r="K132"/>
  <c r="D130"/>
  <c r="D132"/>
  <c r="AG130"/>
  <c r="AG132"/>
  <c r="AE130"/>
  <c r="AE132"/>
  <c r="AH132"/>
  <c r="AE136"/>
  <c r="AE138"/>
  <c r="AE148"/>
  <c r="Z130"/>
  <c r="Z132"/>
  <c r="X130"/>
  <c r="X132"/>
  <c r="AA132"/>
  <c r="X136"/>
  <c r="X15"/>
  <c r="X137"/>
  <c r="X138"/>
  <c r="X148"/>
  <c r="S130"/>
  <c r="S132"/>
  <c r="Q130"/>
  <c r="Q132"/>
  <c r="T132"/>
  <c r="Q136"/>
  <c r="L130"/>
  <c r="L132"/>
  <c r="J130"/>
  <c r="J132"/>
  <c r="M132"/>
  <c r="J136"/>
  <c r="J17"/>
  <c r="J137"/>
  <c r="J138"/>
  <c r="J148"/>
  <c r="E130"/>
  <c r="E132"/>
  <c r="C130"/>
  <c r="C132"/>
  <c r="F132"/>
  <c r="C136"/>
  <c r="C138"/>
  <c r="C148"/>
  <c r="AH129"/>
  <c r="AA129"/>
  <c r="T129"/>
  <c r="M129"/>
  <c r="F129"/>
  <c r="AH128"/>
  <c r="AA128"/>
  <c r="T128"/>
  <c r="M128"/>
  <c r="F128"/>
  <c r="AH127"/>
  <c r="AA127"/>
  <c r="T127"/>
  <c r="T126"/>
  <c r="T130"/>
  <c r="Q142"/>
  <c r="Q16"/>
  <c r="Q143"/>
  <c r="Q144"/>
  <c r="Q149"/>
  <c r="M127"/>
  <c r="F127"/>
  <c r="AH126"/>
  <c r="AA126"/>
  <c r="AA130"/>
  <c r="X142"/>
  <c r="X144"/>
  <c r="X149"/>
  <c r="M126"/>
  <c r="F126"/>
  <c r="AG98"/>
  <c r="AE110"/>
  <c r="AE112"/>
  <c r="AE117"/>
  <c r="F95"/>
  <c r="F96"/>
  <c r="F97"/>
  <c r="F98"/>
  <c r="C110"/>
  <c r="AE98"/>
  <c r="AE100"/>
  <c r="AF98"/>
  <c r="AF100"/>
  <c r="AG100"/>
  <c r="AE104"/>
  <c r="AE106"/>
  <c r="AE116"/>
  <c r="AE118"/>
  <c r="X98"/>
  <c r="X100"/>
  <c r="Y98"/>
  <c r="Y100"/>
  <c r="Z100"/>
  <c r="X104"/>
  <c r="X106"/>
  <c r="X116"/>
  <c r="R98"/>
  <c r="R100"/>
  <c r="K98"/>
  <c r="K100"/>
  <c r="D98"/>
  <c r="D100"/>
  <c r="Z98"/>
  <c r="X110"/>
  <c r="X112"/>
  <c r="X117"/>
  <c r="S98"/>
  <c r="Q110"/>
  <c r="Q112"/>
  <c r="Q117"/>
  <c r="Q98"/>
  <c r="Q100"/>
  <c r="L98"/>
  <c r="L100"/>
  <c r="J98"/>
  <c r="J100"/>
  <c r="M100"/>
  <c r="J104"/>
  <c r="E98"/>
  <c r="E100"/>
  <c r="C98"/>
  <c r="C100"/>
  <c r="F100"/>
  <c r="C104"/>
  <c r="C15"/>
  <c r="C105"/>
  <c r="C106"/>
  <c r="C116"/>
  <c r="M97"/>
  <c r="M96"/>
  <c r="M95"/>
  <c r="M98"/>
  <c r="J110"/>
  <c r="C79"/>
  <c r="S61"/>
  <c r="S62"/>
  <c r="S63"/>
  <c r="S64"/>
  <c r="S65"/>
  <c r="S66"/>
  <c r="Q78"/>
  <c r="Q14"/>
  <c r="Q79"/>
  <c r="Q80"/>
  <c r="Q85"/>
  <c r="AE13"/>
  <c r="AE73"/>
  <c r="Q13"/>
  <c r="Q73"/>
  <c r="C73"/>
  <c r="AE66"/>
  <c r="AE68"/>
  <c r="AF66"/>
  <c r="AF68"/>
  <c r="AG68"/>
  <c r="AE72"/>
  <c r="AE74"/>
  <c r="AE84"/>
  <c r="Y66"/>
  <c r="Y68"/>
  <c r="Q66"/>
  <c r="Q68"/>
  <c r="K66"/>
  <c r="K68"/>
  <c r="C66"/>
  <c r="C68"/>
  <c r="D66"/>
  <c r="D68"/>
  <c r="E68"/>
  <c r="C72"/>
  <c r="C74"/>
  <c r="C84"/>
  <c r="X66"/>
  <c r="X68"/>
  <c r="Z68"/>
  <c r="X72"/>
  <c r="X13"/>
  <c r="X73"/>
  <c r="X74"/>
  <c r="X84"/>
  <c r="R66"/>
  <c r="R68"/>
  <c r="S68"/>
  <c r="Q72"/>
  <c r="Q74"/>
  <c r="Q84"/>
  <c r="L61"/>
  <c r="L62"/>
  <c r="L63"/>
  <c r="L64"/>
  <c r="L65"/>
  <c r="L66"/>
  <c r="J78"/>
  <c r="J66"/>
  <c r="J68"/>
  <c r="L68"/>
  <c r="J72"/>
  <c r="AG65"/>
  <c r="Z65"/>
  <c r="E65"/>
  <c r="AG64"/>
  <c r="Z64"/>
  <c r="E64"/>
  <c r="AG63"/>
  <c r="Z63"/>
  <c r="E63"/>
  <c r="AG62"/>
  <c r="Z62"/>
  <c r="E62"/>
  <c r="AG61"/>
  <c r="AG66"/>
  <c r="AE78"/>
  <c r="AE14"/>
  <c r="AE79"/>
  <c r="AE80"/>
  <c r="AE85"/>
  <c r="Z61"/>
  <c r="E61"/>
  <c r="E66"/>
  <c r="C78"/>
  <c r="C80"/>
  <c r="C85"/>
  <c r="C43"/>
  <c r="AE11"/>
  <c r="AE37"/>
  <c r="Q11"/>
  <c r="Q37"/>
  <c r="C37"/>
  <c r="AE30"/>
  <c r="AE32"/>
  <c r="AF30"/>
  <c r="AF32"/>
  <c r="AG32"/>
  <c r="AE36"/>
  <c r="AE38"/>
  <c r="AE48"/>
  <c r="Y30"/>
  <c r="Y32"/>
  <c r="Q30"/>
  <c r="Q32"/>
  <c r="K30"/>
  <c r="K32"/>
  <c r="C30"/>
  <c r="C32"/>
  <c r="D30"/>
  <c r="D32"/>
  <c r="E32"/>
  <c r="C36"/>
  <c r="C38"/>
  <c r="C48"/>
  <c r="AG30"/>
  <c r="X30"/>
  <c r="X32"/>
  <c r="Z32"/>
  <c r="X36"/>
  <c r="X11"/>
  <c r="X37"/>
  <c r="X38"/>
  <c r="X48"/>
  <c r="R30"/>
  <c r="R32"/>
  <c r="S32"/>
  <c r="Q36"/>
  <c r="Q38"/>
  <c r="Q48"/>
  <c r="J30"/>
  <c r="J32"/>
  <c r="L32"/>
  <c r="J36"/>
  <c r="J11"/>
  <c r="J37"/>
  <c r="J38"/>
  <c r="J48"/>
  <c r="E30"/>
  <c r="AG29"/>
  <c r="Z29"/>
  <c r="S29"/>
  <c r="L29"/>
  <c r="E29"/>
  <c r="AG28"/>
  <c r="Z28"/>
  <c r="S28"/>
  <c r="L28"/>
  <c r="E28"/>
  <c r="AG27"/>
  <c r="Z27"/>
  <c r="S27"/>
  <c r="L27"/>
  <c r="E27"/>
  <c r="AG26"/>
  <c r="Z26"/>
  <c r="S26"/>
  <c r="L26"/>
  <c r="E26"/>
  <c r="AE16"/>
  <c r="AE143"/>
  <c r="C16"/>
  <c r="C111"/>
  <c r="Q15"/>
  <c r="Q137"/>
  <c r="X14"/>
  <c r="X79"/>
  <c r="J14"/>
  <c r="J79"/>
  <c r="J13"/>
  <c r="AE12"/>
  <c r="AE43"/>
  <c r="X12"/>
  <c r="X43"/>
  <c r="Q12"/>
  <c r="Q43"/>
  <c r="J12"/>
  <c r="J43"/>
  <c r="B7"/>
  <c r="B9"/>
  <c r="B1"/>
  <c r="C86"/>
  <c r="AE86"/>
  <c r="Q138"/>
  <c r="Q148"/>
  <c r="Q150"/>
  <c r="Q86"/>
  <c r="X118"/>
  <c r="X150"/>
  <c r="J73"/>
  <c r="J74"/>
  <c r="J84"/>
  <c r="J80"/>
  <c r="J85"/>
  <c r="J86"/>
  <c r="J15"/>
  <c r="J105"/>
  <c r="J106"/>
  <c r="J116"/>
  <c r="L30"/>
  <c r="C112"/>
  <c r="C117"/>
  <c r="C118"/>
  <c r="J16"/>
  <c r="J111"/>
  <c r="J112"/>
  <c r="J117"/>
  <c r="B21"/>
  <c r="S30"/>
  <c r="Z30"/>
  <c r="C42"/>
  <c r="C44"/>
  <c r="C49"/>
  <c r="C50"/>
  <c r="AE42"/>
  <c r="AE44"/>
  <c r="AE49"/>
  <c r="AE50"/>
  <c r="Z66"/>
  <c r="X78"/>
  <c r="X80"/>
  <c r="X85"/>
  <c r="X86"/>
  <c r="S100"/>
  <c r="Q104"/>
  <c r="Q106"/>
  <c r="Q116"/>
  <c r="Q118"/>
  <c r="F130"/>
  <c r="C142"/>
  <c r="C144"/>
  <c r="C149"/>
  <c r="C150"/>
  <c r="M130"/>
  <c r="J142"/>
  <c r="J144"/>
  <c r="J149"/>
  <c r="J150"/>
  <c r="AH130"/>
  <c r="AE142"/>
  <c r="AE144"/>
  <c r="AE149"/>
  <c r="AE150"/>
  <c r="C156"/>
  <c r="AE156"/>
  <c r="J118"/>
  <c r="X168"/>
  <c r="X170"/>
  <c r="X156"/>
  <c r="X42"/>
  <c r="X44"/>
  <c r="X49"/>
  <c r="X50"/>
  <c r="I7"/>
  <c r="J168"/>
  <c r="J170"/>
  <c r="J156"/>
  <c r="J42"/>
  <c r="J44"/>
  <c r="J49"/>
  <c r="J50"/>
  <c r="D210"/>
  <c r="F210"/>
  <c r="AE168"/>
  <c r="AE170"/>
  <c r="Q168"/>
  <c r="Q170"/>
  <c r="Q156"/>
  <c r="Q42"/>
  <c r="Q44"/>
  <c r="Q49"/>
  <c r="Q50"/>
  <c r="D191"/>
  <c r="F191"/>
  <c r="D209"/>
  <c r="D192"/>
  <c r="F192"/>
  <c r="D190"/>
  <c r="F190"/>
  <c r="C168"/>
  <c r="C170"/>
  <c r="K190"/>
  <c r="M190"/>
  <c r="P7"/>
  <c r="K209"/>
  <c r="D189"/>
  <c r="F209"/>
  <c r="F211"/>
  <c r="D211"/>
  <c r="K210"/>
  <c r="M210"/>
  <c r="I21"/>
  <c r="I9"/>
  <c r="K191"/>
  <c r="M191"/>
  <c r="F215"/>
  <c r="C215"/>
  <c r="C216"/>
  <c r="D234"/>
  <c r="R209"/>
  <c r="K192"/>
  <c r="M192"/>
  <c r="K189"/>
  <c r="P9"/>
  <c r="P21"/>
  <c r="W7"/>
  <c r="R190"/>
  <c r="T190"/>
  <c r="R210"/>
  <c r="T210"/>
  <c r="D193"/>
  <c r="F189"/>
  <c r="F193"/>
  <c r="K211"/>
  <c r="M209"/>
  <c r="M211"/>
  <c r="R192"/>
  <c r="T192"/>
  <c r="R191"/>
  <c r="T191"/>
  <c r="Y191"/>
  <c r="AA191"/>
  <c r="R189"/>
  <c r="Y190"/>
  <c r="AA190"/>
  <c r="AF190"/>
  <c r="AH190"/>
  <c r="AD7"/>
  <c r="M189"/>
  <c r="M193"/>
  <c r="K193"/>
  <c r="AF209"/>
  <c r="Y209"/>
  <c r="AF191"/>
  <c r="AH191"/>
  <c r="M215"/>
  <c r="J215"/>
  <c r="J216"/>
  <c r="K234"/>
  <c r="C199"/>
  <c r="F199"/>
  <c r="C200"/>
  <c r="D233"/>
  <c r="D236"/>
  <c r="Y210"/>
  <c r="AA210"/>
  <c r="AF210"/>
  <c r="AH210"/>
  <c r="W21"/>
  <c r="W9"/>
  <c r="R211"/>
  <c r="T209"/>
  <c r="T211"/>
  <c r="T215"/>
  <c r="Q215"/>
  <c r="Q216"/>
  <c r="R234"/>
  <c r="AF189"/>
  <c r="Y211"/>
  <c r="AA209"/>
  <c r="AA211"/>
  <c r="Y192"/>
  <c r="AA192"/>
  <c r="R193"/>
  <c r="T189"/>
  <c r="T193"/>
  <c r="Y189"/>
  <c r="AH209"/>
  <c r="AH211"/>
  <c r="AF211"/>
  <c r="J199"/>
  <c r="M199"/>
  <c r="AD9"/>
  <c r="AD21"/>
  <c r="AF192"/>
  <c r="AH192"/>
  <c r="J200"/>
  <c r="K233"/>
  <c r="K236"/>
  <c r="AH215"/>
  <c r="AE215"/>
  <c r="AE216"/>
  <c r="AF234"/>
  <c r="AA189"/>
  <c r="AA193"/>
  <c r="Y193"/>
  <c r="Q199"/>
  <c r="T199"/>
  <c r="Q200"/>
  <c r="R233"/>
  <c r="R236"/>
  <c r="AF193"/>
  <c r="AH189"/>
  <c r="AH193"/>
  <c r="AA215"/>
  <c r="X215"/>
  <c r="X216"/>
  <c r="Y234"/>
  <c r="AE199"/>
  <c r="AH199"/>
  <c r="AE200"/>
  <c r="AF233"/>
  <c r="AF236"/>
  <c r="X199"/>
  <c r="AA199"/>
  <c r="X200"/>
  <c r="Y233"/>
  <c r="Y236"/>
</calcChain>
</file>

<file path=xl/sharedStrings.xml><?xml version="1.0" encoding="utf-8"?>
<sst xmlns="http://schemas.openxmlformats.org/spreadsheetml/2006/main" count="1693" uniqueCount="629">
  <si>
    <t>Estimated Cash Balance at the End of the FY</t>
  </si>
  <si>
    <t>BUDGETED DATA SUMMARY TABLE</t>
  </si>
  <si>
    <t>Number of Employees Budgeted</t>
  </si>
  <si>
    <t>Total Salaries Budgeted</t>
  </si>
  <si>
    <t>Fixed</t>
  </si>
  <si>
    <t>% of Salaries</t>
  </si>
  <si>
    <t>Charter School</t>
  </si>
  <si>
    <t>Contract School</t>
  </si>
  <si>
    <t>Budget Summary</t>
  </si>
  <si>
    <t>% of Total Revenues</t>
  </si>
  <si>
    <t>$ Cost Per Pupil</t>
  </si>
  <si>
    <t>% of Total Expenses</t>
  </si>
  <si>
    <t>Beginning Cash Balance</t>
  </si>
  <si>
    <t>Net Surplus/(Deficit) for the Fiscal Year</t>
  </si>
  <si>
    <t>Estimated Cash Balance at the End of the Fiscal Year</t>
  </si>
  <si>
    <t>DATA SUMMARY TABLE</t>
  </si>
  <si>
    <t>School Name</t>
  </si>
  <si>
    <t>This worksheet is only required if you plan to use loans for facility projects, capital expenditures, or operations.</t>
  </si>
  <si>
    <t>Facility Loan(s)</t>
  </si>
  <si>
    <t>Loan(s)  used to acquire or renovate a school building.</t>
  </si>
  <si>
    <t>Notes:</t>
  </si>
  <si>
    <t>Do NOT include loan proceeds or associated expenses in the budget forms.</t>
  </si>
  <si>
    <t>Facility loan proceeds and associated expenses should be reflected in the Sources and Uses Appendix.</t>
  </si>
  <si>
    <t>The Budget with Assumptions worksheet (Row 128) must include the debt service payments for the facility loan.</t>
  </si>
  <si>
    <t>Facility Loan Information</t>
  </si>
  <si>
    <t>Term (in months)</t>
  </si>
  <si>
    <t>Rate (annual)</t>
  </si>
  <si>
    <t>Annual Principal &amp; Interest Payments</t>
  </si>
  <si>
    <t>Non-Facility Loan(s)</t>
  </si>
  <si>
    <t>Loan(s) used to procure instructional equipment, educational materials, furniture, computers, or for general school operations.</t>
  </si>
  <si>
    <t>Include loan proceeds in Row 27 of the Budget with Assumptions worksheet.</t>
  </si>
  <si>
    <t>The Budget with Assumptions worksheet (Row 144) must include the debt service payments for the non-facility loan.</t>
  </si>
  <si>
    <t>Non-Facility Loan Information</t>
  </si>
  <si>
    <t>Calculations:</t>
  </si>
  <si>
    <t xml:space="preserve">Health Insurance%14  and dental insurance 1%of total salaries </t>
  </si>
  <si>
    <t>Disability Insurance</t>
  </si>
  <si>
    <t>Transportation  Cost</t>
  </si>
  <si>
    <t>IFF Equipment Loan</t>
  </si>
  <si>
    <t>Community Outreach &amp; PR</t>
  </si>
  <si>
    <t>Horizon Science Academy South Chicago</t>
  </si>
  <si>
    <t>Pension-CTPF(Charter School's Share of 9% of Employee w/h)</t>
  </si>
  <si>
    <t>403b</t>
  </si>
  <si>
    <t>FICA (employer's share)</t>
  </si>
  <si>
    <t>Medicare (employer's share)</t>
  </si>
  <si>
    <t>Health/Dental/Life Insurance</t>
  </si>
  <si>
    <t>Workers Compensation</t>
  </si>
  <si>
    <t>State Unemployment Taxes</t>
  </si>
  <si>
    <t>Employee Related Expenses (non-wage and non-benefit)</t>
  </si>
  <si>
    <t>Staff Recruitment</t>
  </si>
  <si>
    <t>Fixed Per Year</t>
  </si>
  <si>
    <t>Advertisements, travel, and dues for job fairs</t>
  </si>
  <si>
    <t>Professional Development</t>
  </si>
  <si>
    <t>Per certified teachers</t>
  </si>
  <si>
    <t>Staff Appreciation</t>
  </si>
  <si>
    <t>Substitute Teachers (Contractual)</t>
  </si>
  <si>
    <t>4 days per teacher per year+$120 per day</t>
  </si>
  <si>
    <t>Classroom design and consumables</t>
  </si>
  <si>
    <t>Per year</t>
  </si>
  <si>
    <t>Professional Development &amp; Travel - Principal</t>
  </si>
  <si>
    <t>Workshops and travel expenses</t>
  </si>
  <si>
    <t>Total Personnel Costs</t>
  </si>
  <si>
    <t>Office Administration Costs</t>
  </si>
  <si>
    <t>Office Supplies</t>
  </si>
  <si>
    <t>Based on other school's expenditures</t>
  </si>
  <si>
    <t>Table, Chairs, Bookcase, Pedestal, guest chair</t>
  </si>
  <si>
    <t>Telecommunications and Internet</t>
  </si>
  <si>
    <t>Administrative Equipment</t>
  </si>
  <si>
    <t>Laptop</t>
  </si>
  <si>
    <t>Accounting &amp; Audit (Contractual)</t>
  </si>
  <si>
    <t>Legal (Contractual)</t>
  </si>
  <si>
    <t>Payroll Services (Contractual)</t>
  </si>
  <si>
    <t>Printing &amp; Copying</t>
  </si>
  <si>
    <t>Postage &amp; Shipping</t>
  </si>
  <si>
    <t>Other Contractual Services</t>
  </si>
  <si>
    <t>Travel</t>
  </si>
  <si>
    <t>Total Office Administration</t>
  </si>
  <si>
    <t>Occupancy Costs</t>
  </si>
  <si>
    <t>Rent</t>
  </si>
  <si>
    <t>Utilities</t>
  </si>
  <si>
    <t>Electric, gas, water, sewer</t>
  </si>
  <si>
    <t>Repairs &amp; Maintenance</t>
  </si>
  <si>
    <t>Cleaning</t>
  </si>
  <si>
    <t>Supplies</t>
  </si>
  <si>
    <t>Contracted Services-Security</t>
  </si>
  <si>
    <t>Contracted Services-Custodial</t>
  </si>
  <si>
    <t>Contracted Services-(Trash Removal, Snow Removal, Grounds, etc.)</t>
  </si>
  <si>
    <t>Contracted Services-Other</t>
  </si>
  <si>
    <t>Insurance</t>
  </si>
  <si>
    <t>Facility Loan Debt Service (P &amp; I)</t>
  </si>
  <si>
    <t>Total Occupancy</t>
  </si>
  <si>
    <t>Education Management Organization Fee</t>
  </si>
  <si>
    <t>Other Costs</t>
  </si>
  <si>
    <t>Property, liability, workers' compenastion</t>
  </si>
  <si>
    <t>Non-Facility Loan Payments (P &amp; I)</t>
  </si>
  <si>
    <t>Fundraising Expense</t>
  </si>
  <si>
    <t>Contingency</t>
  </si>
  <si>
    <t>Replacement Reserve</t>
  </si>
  <si>
    <t>Total Other Costs</t>
  </si>
  <si>
    <t>Total Expenses</t>
  </si>
  <si>
    <t>BUDGETED SURPLUS/(DEFICIT)</t>
  </si>
  <si>
    <t>Estimated Cash Balance at the Beginning of the FY</t>
  </si>
  <si>
    <t>Net Surplus/(Deficit) for the FY</t>
  </si>
  <si>
    <t>CPS Per Capita (High School)</t>
  </si>
  <si>
    <t>CPS Start-up Funds</t>
  </si>
  <si>
    <t>CPS Expansion Funds</t>
  </si>
  <si>
    <t>Non-CPS Facility Supplement</t>
  </si>
  <si>
    <t>SGSA</t>
  </si>
  <si>
    <t>NCLB-Title 1</t>
  </si>
  <si>
    <t>NLCB-Title 2</t>
  </si>
  <si>
    <t>ELL</t>
  </si>
  <si>
    <t>Special Education Reimbursement</t>
  </si>
  <si>
    <t>CPS Incubation Funds</t>
  </si>
  <si>
    <t>Private Fundraising</t>
  </si>
  <si>
    <t>Student Fees</t>
  </si>
  <si>
    <t>Erate</t>
  </si>
  <si>
    <t>Investment Income</t>
  </si>
  <si>
    <t>Non-Facility Loan Proceeds / Line of Credit</t>
  </si>
  <si>
    <t>Walton Family</t>
  </si>
  <si>
    <t>Federal Charter School Planning Grant</t>
  </si>
  <si>
    <t>Federal Charter School Implementation Grant</t>
  </si>
  <si>
    <t>Total Revenues</t>
  </si>
  <si>
    <t>EXPENSES:</t>
  </si>
  <si>
    <t>Expense Assumptions</t>
  </si>
  <si>
    <t>Direct Student Costs</t>
  </si>
  <si>
    <t>Classroom Supplies (consumables)</t>
  </si>
  <si>
    <t>Per Pupil</t>
  </si>
  <si>
    <t>Educational Materials (non-consumables)</t>
  </si>
  <si>
    <t>Other</t>
  </si>
  <si>
    <t>Textbooks per student</t>
  </si>
  <si>
    <t>Student Testing &amp; Assessment</t>
  </si>
  <si>
    <t>Student Recruitment</t>
  </si>
  <si>
    <t>Advertsement, Printing, Newsletter, Annual Report Services</t>
  </si>
  <si>
    <t>Instructional Equipment (non-computer)</t>
  </si>
  <si>
    <t>per classroom - one time</t>
  </si>
  <si>
    <t>Technology Equipment (e.g., computers, LAN, software, etc.)</t>
  </si>
  <si>
    <t>Computer Lab</t>
  </si>
  <si>
    <t>Furniture</t>
  </si>
  <si>
    <t>Teacher Laptop, StarBoard, Student Desks, Teacher desk&amp;Chair,Bookcase, White boards, Bulletin Boards</t>
  </si>
  <si>
    <t>Technology Contracted Services</t>
  </si>
  <si>
    <t>Technology Leases</t>
  </si>
  <si>
    <t>Extracurricular Expenses</t>
  </si>
  <si>
    <t>Per pupil - Saturday schools, winter camp, trips, summer programs, assemblies, recognition &amp; awards, stipends</t>
  </si>
  <si>
    <t>Misc. Outside Services (i.e., Consultants, non-employee compensation)</t>
  </si>
  <si>
    <t>Special Education Contracted Services (teaching and clinicians) that are 100% reimbursable under CPS's policy</t>
  </si>
  <si>
    <t>Special Education Expenses that will NOT be reimbursed by CPS</t>
  </si>
  <si>
    <t>Contracted Substitute Teachers</t>
  </si>
  <si>
    <t>Library, periodicals,etc</t>
  </si>
  <si>
    <t>Per Employee</t>
  </si>
  <si>
    <t>for their first year</t>
  </si>
  <si>
    <t>Ipad cart</t>
  </si>
  <si>
    <t>Ipad cart with 25 Ipads</t>
  </si>
  <si>
    <t>Art Room</t>
  </si>
  <si>
    <t>Tables, Chairs, Boards, Starboard, Art Materials</t>
  </si>
  <si>
    <t>Library</t>
  </si>
  <si>
    <t>Tables, Chairs, Bookcases, Computers, Printer, Books</t>
  </si>
  <si>
    <t>Total Direct Student Costs</t>
  </si>
  <si>
    <t>Personnel Costs</t>
  </si>
  <si>
    <t>Salaries</t>
  </si>
  <si>
    <t>Estimated Rate - High school (9-12) students receiving 10 or more periods a week of ELL</t>
  </si>
  <si>
    <t>Federal - Title lll Rates</t>
  </si>
  <si>
    <t>Total ELL Revenue by Category</t>
  </si>
  <si>
    <t>Estimated Revenue - Elementary (K-8) students receiving between 5-10 periods a week of ELL</t>
  </si>
  <si>
    <t>Estimated Revenue - Elementary (K-8) students receiving 10 or more periods a week of ELL</t>
  </si>
  <si>
    <t>Estimated Revenue - High school (9-12) students receiving between 5-10 periods a week of ELL</t>
  </si>
  <si>
    <t>Estimated Revenue - High school (9-12) students receiving 10 or more periods a week of ELL</t>
  </si>
  <si>
    <t>Total ELL Revenue</t>
  </si>
  <si>
    <t>Enrollment Summary</t>
  </si>
  <si>
    <t>Grades K-8</t>
  </si>
  <si>
    <t>Kindergarten</t>
  </si>
  <si>
    <t>Grade 1</t>
  </si>
  <si>
    <t>Grade 2</t>
  </si>
  <si>
    <t>Grade 3</t>
  </si>
  <si>
    <t>Grade 4</t>
  </si>
  <si>
    <t>Grade 5</t>
  </si>
  <si>
    <t>Grade 6</t>
  </si>
  <si>
    <t>Grade 7</t>
  </si>
  <si>
    <t>Grade 8</t>
  </si>
  <si>
    <t>Total K-8 Enrollment</t>
  </si>
  <si>
    <t>Please enter Yes if you are adding a grade(s) from K-8 in the applicable fiscal year, or enter No if you are not.</t>
  </si>
  <si>
    <t>Grades 9-12</t>
  </si>
  <si>
    <t>Grade 9</t>
  </si>
  <si>
    <t>Grade 10</t>
  </si>
  <si>
    <t>Grade 11</t>
  </si>
  <si>
    <t>Grade 12</t>
  </si>
  <si>
    <t>Total 9-12 Enrollment</t>
  </si>
  <si>
    <t>Please enter Yes if you are adding a grade(s) from 9-12 in the applicable fiscal year, or enter No if you are not.</t>
  </si>
  <si>
    <t>ALBANY IRVING</t>
  </si>
  <si>
    <t>ASHBURN</t>
  </si>
  <si>
    <t>AUBURN-GRESHAM</t>
  </si>
  <si>
    <t>BELMONT-CRAGIN</t>
  </si>
  <si>
    <t>BRIDGEPORT-CHINATOWN</t>
  </si>
  <si>
    <t>CHICAGO LAWN</t>
  </si>
  <si>
    <t>FAR EAST SIDE</t>
  </si>
  <si>
    <t>HYDE PARK</t>
  </si>
  <si>
    <t>LOGAN</t>
  </si>
  <si>
    <t>LOOP</t>
  </si>
  <si>
    <t>MCKINLEY PARK</t>
  </si>
  <si>
    <t>MIDWAY</t>
  </si>
  <si>
    <t>NEAR WEST</t>
  </si>
  <si>
    <t>NORTH LAWNDALE</t>
  </si>
  <si>
    <t>PILSEN – LITTLE VILLAGE</t>
  </si>
  <si>
    <t>REED - DUNNING</t>
  </si>
  <si>
    <t>SAUGANASH</t>
  </si>
  <si>
    <t>CPS District (Default)</t>
  </si>
  <si>
    <t>Yes</t>
  </si>
  <si>
    <t>No</t>
  </si>
  <si>
    <t>Please Enter Your Proposed School Name in Cell A2:</t>
  </si>
  <si>
    <t>DROPBOX</t>
  </si>
  <si>
    <t>Enter Amount for Fixed, Per Pupil, or Per Employee</t>
  </si>
  <si>
    <t>Enter % for Percentage of Total Salaries</t>
  </si>
  <si>
    <t>Annual Inflation Factor: Enter %</t>
  </si>
  <si>
    <t>Revenue Assumptions</t>
  </si>
  <si>
    <t>Please Select in Cell J9 the Incubation Year (2014 or 2015)</t>
  </si>
  <si>
    <t>FISCAL YEAR</t>
  </si>
  <si>
    <t>Revenues</t>
  </si>
  <si>
    <t>CPS Per Capita ( Grades K-3)</t>
  </si>
  <si>
    <t>CPS Per Capita (Grades 4-8)</t>
  </si>
  <si>
    <t>CPS Per Capita (Grades 6-8)-This only for schools that have HS grades with grades 6-8 for Fiscal Year 2015 and 2016.</t>
  </si>
  <si>
    <t>Reimbursement for Teachers, Clinicians, and Aides (contractual  - non-employees)</t>
  </si>
  <si>
    <t>Total</t>
  </si>
  <si>
    <t>Please select the Community that you are targeting to open a school in Cell E3. 
  (Select "CPS District" if targeted Community is unknown)</t>
  </si>
  <si>
    <t>CHATHAM</t>
  </si>
  <si>
    <t>SGSA Revenue</t>
  </si>
  <si>
    <t>FY2013</t>
  </si>
  <si>
    <t>Budgeted Total Enrollment</t>
  </si>
  <si>
    <t>Estimated % of Students Eligible for Free and Reduced Lunch</t>
  </si>
  <si>
    <t># of Students Eligible for Free and Reduced Lunch</t>
  </si>
  <si>
    <t>Estimated SGSA Rate</t>
  </si>
  <si>
    <t>Total SGSA Revenue</t>
  </si>
  <si>
    <t>Federal Title 1 Revenue</t>
  </si>
  <si>
    <t>Budgeted Enrollment</t>
  </si>
  <si>
    <t>Projected % of Students Qualifying for Free and Reduced Lunch (FRL)</t>
  </si>
  <si>
    <t># of Students Qualifying for FRL</t>
  </si>
  <si>
    <t>Title I Eligible Students (FRL x 60%)</t>
  </si>
  <si>
    <t>Title I Poverty Index (Title I Eligible ÷ Enrollment)</t>
  </si>
  <si>
    <t>Title I Eligible Per Pupil Rate ($430 base rate + $22 increases per Title I Index % increase)</t>
  </si>
  <si>
    <t>Total Title I Funding for the Fiscal Year (Per Pupil Rate x Title I Eligible Students)</t>
  </si>
  <si>
    <t>Federal Title 2 Revenue</t>
  </si>
  <si>
    <t>Estimated Rate Per Student</t>
  </si>
  <si>
    <t>Total Title 2 Revenue</t>
  </si>
  <si>
    <t>Elementary School Expansion Funding</t>
  </si>
  <si>
    <t>Expansion Enrollment</t>
  </si>
  <si>
    <t>Expansion Funding Per Student</t>
  </si>
  <si>
    <t>Total Elementary School Expansion Revenue</t>
  </si>
  <si>
    <t>High School Expansion Funding</t>
  </si>
  <si>
    <t>Total High School Expansion Revenue</t>
  </si>
  <si>
    <t>Total Expansion Revenue</t>
  </si>
  <si>
    <t>English Language Learners</t>
  </si>
  <si>
    <t>Total elementary (K-8) students receiving between 5-10 periods a week of ELL</t>
  </si>
  <si>
    <t>Total elementary (K-8) students receiving 10 or more periods a week of ELL</t>
  </si>
  <si>
    <t>Total high school (9-12) students receiving between 5-10 periods a week of ELL</t>
  </si>
  <si>
    <t>Total high school (9-12) students receiving 10 or more periods a week of ELL</t>
  </si>
  <si>
    <t>State Funding Rates</t>
  </si>
  <si>
    <t>Estimated Rate - Elementary (K-8) students receiving between 5-10 periods a week of ELL</t>
  </si>
  <si>
    <t>Estimated Rate - Elementary (K-8) students receiving 10 or more periods a week of ELL</t>
  </si>
  <si>
    <t>Estimated Rate - High school (9-12) students receiving between 5-10 periods a week of ELL</t>
  </si>
  <si>
    <t>Please enter your school's estimated fringe benefits % in Cell R184.</t>
  </si>
  <si>
    <t>Please enter your school's estimated fringe benefits % in Cell Y184.</t>
  </si>
  <si>
    <t>Please enter your school's estimated fringe benefits % in Cell AF184.</t>
  </si>
  <si>
    <t>Note: The fringe benefits % is used to estimate the fringe benefits $ that will be reimbursed by CPS for your School's SPED teachers, clinicians, and aides.  Please show your calculation of the fringe benefits % in the "Calculations" Worksheet of this file.</t>
  </si>
  <si>
    <t>Reimbursement for SPED Teachers and Clinicians</t>
  </si>
  <si>
    <t>Positions</t>
  </si>
  <si>
    <t>Number of FTE's</t>
  </si>
  <si>
    <t>Salary (from Personnel Worksheet)</t>
  </si>
  <si>
    <t>Fringes %</t>
  </si>
  <si>
    <t>Total Salaries and Fringes</t>
  </si>
  <si>
    <t>Salary (from Salaries Worksheet)</t>
  </si>
  <si>
    <t>SPED Teachers in the CTPF</t>
  </si>
  <si>
    <t>SPED Teachers Not in the CTPF</t>
  </si>
  <si>
    <t>Clinicians in the CTPF</t>
  </si>
  <si>
    <t>Clinicians Not in the CTPF</t>
  </si>
  <si>
    <t>Totals</t>
  </si>
  <si>
    <t>Amount</t>
  </si>
  <si>
    <t>Average Salary Range</t>
  </si>
  <si>
    <t>Total Reimbursement Range</t>
  </si>
  <si>
    <t>Average Compensation (Salaries and Fringes) Per Position</t>
  </si>
  <si>
    <t>Total Reimbursement</t>
  </si>
  <si>
    <t>Reimbursement for SPED Aides</t>
  </si>
  <si>
    <t>SPED Teacher Aides in the CTPF</t>
  </si>
  <si>
    <t>SPED Teachers Aides Not in the CTPF</t>
  </si>
  <si>
    <t>Average Compensation (Salaries and Fringes)</t>
  </si>
  <si>
    <t>Reimbursement for Contractual SPED Services</t>
  </si>
  <si>
    <t>Note: In the Detailed Budget Worksheet (Row 51), there is a line to enter SPED reimbursable contractual expenses (i.e., SPED Teachers, Clinicians, and Aides who are not employees of the school)</t>
  </si>
  <si>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</si>
  <si>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</si>
  <si>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</si>
  <si>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</si>
  <si>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</si>
  <si>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t>Summary of  Budgeted SPED Reimbursements</t>
  </si>
  <si>
    <t>Reimbursement for Teachers and Clinicians (school employees)</t>
  </si>
  <si>
    <t>Reimbursement for Aides (school employees)</t>
  </si>
  <si>
    <t>Total High School Non-SBB Funding</t>
  </si>
  <si>
    <t>Total High School Per Capita Funding</t>
  </si>
  <si>
    <t>Total High School Per Capita Revenue</t>
  </si>
  <si>
    <t>Budgeted Facility Supplemental Revenue (for students enrolled in a non-CPS facility)</t>
  </si>
  <si>
    <t>Total Budgeted Enrollment</t>
  </si>
  <si>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</si>
  <si>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</si>
  <si>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</si>
  <si>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</si>
  <si>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</si>
  <si>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Budgeted Enrollment for a CPS Facility</t>
  </si>
  <si>
    <t>Budgeted Enrollment for an Independent Facility</t>
  </si>
  <si>
    <t>Total Enrollment (should equal Cell C156)</t>
  </si>
  <si>
    <t>Total Enrollment (should equal Cell J156)</t>
  </si>
  <si>
    <t>Total Enrollment (should equal Cell Q156)</t>
  </si>
  <si>
    <t>Total Enrollment (should equal Cell X156)</t>
  </si>
  <si>
    <t>Total Enrollment (should equal Cell AE156)</t>
  </si>
  <si>
    <t>Non-CPS Facility Supplement (for schools in independent facilities)</t>
  </si>
  <si>
    <t>Note: If your students reside in a CPS facility, you are NOT eligible for this funding.</t>
  </si>
  <si>
    <t>Non-CPS Facility Supplement Rate</t>
  </si>
  <si>
    <t>Total Non-CPS Facility Revenue</t>
  </si>
  <si>
    <t>Special Education</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</si>
  <si>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</si>
  <si>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Please enter your school's estimated fringe benefits % in Cell D184.</t>
  </si>
  <si>
    <t>Please enter your school's estimated fringe benefits % in Cell K184.</t>
  </si>
  <si>
    <t>Total Grades 4-8 Enrollment</t>
  </si>
  <si>
    <t>Grades 4-8 Weighted Enrollment</t>
  </si>
  <si>
    <t>SBB Grades 4-8 Per Capita Funding</t>
  </si>
  <si>
    <t>Weighted Enrollment-Grades 4-8</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</si>
  <si>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</si>
  <si>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</si>
  <si>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</si>
  <si>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</si>
  <si>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</si>
  <si>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</si>
  <si>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</si>
  <si>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</si>
  <si>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Grades 6-8 Per Capita Revenue</t>
  </si>
  <si>
    <t>Note: If you are budgeting students to be enrolled in Grades 9-12 in this fiscal year, the enrollment for Grades 6-8 is entered below.</t>
  </si>
  <si>
    <t>Note: If you are budgeting students to be enrolled in Grades 9-12, the enrollment for Grades 6-8 is entered below ONLY if you are budgeting for FY 2016. If you are budgeting for FY 2017, please enter Grades 6-8 in the table above.</t>
  </si>
  <si>
    <t>NOTE: FOR FISCAL YEARS 2017-2019, THIS SECTION DOES NOT APPLY. GRADES 6-8 SHOULD BE ENTERED IN THE GRADES 4-8 PER CAPITA REVENUE SECTION ABOVE.</t>
  </si>
  <si>
    <t>LRE2 Students</t>
  </si>
  <si>
    <t>LPRE3 Students</t>
  </si>
  <si>
    <t>Total Enrollment</t>
  </si>
  <si>
    <t>Total Grades 6-8 Enrollment</t>
  </si>
  <si>
    <t>Grades 6-8 Weighted Enrollment</t>
  </si>
  <si>
    <t>SBB Grades 6-8 Per Capita Funding</t>
  </si>
  <si>
    <t>Weighted Enrollment-Grades 6-8</t>
  </si>
  <si>
    <t>Grades 6-8 SBB Per Capita Rate</t>
  </si>
  <si>
    <t>Total Grades 6-8 SBB Funding</t>
  </si>
  <si>
    <t>NON-SBB Grades 6-8 Per Capita Funding</t>
  </si>
  <si>
    <t>Total Enrollment-Grades 6-8</t>
  </si>
  <si>
    <t>Grades 6-8 Non-SBB Per Capita Rate</t>
  </si>
  <si>
    <t>Total Grades 6-8 Non-SBB Funding</t>
  </si>
  <si>
    <t>Total Grades 6-8 Per Capita Funding</t>
  </si>
  <si>
    <t>Total Grades 6-8 Per Capita Revenue</t>
  </si>
  <si>
    <t>High School Per Capita Revenue</t>
  </si>
  <si>
    <t>Non-Sped and LRE1 Students</t>
  </si>
  <si>
    <t>Total High School Enrollment</t>
  </si>
  <si>
    <t>High School Weighted Enrollment</t>
  </si>
  <si>
    <t>SBB High School Per Capita Funding</t>
  </si>
  <si>
    <t>Weighted Enrollment-High School</t>
  </si>
  <si>
    <t>Weighted Average Enrollment-High School</t>
  </si>
  <si>
    <t>High School Per Capita Rate</t>
  </si>
  <si>
    <t>Total High School SBB Funding</t>
  </si>
  <si>
    <t>NON-SBB High School Per Capita Funding</t>
  </si>
  <si>
    <t>Total Enrollment-High School</t>
  </si>
  <si>
    <t>High School Non-SBB Per Capita Rate</t>
  </si>
  <si>
    <t>Total NON-CTPF Salaries and Wages</t>
  </si>
  <si>
    <t>Total Salaries and Wages</t>
  </si>
  <si>
    <t>Total Employees</t>
  </si>
  <si>
    <t>-</t>
  </si>
  <si>
    <t>Pension Pick-up Assumption - Employer</t>
  </si>
  <si>
    <t>Pension Pick-up Assumption - Employee</t>
  </si>
  <si>
    <t>School's $ Share of Employees' Contribution to the CTPF</t>
  </si>
  <si>
    <t>School's Share of Employer Contribution (normal cost) to the CTPF</t>
  </si>
  <si>
    <t>Total FICA Expense (6.2% of Wages Subject to FICA W/H)</t>
  </si>
  <si>
    <t>Total Medicare Expense (1.45% of ALL Salaries and Wages)</t>
  </si>
  <si>
    <t>Employer 403b Contribution (for employees that do NOT participate in the CTPF)</t>
  </si>
  <si>
    <t>Description</t>
  </si>
  <si>
    <t>Per Capita Rates</t>
  </si>
  <si>
    <t>SBB Grades K-3</t>
  </si>
  <si>
    <t>Non-SBB K-3</t>
  </si>
  <si>
    <t>SBB Grades 4-8 (for schools that do NOT have HS grades)</t>
  </si>
  <si>
    <t>SBB Grades 4-8</t>
  </si>
  <si>
    <t>SBB Grades 6-8</t>
  </si>
  <si>
    <t>Non-SBB Grades 4-8 (for schools that do NOT have HS grades)</t>
  </si>
  <si>
    <t>Non-SBB Grades 4-8</t>
  </si>
  <si>
    <t>Non-SBB Grades 6-8</t>
  </si>
  <si>
    <t>SBB Grades 6-8 (for schools that have HS grades)</t>
  </si>
  <si>
    <t>SBB High School (Grades 9-12)</t>
  </si>
  <si>
    <t>SBB High School (Grades 9-12 or 6-12)</t>
  </si>
  <si>
    <t>Non-SBB Grades 6-8 (for schools that have HS grades)</t>
  </si>
  <si>
    <t>Non-SBB High School (Grades 9-12)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</si>
  <si>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</si>
  <si>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</si>
  <si>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</si>
  <si>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</si>
  <si>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</si>
  <si>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</si>
  <si>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</si>
  <si>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</si>
  <si>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</si>
  <si>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</si>
  <si>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t>
  </si>
  <si>
    <t>SBB-Grades K-3 Per Capita Funding</t>
  </si>
  <si>
    <t>Weighted Enrollment-Grades K-3</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</si>
  <si>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</si>
  <si>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</si>
  <si>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</si>
  <si>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</si>
  <si>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</si>
  <si>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</si>
  <si>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</si>
  <si>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</si>
  <si>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</si>
  <si>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t>Note: If your school does NOT have any students budgeted to be enrolled in Grades 9-12, the enrollment for Grades 6-8 is entered below.</t>
  </si>
  <si>
    <t>All budgeted enrollments for Grades 4-8 should be entered in this Section.</t>
  </si>
  <si>
    <t>SPED Clinicians-Social Worker (reimbursed by CPS)</t>
  </si>
  <si>
    <t>SPED Clinicians-Speech Therapist (reimbursed by CPS)</t>
  </si>
  <si>
    <t>SPED Clinicians-Physical Therapist (reimbursed by CPS)</t>
  </si>
  <si>
    <t>SPED Clinicians-Occupational Therapist (reimbursed by CPS)</t>
  </si>
  <si>
    <t>SPED Clinicians-Nurse (reimbursed by CPS)</t>
  </si>
  <si>
    <t>Teachers Aides</t>
  </si>
  <si>
    <t>Counselors</t>
  </si>
  <si>
    <t>Librarians</t>
  </si>
  <si>
    <t>Deans</t>
  </si>
  <si>
    <t>Principal</t>
  </si>
  <si>
    <t>Assistant Principal</t>
  </si>
  <si>
    <t>B</t>
  </si>
  <si>
    <t>C</t>
  </si>
  <si>
    <t>D</t>
  </si>
  <si>
    <t>E</t>
  </si>
  <si>
    <t>F</t>
  </si>
  <si>
    <t>G</t>
  </si>
  <si>
    <t>H</t>
  </si>
  <si>
    <t>Positions that Do NOT Participate in the Chicago Teachers Pension Fund (CTPF):</t>
  </si>
  <si>
    <t>Teachers</t>
  </si>
  <si>
    <t>SPED Teachers (positions that are reimbursed by CPS)</t>
  </si>
  <si>
    <t>SPED Aides (positions that are reimbursed by CPS)</t>
  </si>
  <si>
    <t>Teacher Assistants/Aides</t>
  </si>
  <si>
    <t>College Counselors</t>
  </si>
  <si>
    <t>Business Manager</t>
  </si>
  <si>
    <t>Instructional Coordinator</t>
  </si>
  <si>
    <t>Administrative Assistant</t>
  </si>
  <si>
    <t>Director of Development/PR Associate</t>
  </si>
  <si>
    <t>Custodian</t>
  </si>
  <si>
    <t>Security</t>
  </si>
  <si>
    <t>Secretary</t>
  </si>
  <si>
    <t>STEM Coordinator</t>
  </si>
  <si>
    <t>IT Coordinator</t>
  </si>
  <si>
    <t>Building Sub</t>
  </si>
  <si>
    <t>Athletic Director</t>
  </si>
  <si>
    <t>Foreign Language Teacher</t>
  </si>
  <si>
    <t>Social Workers</t>
  </si>
  <si>
    <t>P</t>
  </si>
  <si>
    <t>Section 2 - Average Annual Salary for Each Job Title for Each Year</t>
  </si>
  <si>
    <t>FY13</t>
  </si>
  <si>
    <t>Yearly Percentage Increase in Salaries-Please enter in Cells: G62, I62, K62, M62, and O62</t>
  </si>
  <si>
    <t>Base/Average Wage</t>
  </si>
  <si>
    <t>Section 3 -Total Wages by Job Title by Year</t>
  </si>
  <si>
    <t>Total - Pensionable Salaries</t>
  </si>
  <si>
    <t>Non-Pensionable Salaries and Wages:</t>
  </si>
  <si>
    <t>Overtime</t>
  </si>
  <si>
    <t>Employment on an Optional Basis (e.g., summer school)</t>
  </si>
  <si>
    <t>Special Services</t>
  </si>
  <si>
    <t>Bonuses</t>
  </si>
  <si>
    <t>Total - Non-Pensionable Salaries</t>
  </si>
  <si>
    <t>Other Compensation:</t>
  </si>
  <si>
    <t>Summer School</t>
  </si>
  <si>
    <t>Overtime</t>
  </si>
  <si>
    <t>Bonuses</t>
  </si>
  <si>
    <t>Total Salaries and Wages for employees who do NOT participate in the CTPF</t>
  </si>
  <si>
    <t>Total Pensionable CTPF Salaries and Wages</t>
  </si>
  <si>
    <t>Less: Total Pensionable CTPF Salaries and Wages for Reimbursable SPED Positions</t>
  </si>
  <si>
    <t>Total Pensionable CTPF Salaries and Wages Used to Calculate the Employer's Share of the Normal Cost</t>
  </si>
  <si>
    <t>Total Non-Pensionable CTPF Salaries and Wages</t>
  </si>
  <si>
    <t>Total CTPF Salaries and Wages (Row 183 + Row 186)</t>
  </si>
  <si>
    <t>In Column F, enter the Inflation Factor (%) if applicable. Inflation is calculated for Operating Years 2 - 5. Note: The Inflation Factor will only calculate if the amounts are not hardcoded in Columns L, N, P, R, and T (i.e., select: fixed per year, per pupil, per employee, or % of salaries in the dropdown boxes if appropriate).</t>
  </si>
  <si>
    <t>(F) Budget Summary</t>
  </si>
  <si>
    <t>The Budget Summary is a condensed version of the  "Budget with Assumptions" Worksheet. This worksheet is read only. It also contains additional analysis in Columns P-T (% of total revenues  and % of total expenses) and Columns V-Z (cost per pupil).</t>
  </si>
  <si>
    <t>(G) Loan Worksheet</t>
  </si>
  <si>
    <t>This worksheet is only required if you plan to use loans. If you do not plan to use any loans, do not enter data in this worksheet.</t>
  </si>
  <si>
    <t>2</t>
  </si>
  <si>
    <t>There are two types of loans - Facility Loans and Non-Facility Loans.</t>
  </si>
  <si>
    <t>The worksheet has explanations of each type of loan.</t>
  </si>
  <si>
    <t>For each loan, complete the loan terms.</t>
  </si>
  <si>
    <t>The annual principal and interest payments for a Facility Loan should be entered in Row 128 of the Budget with Assumptions worksheet. The proceeds of a Non-Facility Loan should be entered in Row 27 of the Budget with Assumptions worksheet, and the principal and interest payments should be entered in Row 144.</t>
  </si>
  <si>
    <t>(H) Calculations Worksheet</t>
  </si>
  <si>
    <t>Please use this worksheet to show any calculations for your budget. As noted in Cell B110 of this worksheet, please show how you calculated the fringe benefit % for the reimbursement of SPED personnel.</t>
  </si>
  <si>
    <t>(I) Free and Reduced Lunch %'s</t>
  </si>
  <si>
    <t>This schedule lists the Free and Reduced Lunch %'s for the targeted communities.</t>
  </si>
  <si>
    <t>SECTION 1 - Number of Employees Each Year for Each Job Title</t>
  </si>
  <si>
    <t>Fiscal Year</t>
  </si>
  <si>
    <t>Positions that Participate in the Chicago Teachers Pension Fund (CTPF):</t>
  </si>
  <si>
    <t>Incubation Year</t>
  </si>
  <si>
    <t>Teachers</t>
  </si>
  <si>
    <t>N/A</t>
  </si>
  <si>
    <t>SPED Teachers (reimbursed by CPS)</t>
  </si>
  <si>
    <t>SPED Aides (reimbursed by CPS)</t>
  </si>
  <si>
    <t>SPED Clinicians-Psychologist (reimbursed by CPS)</t>
  </si>
  <si>
    <t>a) Revenues - Most of the cells are pre-populated with amounts from the "Revenues-Per Capita &amp; SPED " and the "Revenues-Fed, State, &amp; Expan."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t>
  </si>
  <si>
    <t>b) Expenses - Only certain cells in the Personnel Section of this worksheet are pre-populated with amounts from another worksheet ("Personnel"). For most of the of the other expenses, you can budget amounts utilizing the Dropdown Boxes in Column C. The following are the following selections:</t>
  </si>
  <si>
    <t>1) Fixed Per Year</t>
  </si>
  <si>
    <t>2) Per Pupil</t>
  </si>
  <si>
    <t>3) Per Employee</t>
  </si>
  <si>
    <t>4) % of Salaries</t>
  </si>
  <si>
    <t>5) Other</t>
  </si>
  <si>
    <t>If you select from 1 - 3 from above, enter the amount (fixed per year, per pupil, or per employee) in Column D. The amounts will be calculated for each fiscal year in Columns L, N, P. R, and T.</t>
  </si>
  <si>
    <t>If you select 4 from above, enter the % in Column E. The amounts will be calculated for each fiscal year in Columns L, N, P. R, and T.</t>
  </si>
  <si>
    <t>If you select 5 from above, the budgeted amounts must be hardcoded into Columns L, N, P, R, and T.</t>
  </si>
  <si>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</si>
  <si>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t>In Column H, enter your assumptions for the expenses, and please be as detailed as possible.</t>
  </si>
  <si>
    <t>In Column H are the cells to enter your assumptions for the various revenue and expense categories. Please be as detailed as possible.</t>
  </si>
  <si>
    <t>Column J is for the budgeted amounts for the Incubation Year. Please note that in Cell J22, $160,000 has been entered for the estimated amount of incubation funds from CPS.</t>
  </si>
  <si>
    <t>Columns L, N, P, R, and T are for the budgeted amounts for the first five years of operation.</t>
  </si>
  <si>
    <t>Note: In Cell L14, $125,000 has been entered for the estimated Start-up Funds (first year of operation).</t>
  </si>
  <si>
    <t>Rows 163 - 165 keeps track of your budgeted cash balance.</t>
  </si>
  <si>
    <t>The Budgeted Data Summary Table is in Cells J173-T177. This table includes the budgeted number of employees, budgeted amounts for total salaries, and the total enrollment by fiscal year. The data is used if you decide to choose from the Dropdown Boxes in Column C.</t>
  </si>
  <si>
    <t>Budget with Assumptions Instructions</t>
  </si>
  <si>
    <t>- Enter the proposed name of your school in Cell A2.                                                                                                                                                                                                                                                                 - From the Dropdown Box in Cell J9, select if your Incubation Year will be 2014 or 2015. Please note that the five fiscal years (2015-2019) or (2016-2020) will populate the budget template dependent upon the fiscal year selected in Cell J9. The fiscal year ends June 30.</t>
  </si>
  <si>
    <t>For the Incubation Year (Column J) - With the exception of Cells J10-J22, J69-J71, and J73-J74, the budgeted amounts for the incubation year should be hard coded.</t>
  </si>
  <si>
    <t>In Column C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</si>
  <si>
    <t>If you select "Fixed Per Year", "Per Pupil", or "Per Employee" in Column C, the corresponding amount should be entered in Column D.</t>
  </si>
  <si>
    <t>If you select "% of Salaries" in Column C (Personnel Section Only), enter the corresponding % in Column E. Column D should be left blank.</t>
  </si>
  <si>
    <t>In Column F, enter the inflation factor percentage (if applicable) ONLY if you select "Fixed Per Year", "Per Pupil", "% of Salaries" or "Per Employee" from the Dropdown Box in Column C. Inflation will calculate for the last four fiscal years of the budget.</t>
  </si>
  <si>
    <t>(e) ELL Revenue (Rows 46-70) - In Rows 47-50, enter the number of students in each of the various categories (based on the periods off ELL). The rates have been estimated in Rows 53-56 and Rows 59-62, and the revenue will automatically calculate in Rows 66-69. Please note that there is a one-year lag for the funding of the ELL revenue. The total ELL revenue (Row 70) will populate the Budget with Assumptions worksheet in Row 20. (Note: If you are unsure if you will have an ELL population at this time, it is recommended that you leave this section blank.)</t>
  </si>
  <si>
    <t>Other Revenues - Please enter the amounts for all other revenues directly into the Budget with Assumptions worksheet, and explain the basis for these revenues in the Assumption section.</t>
  </si>
  <si>
    <t>(E) Budget with Assumptions Worksheet</t>
  </si>
  <si>
    <t>The budget should be prepared on a cash basis.</t>
  </si>
  <si>
    <t>Cells highlighted in blue are locked (data cannot be entered). These cells are for subtotals, totals, amounts/text populated from other worksheets, or revenue and expense categories that cannot be changed.</t>
  </si>
  <si>
    <t>Column A contains the descriptions for each revenue and expense as well as the functional grouping. Please use the blank lines to describe any other revenues and expenses that are not listed in this spreadsheet.</t>
  </si>
  <si>
    <t>In Row 24, the total Title 1 revenue is calculated by taking the Title 1 eligible enrollment (Row 20) times the rate in Row 23. Row 24 populates Row 18 of the Budget with Assumptions worksheet. (NOTE: Please see the attachment for an overview of Federal Title 1.)</t>
  </si>
  <si>
    <t>(c) Federal Title 2 Revenue (Rows 27-30) - This will calculate automatically by multiplying the estimated rate (Row 29) of $64 per student by the total enrollment (Row 28). The total Title 2 revenue (Row 30) populates the Budget with Assumptions worksheet in Row 19.</t>
  </si>
  <si>
    <t>(d) Expansion Funding (Rows 33-43, Row 86, and Row 95) -  A school is eligible for expansion funding each year that it adds a grade. In Row 86 (columns G, I, K, and M), please enter "Yes or "No" if  you are adding an elementary grade(s) in the applicable fiscal year. (Please note that in Column E, you do NOT have to enter "Yes" or "No" because it is your opening school year.) In Row 95, please enter "Yes" or "No" by fiscal year if you are adding any high school grades.</t>
  </si>
  <si>
    <t>In Row 34 (EL) and Row 39 (HS), the increase in enrollment is calculated. For Column E, the total enrollment is used because it is the first year of operation. For the fiscal years noted in Columns G, I, K, and M, the school will receive expansion funding only if it is adding a grade(s), and there is an increase in total enrollment. The increase in enrollment is calculated by taking the current year's total enrollment minus the previous year's total enrollment. In Rows 35 and 40 are the estimated amounts per student for elementary and high school respectively. In Row 36 and Row 41, the Expansion revenues are calculated by multiplying the expansion enrollment times the rate per pupil. Row 43 totals the Expansion revenue for elementary and high schools (adds Rows 36 and 41), and the total populates Row 15 of the Budget with Assumptions worksheet.</t>
  </si>
  <si>
    <t>(a) Supplemental General State Aid or "SGSA" Revenue (Rows 3-4 and Rows 8-13) - In Cell E3, please select the Community from the Drop-Box that you are proposing to open a school. If you are unsure of the community at this time, please select "CPS District". Dependent upon the community that you select, the estimated "Free and Reduced Lunch %" (FRL) will populate in Row 10. If you selected "CPS District", the district average % will be used for the FRL. The % in Row 10 will be multiplied by the total enrollment in Row 9 (populated with the total enrollments entered from the Revenues: Per Capita and SPED worksheet). In Row 11, the estimated total number of students eligible for FRL is computed. In Row 12 is the estimated per pupil amount for students eligible for FRL. In Row 13, the estimated SGSA revenue is calculated, and it populates Row 17 of the Budget with Assumptions worksheet. (NOTE: Please see the attachment for an overview of SGSA.)</t>
  </si>
  <si>
    <t>(b) Federal Title1 Revenue (Rows 16-24) - Please note that you do NOT have to enter any data to calculate the Federal Title 1 revenue. In Row 17 are your school's budgeted enrollments, and in Row 18 is the FRL% (equals Row 10). Row 19 is the number of students eligible for FRL (Row 17 x Row 18). In Row 20 is the calculation (Row 19 x 60%) for the number of Title 1 eligible students. In Row 22 is the calculation of the Poverty Index (Title 1 eligible students/Total Enrollment or Row 20/Row 17). If the % is greater than 40%, the school is eligible for Title 1 funding. If it is below 40%, the Title 1 revenue is zero.</t>
  </si>
  <si>
    <t>In Row 23, the rate per eligible Title 1 student is calculated. The base rate is $430 if 40% or more is calculated in Row 22. For each percentage point over 40%, $22 is added to the base rate of $430. For example, if 50% was calculated in Row 22, the rate would be $650 ($430 base rate + (10 (50-40) x $22) or $220.</t>
  </si>
  <si>
    <t>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Cell L51 of the Budget with Assumptions worksheet. The amount from Cell L51 will populate the "Per Capita and &amp; SPED" worksheet in Cells D226 and D235. (Please also see Cells B39-B47 in this worksheet regarding the reimbursement of SPED positions.)</t>
  </si>
  <si>
    <t>The total for the SPED reimbursement is calculated in Cell D236, and populates the Budget with Assumptions worksheet in Cell L21. If you budget for contractual SPED positions, please put a detailed explanation in the Budget Assumptions worksheet.</t>
  </si>
  <si>
    <t>(D) Revenues-Federal, State, &amp; Expansion Worksheet</t>
  </si>
  <si>
    <t>The Revenues-Federal, State, and Expansion Worksheet calculates the following revenues:</t>
  </si>
  <si>
    <t>(a) Supplemental General State Aid (SGSA)</t>
  </si>
  <si>
    <t>(b) Federal Title1</t>
  </si>
  <si>
    <t>(c) Federal Title 2</t>
  </si>
  <si>
    <t>(d) Expansion</t>
  </si>
  <si>
    <t>(e) ELL</t>
  </si>
  <si>
    <t>Using the first year of operations as example, in Cells C189 - C192 are the number of positions for special education teachers and clinicians. In Cells D189-D192 are the corresponding total salaries for those positions. In Cells C209 and C210 are the number of special education teacher aides, and in Cells D209 - D210 are the corresponding total salaries. The number of positions and salaries are pulled from the "Personnel" worksheet for the reimbursable special education positions highlighted in dark blue. Since CPS reimburses charter and contract schools for the salaries and fringes, an estimate for the fringe benefits has to be calculated. In Cell D184, please enter your estimated fringe benefit % for the special education positions. Please do NOT include the employer's share of the Chicago Teachers Pension Fund as an expense when calculating the fringe benefit %. At this time, the reimbursable SPED positions will NOT be charged for this expense. Please show your calculation(s) for the fringe benefit % in the "Calculations" worksheet. The salaries from Cells D189-D192 and D209-D210 are multiplied by 100% plus the fringe benefits % (Cells E189-E192 and E209-E210) to arrive at the reimbursable amounts for the special education positions in Cells F189-F192 and F209-F210. The average compensation is computed for the SPED teachers and clinicians in Cell C199, and for the SPED teacher aides, it is Cell C215. In Cell C200, is the total amount of the reimbursement for the SPED teachers and clinicians. If the average compensation exceeds $90,000, then the total reimbursement compensation will be capped at $90,000 times the number of clinicians and SPED teachers. In Cell C216, is the total amount of the reimbursement for the SPED teacher aides. If the average compensation exceeds $40,000, then the total reimbursement compensation will be capped at $40,000 times the number of SPED teacher aides. The total reimbursement from Cells C200 and C216 will populate Cells D233 and D234 respectively.</t>
  </si>
  <si>
    <t>The total weighted enrollment from Cell E32 populates Cell C36. The SBB per capita amount from the table at the top of the page for grades K-3 (Cell C11) populates Cell C37. Cell C38 calculates the total SBB per capita revenue for grades K-3.</t>
  </si>
  <si>
    <t>For the Non-SBB revenue, the total enrollment (not weighted) from Cell E30 populates Cell C42. The Non-SBB per capita amount (Cell C12) populates Cell C43. Cell C44 calculates the total Non-SBB per capita revenue for grades K-3.</t>
  </si>
  <si>
    <t>The total for the K-3 SBB revenue populates Cell C48, and the total for the Non-SBB revenue populates Cell C49. The total for the K-3 per capita tuition revenue is computed in Cell C50. The amount in Cell C50 populates Cell L10 of the Budget with Assumptions worksheet.</t>
  </si>
  <si>
    <t>Please note that the same methodology is used for Grades 4-8 (Rows 57-86), Grades 6-8 (Rows 91-118 for fiscal years 2015 and 2016 ONLY), and Grades 9-12 (Rows 123-150).</t>
  </si>
  <si>
    <t>Note: For budgeting/estimating the LRE 2 and LRE 3 students, please assume the following:</t>
  </si>
  <si>
    <t>a) Elementary LRE3 students - 2% of the total enrollment</t>
  </si>
  <si>
    <t>b) High School LRE2 Students - 4% of the total enrollment</t>
  </si>
  <si>
    <t>c) High School LRE3 Students - 1% of the total enrollment</t>
  </si>
  <si>
    <t>Using the first year of operation as an example, if you were budgeting an enrollment of 100 high school freshman, 4 (100 x 4%) would be entered for the LRE 2 students in Cell D126, and 1 (100 x 1%) would be entered for an LRE3 student in Cell E126. The remaining 95 students would be entered in Cell C126.</t>
  </si>
  <si>
    <t>Instructions for Non-CPS Facility Supplemental Revenue</t>
  </si>
  <si>
    <t>Using the first year of operation as an example, in Cell C168, the total enrollment will populate. In Cell C169 is the rate per pupil. Cell C170 will calculate the Non-CPS Facility Supplemental Revenue, and it will populate Cell L16 of the Detailed Budget.</t>
  </si>
  <si>
    <t>Instructions for Special Education Revenue (Reimbursement)</t>
  </si>
  <si>
    <t>Special Education funding is based on the number of Special Education teachers, clinicians, and teacher aides allocated to your school. The SPED staffing allocation is based on your students' IEP's. Note: The revenues for Special Education cannot exceed the costs. It is on a REIMBURSEMENT basis only. The funding levels are being kept at the current rates.                                                                                                                                                                                                                             Please note that reimbursement cannot exceed the following:                                                                                                                             a) $90,000 average for SPED teachers (salaries and fringes)                                                                                                             b) $40,000 average for SPED teacher aides (salaries and fringes)                                                                                                                     c) $90,000 average for clinicians (salaries and fringes)                                                                                                                             Total compensation for a SPED teacher or clinician can be as high as $110,000; however, the average for of all the clinicians and SPED teachers cannot exceed the aforementioned $90,000 average. For a SPED teacher aide, it is $53,000 and $40,000 respectively.</t>
  </si>
  <si>
    <t>Instructions for Per Capita and Special Education Revenues</t>
  </si>
  <si>
    <t>Using the first year of operation as an example, for K-3, please enter the budgeted number of Non-SPED, LRE1 and LRE2 students by grade in Cells C26-C29. For LRE3 students, please enter the number of students in Cells D26-D29.</t>
  </si>
  <si>
    <t>3) 6-8 (Note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</si>
  <si>
    <t>3) 9-12 or HS</t>
  </si>
  <si>
    <t>For grades K-8, the total enrollment for the non-SPED, LRE1, and LRE2 students will be weighted at 100% for SBB funding. The LRE3 students will be weighted at 40%. For example, if your school had 5 LRE3 5th graders, they would be counted as 2 students (5 x 40%) for SBB funding purposes.</t>
  </si>
  <si>
    <t>`</t>
  </si>
  <si>
    <t>For grades 9-12, the total enrollment for the non-SPED and LRE1 students will be weighted at 100% for SBB funding. The LRE 2 students will be weighted at 70%, and LRE3 students will be weighted at 40%.</t>
  </si>
  <si>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</si>
  <si>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t>For Non-SBB funding, the total enrollment (not weighted) will be used when calculating the Non-SBB revenue for all grade levels.</t>
  </si>
  <si>
    <t>General - Non-CPS Facility Supplement</t>
  </si>
  <si>
    <t>The Non-CPS Facility Supplement is for schools the reside in a non-CPS or independent facility. It is based on the number of students enrolled. Please note that the rate per pupil for this revenue is kept constant at $750 (current funding level).</t>
  </si>
  <si>
    <t>General -Special Education Reimbursement</t>
  </si>
  <si>
    <t>Medicare Expense (Row 201)-This is calculated by multiplying the total salaries and wages in Row 189 by 1.45% (Cell B201). The expense from Row 201 populates Row 74 of the Budget with Assumptions worksheet.</t>
  </si>
  <si>
    <t>Employer 401k/403b Contribution (Row 203) - Please enter the % of salaries in Cell B203 that you plan to contribute to a 401k/403b plan for employees who do NOT participate in the CTPF. If you do not plan to have a 401k/403b plan, please enter 0%.The % entered in Cell B203 will be multiplied by the total non-CTPF salaries in Row 188 to calculate the expense by year in Row 203. The amounts in Row 203 will populate Row 72 of the Budget with Assumptions worksheet. If this is NOT an accurate calculation of your school's 401k/403b plan, you can manually enter the amounts in the Budget with Assumptions worksheet (Row 72).</t>
  </si>
  <si>
    <t>(C) Revenues-Per Capita and SPED</t>
  </si>
  <si>
    <t>The "Revenues-Per Capita and SPED" worksheet is for the Per Capita Tuition, Non-CPS Facility Supplement, and Special Education Revenues. Note: This worksheet contains all FIVE fiscal years after the Incubation year. The first  year is from Columns B-G, and the last fiscal year is from Columns AD-AI.</t>
  </si>
  <si>
    <t>General - Per Capita Tuition (SBB and Non-SBB Funding)</t>
  </si>
  <si>
    <t>The Per Capita Tuition Revenue is divided in the following two funding categories:</t>
  </si>
  <si>
    <t>a) Student Based Budgeting ("SBB") - the amount per pupil is for the core education expenses (e.g., teachers' salaries and benefits)</t>
  </si>
  <si>
    <t>b) Non Student Based Budgeting ("Non-SBB") - the amount per pupil is for non-core education expenses (e.g., occupancy expenses)</t>
  </si>
  <si>
    <t>It should be noted that the grade level will determine the amount per pupil for SBB and Non-SBB funding. The following are the grade levels:</t>
  </si>
  <si>
    <t>1) K-3</t>
  </si>
  <si>
    <t>2) 4-8</t>
  </si>
  <si>
    <t>Total Non-Pensionable Salaries-CTPF (Row 186) - This line equals the non-pensionable salaries and wages (from Row 148) for employees who participate in the CTPF.</t>
  </si>
  <si>
    <t>Total CTPF Salaries and Wages (Row 187) - This line totals all the CTPF Salaries and Wages from Rows 183 and 186.</t>
  </si>
  <si>
    <t>Total Non-CTPF Salaries and Wages (Row 188) - This line equals the totals from Row 181.</t>
  </si>
  <si>
    <t>Total Salaries and Wages (Row 189) - This line totals ALL the salaries and wages (adds Row 187 and Row 188), and populates Row 69 of the Budget with Assumptions worksheet.</t>
  </si>
  <si>
    <t>Total Employees (Row 191) - This line totals the school's employees.</t>
  </si>
  <si>
    <t>School's Pickup of Employees' Pension (Rows 193-195) - The total withholding for participants in the CTPF is 9%. This may be split in any manner between the employer and employee. Please enter 0%-9% in Cell B193 for the portion that the school/employer will pick-up. The percentage entered in B193 will be multiplied by the total pensionable salaries and wages (Row 183), and the expense is recorded in Row 195. The expense in Row 195 populates Row 71 of the Budget with Assumptions worksheet.</t>
  </si>
  <si>
    <t>School's Share of  Employer Contribution (normal cost) to the CTPF (Row 197) - The charter school is responsible for the employer's share of the annual normal cost of the pension expense. It is currently estimated at 10.6% (Cell B197) of pensionable salaries. The expense is calculated by taking the pensionable salaries in Row 185 times the 10.6% in Cell B197.The expense in Row 197 populates Row 70 of the Budget with Assumptions worksheet.</t>
  </si>
  <si>
    <t>Employer's Share of FICA Expense (Row 199) - This line calculates the employer's share of FICA expense by taking the percentage (6.2%) in Cell B199 times the total non-CTPF salaries and wages in Row 188. The employer's share of the FICA expense from Row 199 populates Row 73 of the Budget with Assumptions worksheet.</t>
  </si>
  <si>
    <t>Section 3: Total Wages by Job Title by Year (Rows 117-181)
- This table will calculate automatically based on the information entered in the other two tables (with the exception of Rows 144-147 and Rows 178-180, (please see below).
- You cannot change the job titles in this table; they will automatically match the job titles in the Number of Employees table.                                                                                                                            -  For positions that participate in the CTPF, in Rows 144-147, there are categories for non-pensionable salaries. If you are budgeting for any of these categories, please enter the total compensation amount by category for each fiscal year.                                                                                                        - For positions that do NOT participate in the CTPF, in Rows 178-180, please enter the total compensation by category, if applicable, for each fiscal year.</t>
  </si>
  <si>
    <t>Total Pensionable Salaries and Wages (Row 183) - This line totals the pensionable CTPF salaries and wages. The total will be used to calculate the pension expense if you decide to "pick-up" any of the employees' withholding (0%-9%) for the CTPF.</t>
  </si>
  <si>
    <t>Total Pensionable Salaries and Wages for Reimbursable SPED Positions (Row 184) - This line totals the salaries for the reimbursable SPED positions (Rows 120-127). These salaries will be excluded when calculating the employer's share of the pension expense; therefore, they are excluded when calculating the reimbursement for the fringe benefits of the SPED teachers, clinicians, and teacher aides. (Please also see Cell B110 of this worksheet.)</t>
  </si>
  <si>
    <t>Total Pensionable Salaries and Wages Used to Calculate the Employer's Share of the Pension Expense (Row 185) - This line adds Row 183 and Row 184 (which is negative) to arrive at the total pensionable salaries that are used to calculate the employer's share of the CTPF expense.</t>
  </si>
  <si>
    <t>After the first year, budget accordingly based on projected enrollment.</t>
  </si>
  <si>
    <t>NOTE: You do NOT have to budget the Psychologist, Social Worker, Nurse, and Speech Pathologist positions in the Personnel Section. They can be budgeted as outside contractors (non-employee) in the "Budget with Assumptions" worksheet in Row 51.</t>
  </si>
  <si>
    <t>NOTE: 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</si>
  <si>
    <t>Section 2: Average Annual Salary for Each Job Title for Each Year (Rows 60-115) - There are two options for completing this table:
a) List the salaries in the "Base/Average Wage" Column (B), and enter the salary inflation rates in Row 62. You can choose to inflate wages at different rates each year but the inflation rate will apply to ALL salaries. This will automatically calculate the average annual salary for each year.
b) Hard code the average annual salary for each position(s) for each year.
You cannot change the job titles in this table; they will automatically match the job titles in the Number of Employees table.</t>
  </si>
  <si>
    <t>Section 1: Number of Employees for Each Year for Each Job Title (Rows 4-57)-For each row, enter the number of staff members for each job title for each year. You can change the job titles and use the blank lines to enter titles that are not listed. The positions are divided into two categories:                                                                                                                                                         (a) Positions that participate in the Chicago Teachers' Pension Fund (Rows 6-29)-any position that has an Illinois certificate for teaching.                                                                                                                            (b) Employees who do NOT participate in the CTPF, and are subject to FICA taxes (Rows 30-57).                                                                                                                                                                                                                                                                                                                                                                                                                                                                                                                                                                                      For both of the above categories, there are Special Education positions that are highlighted in a darker blue. These are for reimbursable SPED positions that are based on your Special Education students' IEPs. The number of SPED positions and salaries will populate the "Revenues-Per Capita and SPED" worksheet to calculate the estimated reimbursable amounts.</t>
  </si>
  <si>
    <t>For budgeting reimbursable SPED positions, please assume the following for your first year of operation:</t>
  </si>
  <si>
    <t>a) 1.0 FTE SPED Teacher</t>
  </si>
  <si>
    <t>b) .10 FTE Psychologist</t>
  </si>
  <si>
    <t>c) .10 FTE Social Worker</t>
  </si>
  <si>
    <t>d) .10 FTE Nurse</t>
  </si>
  <si>
    <t>e) .10 FTE Speech Pathologist</t>
  </si>
  <si>
    <t>The data that should be entered first is the Incubation Year from the Dropdown Box in Cell J9 of the "Budget with Assumptions" worksheet. The fiscal years will populate throughout the budget template after it is entered.</t>
  </si>
  <si>
    <t>(B) Personnel Worksheet</t>
  </si>
  <si>
    <t>General</t>
  </si>
  <si>
    <t>Please note that salaries are divided into two categories. The first category is for employees who participate in the Chicago Teachers' Pension Fund ("CTPF"), and the second one is for those who do NOT participate in the CTPF. Any position that has an Illinois certificate for teaching will participate in the CTPF. The non-certified personnel of a charter school will NOT participate in the CTPF. For the incubation year, do NOT include any employees in the CTPF. If you are selected to operate a charter school, you will be asked to contact the CTPF for further details regarding the timing and the eligibility of your employees to be members of the CTPF.</t>
  </si>
  <si>
    <t>Note: At least 50% of  a charter school's instructional positions should hold teaching certificates in the first year of operation. At the beginning of the fourth year and thereafter, at least 75% of the instructional positions should be certified.</t>
  </si>
  <si>
    <t>Instructions</t>
  </si>
  <si>
    <t/>
  </si>
  <si>
    <t>2013 RFP Budget Instructions</t>
  </si>
  <si>
    <t>(A) Guidelines</t>
  </si>
  <si>
    <t>This budget template is only for NEW operators (i.e., applicants who do NOT currently operate a charter in the City of Chicago) proposing to open a Charter School only.</t>
  </si>
  <si>
    <t>The budget is for a six-year period (incubation and the first five years of operations). The Incubation Year can be either fiscal year 2014 or 2015. Please note that the fiscal year ends on June 30th.</t>
  </si>
  <si>
    <t>The budget should reflect the school's mission, vision, and program. Please check for inconsistencies between the Budget and your Full Proposal.</t>
  </si>
  <si>
    <t>Applicants who include revenue through grants and/or fundraising must attach a detailed fundraising plan in the appendix.</t>
  </si>
  <si>
    <t>Applicants who are either renovating or purchasing a facility, and are financing the project through a loan, should complete the Loans Worksheet (in this file) as well as the Sources and Uses spreadsheet (separate file).</t>
  </si>
  <si>
    <t>Expenses associated with facility projects should not be included in this budget template.</t>
  </si>
  <si>
    <t>Loan proceeds for facility projects should not be included as revenue.</t>
  </si>
  <si>
    <t>The budget should be prepared on cash basis.</t>
  </si>
  <si>
    <t>If you are a candidate selected to continue in the RFP process, you will be requested to submit a revised budget(s).</t>
  </si>
  <si>
    <t>All budgeted revenues funded by CPS are estimates, and are NOT guarantees of future funding. All future funding is subject to Board approval.</t>
  </si>
  <si>
    <t>If you are preparing a budget for the more than one campus, please use this file for each campus. Please do NOT combine campuses.</t>
  </si>
  <si>
    <t>The budget is divided in to nine worksheets:</t>
  </si>
  <si>
    <t>A) Instructions / Guidelines (this worksheet/section)</t>
  </si>
  <si>
    <t>B) Personnel</t>
  </si>
  <si>
    <t>C) Revenues-Per Capita &amp; SPED</t>
  </si>
  <si>
    <t>D) Revenues-Federal, State, and Expansion</t>
  </si>
  <si>
    <t>E) Budget with Assumptions</t>
  </si>
  <si>
    <t>F) Budget Summary</t>
  </si>
  <si>
    <t>G) Loans</t>
  </si>
  <si>
    <t>H) Calculations</t>
  </si>
  <si>
    <t>I) Free and Reduced Lunch %'s ("FRL %'s")</t>
  </si>
</sst>
</file>

<file path=xl/styles.xml><?xml version="1.0" encoding="utf-8"?>
<styleSheet xmlns="http://schemas.openxmlformats.org/spreadsheetml/2006/main">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quot;$&quot;#,##0\ ;&quot;$&quot;\(#,##0\)"/>
    <numFmt numFmtId="167" formatCode="&quot;$&quot;#,##0"/>
    <numFmt numFmtId="168" formatCode="0.0%"/>
    <numFmt numFmtId="169" formatCode="m/d/yyyy;@"/>
    <numFmt numFmtId="170" formatCode="d\-mmm;@"/>
    <numFmt numFmtId="171" formatCode="&quot;$&quot;#,##0.00\ ;&quot;$&quot;\(#,##0.00\)"/>
    <numFmt numFmtId="172" formatCode="&quot;$&quot;#,##0.00"/>
    <numFmt numFmtId="173" formatCode="0\ ;\(0\)"/>
    <numFmt numFmtId="174" formatCode="0.0"/>
    <numFmt numFmtId="175" formatCode="#,##0.0"/>
  </numFmts>
  <fonts count="506">
    <font>
      <sz val="10"/>
      <color indexed="8"/>
      <name val="Arial"/>
    </font>
    <font>
      <b/>
      <sz val="12"/>
      <color indexed="8"/>
      <name val="Arial"/>
      <family val="2"/>
    </font>
    <font>
      <b/>
      <sz val="10"/>
      <color indexed="8"/>
      <name val="Arial"/>
      <family val="2"/>
    </font>
    <font>
      <sz val="10"/>
      <color indexed="8"/>
      <name val="Arial"/>
    </font>
    <font>
      <b/>
      <sz val="10"/>
      <color indexed="8"/>
      <name val="Arial"/>
      <family val="2"/>
    </font>
    <font>
      <sz val="10"/>
      <color indexed="8"/>
      <name val="Arial"/>
    </font>
    <font>
      <sz val="10"/>
      <color indexed="8"/>
      <name val="Arial"/>
    </font>
    <font>
      <sz val="10"/>
      <color indexed="8"/>
      <name val="Arial"/>
    </font>
    <font>
      <b/>
      <sz val="10"/>
      <color indexed="8"/>
      <name val="Arial"/>
      <family val="2"/>
    </font>
    <font>
      <sz val="10"/>
      <color indexed="8"/>
      <name val="Arial"/>
    </font>
    <font>
      <b/>
      <sz val="10"/>
      <color indexed="8"/>
      <name val="Arial"/>
      <family val="2"/>
    </font>
    <font>
      <b/>
      <sz val="10"/>
      <color indexed="8"/>
      <name val="Arial"/>
      <family val="2"/>
    </font>
    <font>
      <sz val="10"/>
      <color indexed="8"/>
      <name val="Arial"/>
    </font>
    <font>
      <b/>
      <sz val="11"/>
      <color indexed="8"/>
      <name val="Arial"/>
      <family val="2"/>
    </font>
    <font>
      <sz val="10"/>
      <color indexed="8"/>
      <name val="Arial"/>
    </font>
    <font>
      <sz val="10"/>
      <color indexed="8"/>
      <name val="Arial"/>
    </font>
    <font>
      <b/>
      <sz val="12"/>
      <color indexed="8"/>
      <name val="Arial"/>
      <family val="2"/>
    </font>
    <font>
      <b/>
      <sz val="10"/>
      <color indexed="8"/>
      <name val="Arial"/>
      <family val="2"/>
    </font>
    <font>
      <b/>
      <sz val="10"/>
      <color indexed="8"/>
      <name val="Arial"/>
      <family val="2"/>
    </font>
    <font>
      <b/>
      <sz val="11"/>
      <color indexed="8"/>
      <name val="Arial"/>
      <family val="2"/>
    </font>
    <font>
      <sz val="11"/>
      <color indexed="8"/>
      <name val="Arial"/>
      <family val="2"/>
    </font>
    <font>
      <sz val="10"/>
      <color indexed="8"/>
      <name val="Arial"/>
    </font>
    <font>
      <sz val="10"/>
      <color indexed="8"/>
      <name val="Arial"/>
    </font>
    <font>
      <sz val="10"/>
      <color indexed="8"/>
      <name val="Arial"/>
    </font>
    <font>
      <sz val="12"/>
      <color indexed="8"/>
      <name val="Cambria"/>
      <family val="1"/>
    </font>
    <font>
      <b/>
      <sz val="12"/>
      <color indexed="8"/>
      <name val="Cambria"/>
      <family val="1"/>
    </font>
    <font>
      <sz val="11"/>
      <color indexed="8"/>
      <name val="Arial"/>
      <family val="2"/>
    </font>
    <font>
      <sz val="11"/>
      <color indexed="8"/>
      <name val="Arial"/>
      <family val="2"/>
    </font>
    <font>
      <b/>
      <sz val="10"/>
      <color indexed="8"/>
      <name val="Arial"/>
      <family val="2"/>
    </font>
    <font>
      <b/>
      <sz val="10"/>
      <color indexed="8"/>
      <name val="Arial"/>
      <family val="2"/>
    </font>
    <font>
      <sz val="10"/>
      <color indexed="8"/>
      <name val="Arial"/>
    </font>
    <font>
      <sz val="10"/>
      <color indexed="8"/>
      <name val="Arial"/>
    </font>
    <font>
      <sz val="10"/>
      <color indexed="8"/>
      <name val="Arial"/>
    </font>
    <font>
      <sz val="10"/>
      <color indexed="8"/>
      <name val="Arial"/>
    </font>
    <font>
      <sz val="10"/>
      <color indexed="8"/>
      <name val="Arial"/>
    </font>
    <font>
      <b/>
      <sz val="12"/>
      <color indexed="8"/>
      <name val="Arial"/>
      <family val="2"/>
    </font>
    <font>
      <b/>
      <sz val="11"/>
      <color indexed="8"/>
      <name val="Calibri"/>
      <family val="2"/>
    </font>
    <font>
      <b/>
      <sz val="10"/>
      <color indexed="8"/>
      <name val="Arial"/>
      <family val="2"/>
    </font>
    <font>
      <b/>
      <sz val="10"/>
      <color indexed="8"/>
      <name val="Arial"/>
      <family val="2"/>
    </font>
    <font>
      <b/>
      <sz val="10"/>
      <color indexed="8"/>
      <name val="Arial"/>
      <family val="2"/>
    </font>
    <font>
      <sz val="10"/>
      <color indexed="8"/>
      <name val="Arial"/>
    </font>
    <font>
      <i/>
      <sz val="10"/>
      <color indexed="8"/>
      <name val="Arial"/>
      <family val="2"/>
    </font>
    <font>
      <sz val="11"/>
      <color indexed="8"/>
      <name val="Arial"/>
      <family val="2"/>
    </font>
    <font>
      <sz val="12"/>
      <color indexed="8"/>
      <name val="Cambria"/>
      <family val="1"/>
    </font>
    <font>
      <sz val="10"/>
      <color indexed="8"/>
      <name val="Arial"/>
    </font>
    <font>
      <b/>
      <sz val="14"/>
      <color indexed="8"/>
      <name val="Arial"/>
      <family val="2"/>
    </font>
    <font>
      <b/>
      <sz val="12"/>
      <color indexed="8"/>
      <name val="Cambria"/>
      <family val="1"/>
    </font>
    <font>
      <sz val="10"/>
      <color indexed="8"/>
      <name val="Arial"/>
    </font>
    <font>
      <sz val="10"/>
      <color indexed="8"/>
      <name val="Arial"/>
    </font>
    <font>
      <sz val="10"/>
      <color indexed="8"/>
      <name val="Arial"/>
    </font>
    <font>
      <sz val="12"/>
      <color indexed="8"/>
      <name val="Cambria"/>
      <family val="1"/>
    </font>
    <font>
      <b/>
      <sz val="12"/>
      <color indexed="8"/>
      <name val="Cambria"/>
      <family val="1"/>
    </font>
    <font>
      <b/>
      <sz val="10"/>
      <color indexed="8"/>
      <name val="Arial"/>
      <family val="2"/>
    </font>
    <font>
      <b/>
      <i/>
      <sz val="10"/>
      <color indexed="8"/>
      <name val="Arial"/>
      <family val="2"/>
    </font>
    <font>
      <b/>
      <sz val="11"/>
      <color indexed="8"/>
      <name val="Arial"/>
      <family val="2"/>
    </font>
    <font>
      <b/>
      <sz val="10"/>
      <color indexed="8"/>
      <name val="Arial"/>
      <family val="2"/>
    </font>
    <font>
      <sz val="10"/>
      <color indexed="8"/>
      <name val="Arial"/>
    </font>
    <font>
      <sz val="10"/>
      <color indexed="8"/>
      <name val="Arial"/>
    </font>
    <font>
      <sz val="12"/>
      <color indexed="8"/>
      <name val="Cambria"/>
      <family val="1"/>
    </font>
    <font>
      <sz val="10"/>
      <color indexed="8"/>
      <name val="Arial"/>
    </font>
    <font>
      <sz val="12"/>
      <color indexed="8"/>
      <name val="Cambria"/>
      <family val="1"/>
    </font>
    <font>
      <sz val="10"/>
      <color indexed="8"/>
      <name val="Arial"/>
    </font>
    <font>
      <b/>
      <sz val="10"/>
      <color indexed="8"/>
      <name val="Arial"/>
      <family val="2"/>
    </font>
    <font>
      <sz val="10"/>
      <color indexed="8"/>
      <name val="Arial"/>
    </font>
    <font>
      <sz val="10"/>
      <color indexed="8"/>
      <name val="Arial"/>
    </font>
    <font>
      <b/>
      <sz val="12"/>
      <color indexed="8"/>
      <name val="Arial"/>
      <family val="2"/>
    </font>
    <font>
      <sz val="12"/>
      <color indexed="8"/>
      <name val="Cambria"/>
      <family val="1"/>
    </font>
    <font>
      <b/>
      <sz val="12"/>
      <color indexed="8"/>
      <name val="Cambria"/>
      <family val="1"/>
    </font>
    <font>
      <sz val="10"/>
      <color indexed="8"/>
      <name val="Arial"/>
    </font>
    <font>
      <sz val="12"/>
      <color indexed="8"/>
      <name val="Cambria"/>
      <family val="1"/>
    </font>
    <font>
      <b/>
      <sz val="10"/>
      <color indexed="8"/>
      <name val="Arial"/>
      <family val="2"/>
    </font>
    <font>
      <b/>
      <i/>
      <sz val="12"/>
      <color indexed="8"/>
      <name val="Cambria"/>
      <family val="1"/>
    </font>
    <font>
      <sz val="12"/>
      <color indexed="8"/>
      <name val="Cambria"/>
      <family val="1"/>
    </font>
    <font>
      <b/>
      <sz val="12"/>
      <color indexed="8"/>
      <name val="Arial"/>
      <family val="2"/>
    </font>
    <font>
      <b/>
      <sz val="10"/>
      <color indexed="8"/>
      <name val="Arial"/>
      <family val="2"/>
    </font>
    <font>
      <sz val="10"/>
      <color indexed="8"/>
      <name val="Arial"/>
    </font>
    <font>
      <sz val="12"/>
      <color indexed="8"/>
      <name val="Cambria"/>
      <family val="1"/>
    </font>
    <font>
      <b/>
      <sz val="10"/>
      <color indexed="8"/>
      <name val="Arial"/>
      <family val="2"/>
    </font>
    <font>
      <b/>
      <sz val="14"/>
      <color indexed="8"/>
      <name val="Cambria"/>
      <family val="1"/>
    </font>
    <font>
      <sz val="10"/>
      <color indexed="8"/>
      <name val="Arial"/>
    </font>
    <font>
      <sz val="18"/>
      <color indexed="8"/>
      <name val="Verdana"/>
      <family val="2"/>
    </font>
    <font>
      <sz val="11"/>
      <color indexed="8"/>
      <name val="Arial"/>
      <family val="2"/>
    </font>
    <font>
      <b/>
      <sz val="10"/>
      <color indexed="8"/>
      <name val="Arial"/>
      <family val="2"/>
    </font>
    <font>
      <sz val="10"/>
      <color indexed="8"/>
      <name val="Arial"/>
    </font>
    <font>
      <b/>
      <i/>
      <sz val="12"/>
      <color indexed="8"/>
      <name val="Cambria"/>
      <family val="1"/>
    </font>
    <font>
      <b/>
      <sz val="10"/>
      <color indexed="8"/>
      <name val="Arial"/>
      <family val="2"/>
    </font>
    <font>
      <sz val="11"/>
      <color indexed="8"/>
      <name val="Arial"/>
      <family val="2"/>
    </font>
    <font>
      <b/>
      <sz val="10"/>
      <color indexed="8"/>
      <name val="Arial"/>
      <family val="2"/>
    </font>
    <font>
      <sz val="10"/>
      <color indexed="8"/>
      <name val="Arial"/>
    </font>
    <font>
      <b/>
      <sz val="10"/>
      <color indexed="8"/>
      <name val="Arial"/>
      <family val="2"/>
    </font>
    <font>
      <b/>
      <sz val="10"/>
      <color indexed="8"/>
      <name val="Arial"/>
      <family val="2"/>
    </font>
    <font>
      <sz val="9"/>
      <color indexed="8"/>
      <name val="Arial"/>
      <family val="2"/>
    </font>
    <font>
      <b/>
      <sz val="10"/>
      <color indexed="8"/>
      <name val="Arial"/>
      <family val="2"/>
    </font>
    <font>
      <sz val="10"/>
      <color indexed="55"/>
      <name val="Arial"/>
      <family val="2"/>
    </font>
    <font>
      <sz val="10"/>
      <color indexed="8"/>
      <name val="Arial"/>
    </font>
    <font>
      <sz val="10"/>
      <color indexed="8"/>
      <name val="Arial"/>
    </font>
    <font>
      <b/>
      <sz val="10"/>
      <color indexed="8"/>
      <name val="Arial"/>
      <family val="2"/>
    </font>
    <font>
      <b/>
      <i/>
      <sz val="12"/>
      <color indexed="8"/>
      <name val="Arial"/>
      <family val="2"/>
    </font>
    <font>
      <b/>
      <sz val="14"/>
      <color indexed="8"/>
      <name val="Arial"/>
      <family val="2"/>
    </font>
    <font>
      <b/>
      <sz val="10"/>
      <color indexed="8"/>
      <name val="Arial"/>
      <family val="2"/>
    </font>
    <font>
      <sz val="12"/>
      <color indexed="8"/>
      <name val="Cambria"/>
      <family val="1"/>
    </font>
    <font>
      <sz val="10"/>
      <color indexed="8"/>
      <name val="Arial"/>
    </font>
    <font>
      <b/>
      <sz val="10"/>
      <color indexed="8"/>
      <name val="Arial"/>
      <family val="2"/>
    </font>
    <font>
      <sz val="10"/>
      <color indexed="8"/>
      <name val="Arial"/>
    </font>
    <font>
      <b/>
      <sz val="10"/>
      <color indexed="8"/>
      <name val="Arial"/>
      <family val="2"/>
    </font>
    <font>
      <b/>
      <sz val="10"/>
      <color indexed="8"/>
      <name val="Arial"/>
      <family val="2"/>
    </font>
    <font>
      <sz val="10"/>
      <color indexed="8"/>
      <name val="Arial"/>
    </font>
    <font>
      <b/>
      <sz val="10"/>
      <color indexed="8"/>
      <name val="Arial"/>
      <family val="2"/>
    </font>
    <font>
      <b/>
      <sz val="11"/>
      <color indexed="8"/>
      <name val="Calibri"/>
      <family val="2"/>
    </font>
    <font>
      <sz val="12"/>
      <color indexed="8"/>
      <name val="Cambria"/>
      <family val="1"/>
    </font>
    <font>
      <b/>
      <sz val="18"/>
      <color indexed="8"/>
      <name val="Verdana"/>
      <family val="2"/>
    </font>
    <font>
      <b/>
      <sz val="10"/>
      <color indexed="8"/>
      <name val="Arial"/>
      <family val="2"/>
    </font>
    <font>
      <sz val="12"/>
      <color indexed="8"/>
      <name val="Cambria"/>
      <family val="1"/>
    </font>
    <font>
      <sz val="10"/>
      <color indexed="8"/>
      <name val="Arial"/>
    </font>
    <font>
      <sz val="14"/>
      <color indexed="8"/>
      <name val="Cambria"/>
      <family val="1"/>
    </font>
    <font>
      <b/>
      <sz val="10"/>
      <color indexed="8"/>
      <name val="Arial"/>
      <family val="2"/>
    </font>
    <font>
      <b/>
      <sz val="12"/>
      <color indexed="8"/>
      <name val="Cambria"/>
      <family val="1"/>
    </font>
    <font>
      <b/>
      <sz val="10"/>
      <color indexed="8"/>
      <name val="Arial"/>
      <family val="2"/>
    </font>
    <font>
      <sz val="10"/>
      <color indexed="8"/>
      <name val="Arial"/>
    </font>
    <font>
      <sz val="10"/>
      <color indexed="8"/>
      <name val="Arial"/>
    </font>
    <font>
      <b/>
      <sz val="10"/>
      <color indexed="8"/>
      <name val="Arial"/>
      <family val="2"/>
    </font>
    <font>
      <b/>
      <sz val="11"/>
      <color indexed="8"/>
      <name val="Arial"/>
      <family val="2"/>
    </font>
    <font>
      <b/>
      <sz val="12"/>
      <color indexed="8"/>
      <name val="Verdana"/>
      <family val="2"/>
    </font>
    <font>
      <sz val="10"/>
      <color indexed="8"/>
      <name val="Arial"/>
    </font>
    <font>
      <b/>
      <sz val="11"/>
      <color indexed="8"/>
      <name val="Arial"/>
      <family val="2"/>
    </font>
    <font>
      <sz val="12"/>
      <color indexed="8"/>
      <name val="Cambria"/>
      <family val="1"/>
    </font>
    <font>
      <b/>
      <sz val="12"/>
      <color indexed="8"/>
      <name val="Arial"/>
      <family val="2"/>
    </font>
    <font>
      <b/>
      <sz val="10"/>
      <color indexed="8"/>
      <name val="Arial"/>
      <family val="2"/>
    </font>
    <font>
      <b/>
      <sz val="11"/>
      <color indexed="8"/>
      <name val="Arial"/>
      <family val="2"/>
    </font>
    <font>
      <b/>
      <sz val="10"/>
      <color indexed="8"/>
      <name val="Arial"/>
      <family val="2"/>
    </font>
    <font>
      <sz val="10"/>
      <color indexed="8"/>
      <name val="Arial"/>
    </font>
    <font>
      <b/>
      <sz val="12"/>
      <color indexed="8"/>
      <name val="Arial"/>
      <family val="2"/>
    </font>
    <font>
      <sz val="10"/>
      <color indexed="8"/>
      <name val="Arial"/>
    </font>
    <font>
      <b/>
      <sz val="10"/>
      <color indexed="8"/>
      <name val="Arial"/>
      <family val="2"/>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2"/>
      <color indexed="8"/>
      <name val="Cambria"/>
      <family val="1"/>
    </font>
    <font>
      <b/>
      <sz val="12"/>
      <color indexed="8"/>
      <name val="Arial"/>
      <family val="2"/>
    </font>
    <font>
      <sz val="10"/>
      <color indexed="8"/>
      <name val="Arial"/>
    </font>
    <font>
      <sz val="10"/>
      <color indexed="8"/>
      <name val="Arial"/>
    </font>
    <font>
      <b/>
      <sz val="10"/>
      <color indexed="8"/>
      <name val="Arial"/>
      <family val="2"/>
    </font>
    <font>
      <b/>
      <sz val="10"/>
      <color indexed="8"/>
      <name val="Arial"/>
      <family val="2"/>
    </font>
    <font>
      <b/>
      <sz val="11"/>
      <color indexed="8"/>
      <name val="Arial"/>
      <family val="2"/>
    </font>
    <font>
      <sz val="10"/>
      <color indexed="8"/>
      <name val="Arial"/>
    </font>
    <font>
      <sz val="12"/>
      <color indexed="8"/>
      <name val="Cambria"/>
      <family val="1"/>
    </font>
    <font>
      <sz val="10"/>
      <color indexed="8"/>
      <name val="Arial"/>
    </font>
    <font>
      <b/>
      <sz val="10"/>
      <color indexed="8"/>
      <name val="Arial"/>
      <family val="2"/>
    </font>
    <font>
      <sz val="10"/>
      <color indexed="8"/>
      <name val="Arial"/>
    </font>
    <font>
      <b/>
      <sz val="10"/>
      <color indexed="8"/>
      <name val="Arial"/>
      <family val="2"/>
    </font>
    <font>
      <b/>
      <sz val="11"/>
      <color indexed="8"/>
      <name val="Arial"/>
      <family val="2"/>
    </font>
    <font>
      <sz val="10"/>
      <color indexed="8"/>
      <name val="Arial"/>
    </font>
    <font>
      <b/>
      <sz val="10"/>
      <color indexed="8"/>
      <name val="Arial"/>
      <family val="2"/>
    </font>
    <font>
      <sz val="10"/>
      <color indexed="8"/>
      <name val="Arial"/>
    </font>
    <font>
      <sz val="10"/>
      <color indexed="8"/>
      <name val="Arial"/>
    </font>
    <font>
      <sz val="10"/>
      <color indexed="8"/>
      <name val="Arial"/>
    </font>
    <font>
      <b/>
      <sz val="10"/>
      <color indexed="8"/>
      <name val="Arial"/>
      <family val="2"/>
    </font>
    <font>
      <sz val="10"/>
      <color indexed="8"/>
      <name val="Arial"/>
    </font>
    <font>
      <b/>
      <sz val="12"/>
      <color indexed="8"/>
      <name val="Arial"/>
      <family val="2"/>
    </font>
    <font>
      <b/>
      <sz val="10"/>
      <color indexed="8"/>
      <name val="Arial"/>
      <family val="2"/>
    </font>
    <font>
      <b/>
      <sz val="12"/>
      <color indexed="8"/>
      <name val="Arial"/>
      <family val="2"/>
    </font>
    <font>
      <b/>
      <sz val="10"/>
      <color indexed="8"/>
      <name val="Arial"/>
      <family val="2"/>
    </font>
    <font>
      <sz val="10"/>
      <color indexed="8"/>
      <name val="Arial"/>
    </font>
    <font>
      <b/>
      <sz val="10"/>
      <color indexed="8"/>
      <name val="Arial"/>
      <family val="2"/>
    </font>
    <font>
      <b/>
      <sz val="12"/>
      <color indexed="8"/>
      <name val="Arial"/>
      <family val="2"/>
    </font>
    <font>
      <b/>
      <sz val="12"/>
      <color indexed="8"/>
      <name val="Cambria"/>
      <family val="1"/>
    </font>
    <font>
      <b/>
      <sz val="12"/>
      <color indexed="8"/>
      <name val="Arial"/>
      <family val="2"/>
    </font>
    <font>
      <sz val="10"/>
      <color indexed="8"/>
      <name val="Arial"/>
    </font>
    <font>
      <sz val="10"/>
      <color indexed="8"/>
      <name val="Arial"/>
    </font>
    <font>
      <sz val="10"/>
      <color indexed="8"/>
      <name val="Arial"/>
    </font>
    <font>
      <sz val="10"/>
      <color indexed="8"/>
      <name val="Arial"/>
    </font>
    <font>
      <b/>
      <sz val="10"/>
      <color indexed="8"/>
      <name val="Arial"/>
      <family val="2"/>
    </font>
    <font>
      <b/>
      <sz val="12"/>
      <color indexed="8"/>
      <name val="Cambria"/>
      <family val="1"/>
    </font>
    <font>
      <sz val="10"/>
      <color indexed="8"/>
      <name val="Arial"/>
    </font>
    <font>
      <sz val="10"/>
      <color indexed="8"/>
      <name val="Arial"/>
    </font>
    <font>
      <u/>
      <sz val="12"/>
      <color indexed="8"/>
      <name val="Cambria"/>
      <family val="1"/>
    </font>
    <font>
      <sz val="10"/>
      <color indexed="8"/>
      <name val="Arial"/>
    </font>
    <font>
      <sz val="10"/>
      <color indexed="8"/>
      <name val="Arial"/>
    </font>
    <font>
      <sz val="11"/>
      <color indexed="8"/>
      <name val="Arial"/>
      <family val="2"/>
    </font>
    <font>
      <b/>
      <sz val="10"/>
      <color indexed="8"/>
      <name val="Arial"/>
      <family val="2"/>
    </font>
    <font>
      <sz val="10"/>
      <color indexed="8"/>
      <name val="Arial"/>
    </font>
    <font>
      <b/>
      <sz val="12"/>
      <color indexed="8"/>
      <name val="Cambria"/>
      <family val="1"/>
    </font>
    <font>
      <sz val="11"/>
      <color indexed="8"/>
      <name val="Arial"/>
      <family val="2"/>
    </font>
    <font>
      <b/>
      <sz val="10"/>
      <color indexed="8"/>
      <name val="Arial"/>
      <family val="2"/>
    </font>
    <font>
      <sz val="10"/>
      <color indexed="8"/>
      <name val="Arial"/>
    </font>
    <font>
      <sz val="10"/>
      <color indexed="8"/>
      <name val="Arial"/>
    </font>
    <font>
      <sz val="10"/>
      <color indexed="8"/>
      <name val="Arial"/>
    </font>
    <font>
      <b/>
      <sz val="12"/>
      <color indexed="8"/>
      <name val="Cambria"/>
      <family val="1"/>
    </font>
    <font>
      <sz val="10"/>
      <color indexed="8"/>
      <name val="Arial"/>
    </font>
    <font>
      <b/>
      <sz val="11"/>
      <color indexed="8"/>
      <name val="Arial"/>
      <family val="2"/>
    </font>
    <font>
      <b/>
      <sz val="10"/>
      <color indexed="8"/>
      <name val="Arial"/>
      <family val="2"/>
    </font>
    <font>
      <b/>
      <sz val="10"/>
      <color indexed="8"/>
      <name val="Arial"/>
      <family val="2"/>
    </font>
    <font>
      <i/>
      <sz val="12"/>
      <color indexed="8"/>
      <name val="Cambria"/>
      <family val="1"/>
    </font>
    <font>
      <b/>
      <sz val="12"/>
      <color indexed="8"/>
      <name val="Cambria"/>
      <family val="1"/>
    </font>
    <font>
      <sz val="12"/>
      <color indexed="8"/>
      <name val="Verdana"/>
      <family val="2"/>
    </font>
    <font>
      <b/>
      <sz val="10"/>
      <color indexed="8"/>
      <name val="Arial"/>
      <family val="2"/>
    </font>
    <font>
      <sz val="11"/>
      <color indexed="8"/>
      <name val="Arial"/>
      <family val="2"/>
    </font>
    <font>
      <sz val="10"/>
      <color indexed="8"/>
      <name val="Arial"/>
    </font>
    <font>
      <sz val="10"/>
      <color indexed="8"/>
      <name val="Arial"/>
    </font>
    <font>
      <sz val="10"/>
      <color indexed="8"/>
      <name val="Arial"/>
    </font>
    <font>
      <b/>
      <sz val="10"/>
      <color indexed="8"/>
      <name val="Arial"/>
      <family val="2"/>
    </font>
    <font>
      <b/>
      <sz val="10"/>
      <color indexed="8"/>
      <name val="Arial"/>
      <family val="2"/>
    </font>
    <font>
      <b/>
      <sz val="12"/>
      <color indexed="8"/>
      <name val="Cambria"/>
      <family val="1"/>
    </font>
    <font>
      <sz val="12"/>
      <color indexed="8"/>
      <name val="Cambria"/>
      <family val="1"/>
    </font>
    <font>
      <b/>
      <sz val="10"/>
      <color indexed="8"/>
      <name val="Arial"/>
      <family val="2"/>
    </font>
    <font>
      <sz val="12"/>
      <color indexed="8"/>
      <name val="Cambria"/>
      <family val="1"/>
    </font>
    <font>
      <b/>
      <sz val="12"/>
      <color indexed="8"/>
      <name val="Arial"/>
      <family val="2"/>
    </font>
    <font>
      <sz val="10"/>
      <color indexed="8"/>
      <name val="Arial"/>
    </font>
    <font>
      <sz val="12"/>
      <color indexed="8"/>
      <name val="Cambria"/>
      <family val="1"/>
    </font>
    <font>
      <b/>
      <sz val="10"/>
      <color indexed="8"/>
      <name val="Arial"/>
      <family val="2"/>
    </font>
    <font>
      <b/>
      <sz val="10"/>
      <color indexed="8"/>
      <name val="Arial"/>
      <family val="2"/>
    </font>
    <font>
      <sz val="12"/>
      <color indexed="8"/>
      <name val="Cambria"/>
      <family val="1"/>
    </font>
    <font>
      <b/>
      <sz val="12"/>
      <color indexed="8"/>
      <name val="Cambria"/>
      <family val="1"/>
    </font>
    <font>
      <b/>
      <sz val="10"/>
      <color indexed="8"/>
      <name val="Arial"/>
      <family val="2"/>
    </font>
    <font>
      <sz val="10"/>
      <color indexed="8"/>
      <name val="Arial"/>
    </font>
    <font>
      <b/>
      <sz val="10"/>
      <color indexed="8"/>
      <name val="Arial"/>
      <family val="2"/>
    </font>
    <font>
      <sz val="12"/>
      <color indexed="8"/>
      <name val="Cambria"/>
      <family val="1"/>
    </font>
    <font>
      <b/>
      <i/>
      <sz val="11"/>
      <color indexed="8"/>
      <name val="Arial"/>
      <family val="2"/>
    </font>
    <font>
      <b/>
      <sz val="10"/>
      <color indexed="8"/>
      <name val="Arial"/>
      <family val="2"/>
    </font>
    <font>
      <sz val="11"/>
      <color indexed="8"/>
      <name val="Arial"/>
      <family val="2"/>
    </font>
    <font>
      <b/>
      <sz val="14"/>
      <color indexed="8"/>
      <name val="Arial"/>
      <family val="2"/>
    </font>
    <font>
      <b/>
      <sz val="10"/>
      <color indexed="8"/>
      <name val="Arial"/>
      <family val="2"/>
    </font>
    <font>
      <sz val="10"/>
      <color indexed="8"/>
      <name val="Arial"/>
    </font>
    <font>
      <sz val="10"/>
      <color indexed="8"/>
      <name val="Arial"/>
    </font>
    <font>
      <sz val="10"/>
      <color indexed="8"/>
      <name val="Arial"/>
    </font>
    <font>
      <b/>
      <sz val="10"/>
      <color indexed="8"/>
      <name val="Arial"/>
      <family val="2"/>
    </font>
    <font>
      <b/>
      <sz val="10"/>
      <color indexed="8"/>
      <name val="Arial"/>
      <family val="2"/>
    </font>
    <font>
      <sz val="10"/>
      <color indexed="8"/>
      <name val="Arial"/>
    </font>
    <font>
      <sz val="14"/>
      <color indexed="8"/>
      <name val="Cambria"/>
      <family val="1"/>
    </font>
    <font>
      <b/>
      <sz val="10"/>
      <color indexed="8"/>
      <name val="Arial"/>
      <family val="2"/>
    </font>
    <font>
      <b/>
      <sz val="11"/>
      <color indexed="8"/>
      <name val="Arial"/>
      <family val="2"/>
    </font>
    <font>
      <b/>
      <sz val="12"/>
      <color indexed="8"/>
      <name val="Cambria"/>
      <family val="1"/>
    </font>
    <font>
      <b/>
      <sz val="12"/>
      <color indexed="8"/>
      <name val="Cambria"/>
      <family val="1"/>
    </font>
    <font>
      <sz val="10"/>
      <color indexed="8"/>
      <name val="Arial"/>
    </font>
    <font>
      <b/>
      <sz val="10"/>
      <color indexed="8"/>
      <name val="Arial"/>
      <family val="2"/>
    </font>
    <font>
      <sz val="12"/>
      <color indexed="8"/>
      <name val="Cambria"/>
      <family val="1"/>
    </font>
    <font>
      <sz val="12"/>
      <color indexed="8"/>
      <name val="Cambria"/>
      <family val="1"/>
    </font>
    <font>
      <sz val="12"/>
      <color indexed="8"/>
      <name val="Cambria"/>
      <family val="1"/>
    </font>
    <font>
      <sz val="12"/>
      <color indexed="8"/>
      <name val="Cambria"/>
      <family val="1"/>
    </font>
    <font>
      <sz val="12"/>
      <color indexed="8"/>
      <name val="Cambria"/>
      <family val="1"/>
    </font>
    <font>
      <sz val="12"/>
      <color indexed="8"/>
      <name val="Cambria"/>
      <family val="1"/>
    </font>
    <font>
      <sz val="10"/>
      <color indexed="8"/>
      <name val="Arial"/>
    </font>
    <font>
      <sz val="10"/>
      <color indexed="8"/>
      <name val="Arial"/>
    </font>
    <font>
      <b/>
      <i/>
      <sz val="11"/>
      <color indexed="8"/>
      <name val="Arial"/>
      <family val="2"/>
    </font>
    <font>
      <b/>
      <sz val="14"/>
      <color indexed="8"/>
      <name val="Cambria"/>
      <family val="1"/>
    </font>
    <font>
      <sz val="12"/>
      <color indexed="8"/>
      <name val="Cambria"/>
      <family val="1"/>
    </font>
    <font>
      <b/>
      <sz val="10"/>
      <color indexed="8"/>
      <name val="Arial"/>
      <family val="2"/>
    </font>
    <font>
      <sz val="10"/>
      <color indexed="8"/>
      <name val="Arial"/>
    </font>
    <font>
      <b/>
      <sz val="11"/>
      <color indexed="8"/>
      <name val="Arial"/>
      <family val="2"/>
    </font>
    <font>
      <sz val="10"/>
      <color indexed="8"/>
      <name val="Arial"/>
    </font>
    <font>
      <b/>
      <sz val="10"/>
      <color indexed="8"/>
      <name val="Arial"/>
      <family val="2"/>
    </font>
    <font>
      <i/>
      <sz val="10"/>
      <color indexed="8"/>
      <name val="Arial"/>
      <family val="2"/>
    </font>
    <font>
      <b/>
      <sz val="10"/>
      <color indexed="8"/>
      <name val="Arial"/>
      <family val="2"/>
    </font>
    <font>
      <b/>
      <sz val="10"/>
      <color indexed="8"/>
      <name val="Arial"/>
      <family val="2"/>
    </font>
    <font>
      <b/>
      <sz val="10"/>
      <color indexed="8"/>
      <name val="Arial"/>
      <family val="2"/>
    </font>
    <font>
      <b/>
      <sz val="11"/>
      <color indexed="8"/>
      <name val="Arial"/>
      <family val="2"/>
    </font>
    <font>
      <b/>
      <sz val="10"/>
      <color indexed="8"/>
      <name val="Arial"/>
      <family val="2"/>
    </font>
    <font>
      <b/>
      <sz val="10"/>
      <color indexed="8"/>
      <name val="Arial"/>
      <family val="2"/>
    </font>
    <font>
      <sz val="10"/>
      <color indexed="8"/>
      <name val="Arial"/>
    </font>
    <font>
      <sz val="10"/>
      <color indexed="8"/>
      <name val="Arial"/>
    </font>
    <font>
      <sz val="10"/>
      <color indexed="8"/>
      <name val="Arial"/>
    </font>
    <font>
      <b/>
      <sz val="10"/>
      <color indexed="8"/>
      <name val="Arial"/>
      <family val="2"/>
    </font>
    <font>
      <sz val="10"/>
      <color indexed="8"/>
      <name val="Arial"/>
    </font>
    <font>
      <b/>
      <sz val="12"/>
      <color indexed="8"/>
      <name val="Cambria"/>
      <family val="1"/>
    </font>
    <font>
      <b/>
      <sz val="10"/>
      <color indexed="8"/>
      <name val="Arial"/>
      <family val="2"/>
    </font>
    <font>
      <b/>
      <sz val="10"/>
      <color indexed="8"/>
      <name val="Arial"/>
      <family val="2"/>
    </font>
    <font>
      <sz val="10"/>
      <color indexed="8"/>
      <name val="Arial"/>
    </font>
    <font>
      <sz val="11"/>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2"/>
      <color indexed="8"/>
      <name val="Cambria"/>
      <family val="1"/>
    </font>
    <font>
      <sz val="12"/>
      <color indexed="8"/>
      <name val="Cambria"/>
      <family val="1"/>
    </font>
    <font>
      <b/>
      <sz val="11"/>
      <color indexed="8"/>
      <name val="Calibri"/>
      <family val="2"/>
    </font>
    <font>
      <b/>
      <i/>
      <sz val="10"/>
      <color indexed="8"/>
      <name val="Arial"/>
      <family val="2"/>
    </font>
    <font>
      <sz val="10"/>
      <color indexed="8"/>
      <name val="Arial"/>
    </font>
    <font>
      <b/>
      <sz val="11"/>
      <color indexed="8"/>
      <name val="Arial"/>
      <family val="2"/>
    </font>
    <font>
      <b/>
      <sz val="12"/>
      <color indexed="8"/>
      <name val="Cambria"/>
      <family val="1"/>
    </font>
    <font>
      <b/>
      <sz val="11"/>
      <color indexed="8"/>
      <name val="Arial"/>
      <family val="2"/>
    </font>
    <font>
      <sz val="10"/>
      <color indexed="8"/>
      <name val="Arial"/>
    </font>
    <font>
      <sz val="10"/>
      <color indexed="8"/>
      <name val="Arial"/>
    </font>
    <font>
      <sz val="10"/>
      <color indexed="8"/>
      <name val="Arial"/>
    </font>
    <font>
      <b/>
      <sz val="11"/>
      <color indexed="8"/>
      <name val="Calibri"/>
      <family val="2"/>
    </font>
    <font>
      <i/>
      <sz val="10"/>
      <color indexed="8"/>
      <name val="Arial"/>
      <family val="2"/>
    </font>
    <font>
      <sz val="12"/>
      <color indexed="8"/>
      <name val="Cambria"/>
      <family val="1"/>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i/>
      <sz val="12"/>
      <color indexed="8"/>
      <name val="Cambria"/>
      <family val="1"/>
    </font>
    <font>
      <b/>
      <sz val="12"/>
      <color indexed="8"/>
      <name val="Arial"/>
      <family val="2"/>
    </font>
    <font>
      <b/>
      <sz val="10"/>
      <color indexed="8"/>
      <name val="Arial"/>
      <family val="2"/>
    </font>
    <font>
      <b/>
      <i/>
      <sz val="11"/>
      <color indexed="8"/>
      <name val="Arial"/>
      <family val="2"/>
    </font>
    <font>
      <sz val="10"/>
      <color indexed="8"/>
      <name val="Arial"/>
    </font>
    <font>
      <b/>
      <sz val="10"/>
      <color indexed="8"/>
      <name val="Arial"/>
      <family val="2"/>
    </font>
    <font>
      <sz val="10"/>
      <color indexed="8"/>
      <name val="Arial"/>
    </font>
    <font>
      <b/>
      <sz val="10"/>
      <color indexed="8"/>
      <name val="Arial"/>
      <family val="2"/>
    </font>
    <font>
      <sz val="12"/>
      <color indexed="8"/>
      <name val="Arial"/>
      <family val="2"/>
    </font>
    <font>
      <b/>
      <sz val="10"/>
      <color indexed="8"/>
      <name val="Arial"/>
      <family val="2"/>
    </font>
    <font>
      <b/>
      <sz val="10"/>
      <color indexed="8"/>
      <name val="Arial"/>
      <family val="2"/>
    </font>
    <font>
      <b/>
      <sz val="10"/>
      <color indexed="8"/>
      <name val="Arial"/>
      <family val="2"/>
    </font>
    <font>
      <sz val="10"/>
      <color indexed="8"/>
      <name val="Arial"/>
    </font>
    <font>
      <sz val="10"/>
      <color indexed="8"/>
      <name val="Arial"/>
    </font>
    <font>
      <b/>
      <sz val="12"/>
      <color indexed="8"/>
      <name val="Arial"/>
      <family val="2"/>
    </font>
    <font>
      <b/>
      <sz val="10"/>
      <color indexed="8"/>
      <name val="Arial"/>
      <family val="2"/>
    </font>
    <font>
      <b/>
      <sz val="10"/>
      <color indexed="8"/>
      <name val="Arial"/>
      <family val="2"/>
    </font>
    <font>
      <b/>
      <sz val="11"/>
      <color indexed="8"/>
      <name val="Calibri"/>
      <family val="2"/>
    </font>
    <font>
      <sz val="12"/>
      <color indexed="8"/>
      <name val="Arial"/>
      <family val="2"/>
    </font>
    <font>
      <sz val="14"/>
      <color indexed="8"/>
      <name val="Cambria"/>
      <family val="1"/>
    </font>
    <font>
      <b/>
      <sz val="10"/>
      <color indexed="8"/>
      <name val="Arial"/>
      <family val="2"/>
    </font>
    <font>
      <b/>
      <sz val="10"/>
      <color indexed="8"/>
      <name val="Arial"/>
      <family val="2"/>
    </font>
    <font>
      <sz val="10"/>
      <color indexed="8"/>
      <name val="Arial"/>
    </font>
    <font>
      <sz val="10"/>
      <color indexed="8"/>
      <name val="Arial"/>
    </font>
    <font>
      <sz val="12"/>
      <color indexed="8"/>
      <name val="Verdana"/>
      <family val="2"/>
    </font>
    <font>
      <b/>
      <sz val="12"/>
      <color indexed="8"/>
      <name val="Arial"/>
      <family val="2"/>
    </font>
    <font>
      <b/>
      <sz val="10"/>
      <color indexed="8"/>
      <name val="Arial"/>
      <family val="2"/>
    </font>
    <font>
      <sz val="10"/>
      <color indexed="8"/>
      <name val="Arial"/>
    </font>
    <font>
      <sz val="10"/>
      <color indexed="8"/>
      <name val="Arial"/>
    </font>
    <font>
      <b/>
      <i/>
      <sz val="10"/>
      <color indexed="8"/>
      <name val="Arial"/>
      <family val="2"/>
    </font>
    <font>
      <b/>
      <sz val="10"/>
      <color indexed="8"/>
      <name val="Arial"/>
      <family val="2"/>
    </font>
    <font>
      <b/>
      <sz val="10"/>
      <color indexed="8"/>
      <name val="Arial"/>
      <family val="2"/>
    </font>
    <font>
      <sz val="10"/>
      <color indexed="8"/>
      <name val="Arial"/>
    </font>
    <font>
      <b/>
      <sz val="12"/>
      <color indexed="8"/>
      <name val="Cambria"/>
      <family val="1"/>
    </font>
    <font>
      <b/>
      <sz val="12"/>
      <color indexed="8"/>
      <name val="Arial"/>
      <family val="2"/>
    </font>
    <font>
      <sz val="10"/>
      <color indexed="8"/>
      <name val="Arial"/>
    </font>
    <font>
      <b/>
      <sz val="12"/>
      <color indexed="8"/>
      <name val="Cambria"/>
      <family val="1"/>
    </font>
    <font>
      <b/>
      <sz val="11"/>
      <color indexed="8"/>
      <name val="Arial"/>
      <family val="2"/>
    </font>
    <font>
      <b/>
      <sz val="10"/>
      <color indexed="8"/>
      <name val="Arial"/>
      <family val="2"/>
    </font>
    <font>
      <b/>
      <sz val="11"/>
      <color indexed="8"/>
      <name val="Arial"/>
      <family val="2"/>
    </font>
    <font>
      <b/>
      <sz val="10"/>
      <color indexed="8"/>
      <name val="Arial"/>
      <family val="2"/>
    </font>
    <font>
      <sz val="10"/>
      <color indexed="8"/>
      <name val="Arial"/>
    </font>
    <font>
      <sz val="10"/>
      <color indexed="8"/>
      <name val="Arial"/>
    </font>
    <font>
      <b/>
      <sz val="10"/>
      <color indexed="8"/>
      <name val="Arial"/>
      <family val="2"/>
    </font>
    <font>
      <sz val="10"/>
      <color indexed="8"/>
      <name val="Arial"/>
    </font>
    <font>
      <sz val="10"/>
      <color indexed="8"/>
      <name val="Arial"/>
    </font>
    <font>
      <sz val="11"/>
      <color indexed="8"/>
      <name val="Arial"/>
      <family val="2"/>
    </font>
    <font>
      <u/>
      <sz val="12"/>
      <color indexed="8"/>
      <name val="Cambria"/>
      <family val="1"/>
    </font>
    <font>
      <sz val="10"/>
      <color indexed="8"/>
      <name val="Arial"/>
    </font>
    <font>
      <b/>
      <sz val="10"/>
      <color indexed="8"/>
      <name val="Arial"/>
      <family val="2"/>
    </font>
    <font>
      <sz val="10"/>
      <color indexed="8"/>
      <name val="Arial"/>
    </font>
    <font>
      <sz val="11"/>
      <color indexed="8"/>
      <name val="Arial"/>
      <family val="2"/>
    </font>
    <font>
      <b/>
      <sz val="11"/>
      <color indexed="8"/>
      <name val="Arial"/>
      <family val="2"/>
    </font>
    <font>
      <sz val="10"/>
      <color indexed="8"/>
      <name val="Arial"/>
    </font>
    <font>
      <b/>
      <sz val="10"/>
      <color indexed="8"/>
      <name val="Arial"/>
      <family val="2"/>
    </font>
    <font>
      <b/>
      <sz val="12"/>
      <color indexed="8"/>
      <name val="Arial"/>
      <family val="2"/>
    </font>
    <font>
      <sz val="11"/>
      <color indexed="8"/>
      <name val="Arial"/>
      <family val="2"/>
    </font>
    <font>
      <sz val="12"/>
      <color indexed="8"/>
      <name val="Cambria"/>
      <family val="1"/>
    </font>
    <font>
      <sz val="11"/>
      <color indexed="8"/>
      <name val="Calibri"/>
      <family val="2"/>
    </font>
    <font>
      <b/>
      <sz val="10"/>
      <color indexed="8"/>
      <name val="Arial"/>
      <family val="2"/>
    </font>
    <font>
      <sz val="10"/>
      <color indexed="8"/>
      <name val="Arial"/>
    </font>
    <font>
      <sz val="10"/>
      <color indexed="8"/>
      <name val="Arial"/>
    </font>
    <font>
      <b/>
      <sz val="14"/>
      <color indexed="8"/>
      <name val="Arial"/>
      <family val="2"/>
    </font>
    <font>
      <sz val="10"/>
      <color indexed="8"/>
      <name val="Arial"/>
    </font>
    <font>
      <b/>
      <sz val="10"/>
      <color indexed="8"/>
      <name val="Arial"/>
      <family val="2"/>
    </font>
    <font>
      <b/>
      <i/>
      <sz val="11"/>
      <color indexed="8"/>
      <name val="Arial"/>
      <family val="2"/>
    </font>
    <font>
      <b/>
      <sz val="12"/>
      <color indexed="8"/>
      <name val="Arial"/>
      <family val="2"/>
    </font>
    <font>
      <sz val="10"/>
      <color indexed="8"/>
      <name val="Arial"/>
    </font>
    <font>
      <sz val="10"/>
      <color indexed="8"/>
      <name val="Arial"/>
    </font>
    <font>
      <i/>
      <sz val="12"/>
      <color indexed="8"/>
      <name val="Cambria"/>
      <family val="1"/>
    </font>
    <font>
      <b/>
      <sz val="14"/>
      <color indexed="8"/>
      <name val="Arial"/>
      <family val="2"/>
    </font>
    <font>
      <sz val="11"/>
      <color indexed="8"/>
      <name val="Arial"/>
      <family val="2"/>
    </font>
    <font>
      <sz val="12"/>
      <color indexed="8"/>
      <name val="Cambria"/>
      <family val="1"/>
    </font>
    <font>
      <b/>
      <sz val="10"/>
      <color indexed="8"/>
      <name val="Arial"/>
      <family val="2"/>
    </font>
    <font>
      <sz val="12"/>
      <color indexed="8"/>
      <name val="Cambria"/>
      <family val="1"/>
    </font>
    <font>
      <sz val="10"/>
      <color indexed="8"/>
      <name val="Arial"/>
    </font>
    <font>
      <i/>
      <sz val="12"/>
      <color indexed="8"/>
      <name val="Cambria"/>
      <family val="1"/>
    </font>
    <font>
      <sz val="10"/>
      <color indexed="8"/>
      <name val="Arial"/>
    </font>
    <font>
      <sz val="10"/>
      <color indexed="8"/>
      <name val="Arial"/>
    </font>
    <font>
      <sz val="18"/>
      <color indexed="8"/>
      <name val="Arial"/>
      <family val="2"/>
    </font>
    <font>
      <sz val="10"/>
      <color indexed="8"/>
      <name val="Arial"/>
    </font>
    <font>
      <b/>
      <sz val="10"/>
      <color indexed="8"/>
      <name val="Arial"/>
      <family val="2"/>
    </font>
    <font>
      <b/>
      <sz val="11"/>
      <color indexed="8"/>
      <name val="Arial"/>
      <family val="2"/>
    </font>
    <font>
      <sz val="10"/>
      <color indexed="8"/>
      <name val="Arial"/>
    </font>
    <font>
      <b/>
      <sz val="10"/>
      <color indexed="8"/>
      <name val="Arial"/>
      <family val="2"/>
    </font>
    <font>
      <sz val="10"/>
      <color indexed="8"/>
      <name val="Arial"/>
    </font>
    <font>
      <b/>
      <sz val="10"/>
      <color indexed="8"/>
      <name val="Arial"/>
      <family val="2"/>
    </font>
    <font>
      <sz val="10"/>
      <color indexed="8"/>
      <name val="Arial"/>
    </font>
    <font>
      <sz val="10"/>
      <color indexed="8"/>
      <name val="Arial"/>
    </font>
    <font>
      <b/>
      <sz val="10"/>
      <color indexed="8"/>
      <name val="Arial"/>
      <family val="2"/>
    </font>
    <font>
      <b/>
      <sz val="12"/>
      <color indexed="8"/>
      <name val="Arial"/>
      <family val="2"/>
    </font>
    <font>
      <b/>
      <sz val="11"/>
      <color indexed="8"/>
      <name val="Arial"/>
      <family val="2"/>
    </font>
    <font>
      <b/>
      <sz val="12"/>
      <color indexed="8"/>
      <name val="Cambria"/>
      <family val="1"/>
    </font>
    <font>
      <b/>
      <sz val="10"/>
      <color indexed="8"/>
      <name val="Arial"/>
      <family val="2"/>
    </font>
    <font>
      <sz val="10"/>
      <color indexed="8"/>
      <name val="Arial"/>
    </font>
    <font>
      <sz val="10"/>
      <color indexed="8"/>
      <name val="Arial"/>
    </font>
    <font>
      <b/>
      <sz val="10"/>
      <color indexed="8"/>
      <name val="Arial"/>
      <family val="2"/>
    </font>
    <font>
      <sz val="10"/>
      <color indexed="8"/>
      <name val="Arial"/>
    </font>
    <font>
      <b/>
      <sz val="10"/>
      <color indexed="8"/>
      <name val="Arial"/>
      <family val="2"/>
    </font>
    <font>
      <sz val="10"/>
      <color indexed="8"/>
      <name val="Arial"/>
    </font>
    <font>
      <sz val="10"/>
      <color indexed="8"/>
      <name val="Arial"/>
    </font>
    <font>
      <b/>
      <sz val="10"/>
      <color indexed="8"/>
      <name val="Arial"/>
      <family val="2"/>
    </font>
    <font>
      <b/>
      <sz val="10"/>
      <color indexed="8"/>
      <name val="Arial"/>
      <family val="2"/>
    </font>
    <font>
      <sz val="10"/>
      <color indexed="8"/>
      <name val="Arial"/>
    </font>
    <font>
      <b/>
      <sz val="12"/>
      <color indexed="8"/>
      <name val="Arial"/>
      <family val="2"/>
    </font>
    <font>
      <b/>
      <sz val="14"/>
      <color indexed="8"/>
      <name val="Cambria"/>
      <family val="1"/>
    </font>
    <font>
      <b/>
      <sz val="10"/>
      <color indexed="8"/>
      <name val="Arial"/>
      <family val="2"/>
    </font>
    <font>
      <sz val="10"/>
      <color indexed="8"/>
      <name val="Arial"/>
    </font>
    <font>
      <b/>
      <sz val="11"/>
      <color indexed="8"/>
      <name val="Arial"/>
      <family val="2"/>
    </font>
    <font>
      <b/>
      <sz val="14"/>
      <color indexed="8"/>
      <name val="Arial"/>
      <family val="2"/>
    </font>
    <font>
      <b/>
      <sz val="10"/>
      <color indexed="8"/>
      <name val="Arial"/>
      <family val="2"/>
    </font>
    <font>
      <b/>
      <sz val="12"/>
      <color indexed="8"/>
      <name val="Arial"/>
      <family val="2"/>
    </font>
    <font>
      <b/>
      <sz val="10"/>
      <color indexed="8"/>
      <name val="Arial"/>
      <family val="2"/>
    </font>
    <font>
      <sz val="10"/>
      <color indexed="8"/>
      <name val="Arial"/>
    </font>
    <font>
      <b/>
      <sz val="10"/>
      <color indexed="8"/>
      <name val="Arial"/>
      <family val="2"/>
    </font>
    <font>
      <b/>
      <sz val="12"/>
      <color indexed="8"/>
      <name val="Cambria"/>
      <family val="1"/>
    </font>
    <font>
      <b/>
      <sz val="10"/>
      <color indexed="8"/>
      <name val="Arial"/>
      <family val="2"/>
    </font>
    <font>
      <b/>
      <sz val="10"/>
      <color indexed="8"/>
      <name val="Arial"/>
      <family val="2"/>
    </font>
    <font>
      <b/>
      <sz val="10"/>
      <color indexed="8"/>
      <name val="Arial"/>
      <family val="2"/>
    </font>
    <font>
      <sz val="12"/>
      <color indexed="8"/>
      <name val="Cambria"/>
      <family val="1"/>
    </font>
    <font>
      <b/>
      <sz val="11"/>
      <color indexed="8"/>
      <name val="Cambria"/>
      <family val="1"/>
    </font>
    <font>
      <b/>
      <sz val="10"/>
      <color indexed="8"/>
      <name val="Arial"/>
      <family val="2"/>
    </font>
    <font>
      <sz val="10"/>
      <color indexed="8"/>
      <name val="Arial"/>
    </font>
    <font>
      <b/>
      <sz val="10"/>
      <color indexed="8"/>
      <name val="Arial"/>
      <family val="2"/>
    </font>
    <font>
      <sz val="10"/>
      <color indexed="8"/>
      <name val="Arial"/>
    </font>
    <font>
      <sz val="10"/>
      <color indexed="8"/>
      <name val="Arial"/>
    </font>
    <font>
      <b/>
      <sz val="10"/>
      <color indexed="8"/>
      <name val="Arial"/>
      <family val="2"/>
    </font>
    <font>
      <sz val="10"/>
      <color indexed="8"/>
      <name val="Arial"/>
    </font>
    <font>
      <b/>
      <sz val="10"/>
      <color indexed="8"/>
      <name val="Arial"/>
      <family val="2"/>
    </font>
    <font>
      <sz val="11"/>
      <color indexed="8"/>
      <name val="Arial"/>
      <family val="2"/>
    </font>
    <font>
      <i/>
      <sz val="12"/>
      <color indexed="8"/>
      <name val="Cambria"/>
      <family val="1"/>
    </font>
    <font>
      <i/>
      <sz val="12"/>
      <color indexed="8"/>
      <name val="Cambria"/>
      <family val="1"/>
    </font>
    <font>
      <sz val="10"/>
      <color indexed="8"/>
      <name val="Arial"/>
    </font>
    <font>
      <b/>
      <sz val="12"/>
      <color indexed="8"/>
      <name val="Cambria"/>
      <family val="1"/>
    </font>
    <font>
      <sz val="10"/>
      <color indexed="8"/>
      <name val="Arial"/>
    </font>
    <font>
      <sz val="10"/>
      <color indexed="8"/>
      <name val="Arial"/>
    </font>
    <font>
      <sz val="10"/>
      <color indexed="8"/>
      <name val="Arial"/>
    </font>
    <font>
      <sz val="10"/>
      <color indexed="8"/>
      <name val="Arial"/>
    </font>
    <font>
      <b/>
      <sz val="12"/>
      <color indexed="8"/>
      <name val="Arial"/>
      <family val="2"/>
    </font>
    <font>
      <sz val="12"/>
      <color indexed="8"/>
      <name val="Cambria"/>
      <family val="1"/>
    </font>
    <font>
      <b/>
      <i/>
      <sz val="11"/>
      <color indexed="8"/>
      <name val="Arial"/>
      <family val="2"/>
    </font>
    <font>
      <b/>
      <sz val="12"/>
      <color indexed="8"/>
      <name val="Cambria"/>
      <family val="1"/>
    </font>
    <font>
      <sz val="10"/>
      <color indexed="8"/>
      <name val="Arial"/>
    </font>
    <font>
      <b/>
      <sz val="11"/>
      <color indexed="8"/>
      <name val="Calibri"/>
      <family val="2"/>
    </font>
    <font>
      <sz val="12"/>
      <color indexed="8"/>
      <name val="Cambria"/>
      <family val="1"/>
    </font>
    <font>
      <b/>
      <sz val="10"/>
      <color indexed="8"/>
      <name val="Arial"/>
      <family val="2"/>
    </font>
    <font>
      <sz val="10"/>
      <color indexed="8"/>
      <name val="Arial"/>
    </font>
    <font>
      <sz val="10"/>
      <color indexed="8"/>
      <name val="Arial"/>
    </font>
    <font>
      <sz val="12"/>
      <color indexed="8"/>
      <name val="Cambria"/>
      <family val="1"/>
    </font>
    <font>
      <b/>
      <sz val="10"/>
      <color indexed="8"/>
      <name val="Arial"/>
      <family val="2"/>
    </font>
    <font>
      <sz val="12"/>
      <color indexed="8"/>
      <name val="Cambria"/>
      <family val="1"/>
    </font>
    <font>
      <b/>
      <sz val="12"/>
      <color indexed="8"/>
      <name val="Arial"/>
      <family val="2"/>
    </font>
    <font>
      <sz val="10"/>
      <color indexed="8"/>
      <name val="Arial"/>
    </font>
    <font>
      <sz val="12"/>
      <color indexed="8"/>
      <name val="Cambria"/>
      <family val="1"/>
    </font>
    <font>
      <b/>
      <sz val="12"/>
      <color indexed="8"/>
      <name val="Arial"/>
      <family val="2"/>
    </font>
    <font>
      <sz val="14"/>
      <color indexed="8"/>
      <name val="Cambria"/>
      <family val="1"/>
    </font>
    <font>
      <b/>
      <sz val="10"/>
      <color indexed="8"/>
      <name val="Arial"/>
      <family val="2"/>
    </font>
    <font>
      <sz val="10"/>
      <color indexed="8"/>
      <name val="Arial"/>
    </font>
    <font>
      <sz val="10"/>
      <color indexed="8"/>
      <name val="Arial"/>
    </font>
    <font>
      <sz val="11"/>
      <color indexed="8"/>
      <name val="Arial"/>
      <family val="2"/>
    </font>
    <font>
      <b/>
      <sz val="10"/>
      <color indexed="8"/>
      <name val="Arial"/>
      <family val="2"/>
    </font>
    <font>
      <b/>
      <sz val="10"/>
      <color indexed="8"/>
      <name val="Arial"/>
      <family val="2"/>
    </font>
    <font>
      <sz val="10"/>
      <color indexed="8"/>
      <name val="Arial"/>
    </font>
    <font>
      <b/>
      <sz val="10"/>
      <color indexed="8"/>
      <name val="Arial"/>
      <family val="2"/>
    </font>
    <font>
      <b/>
      <sz val="10"/>
      <color indexed="8"/>
      <name val="Arial"/>
      <family val="2"/>
    </font>
    <font>
      <sz val="10"/>
      <color indexed="8"/>
      <name val="Arial"/>
    </font>
    <font>
      <sz val="12"/>
      <color indexed="8"/>
      <name val="Cambria"/>
      <family val="1"/>
    </font>
    <font>
      <b/>
      <sz val="12"/>
      <color indexed="8"/>
      <name val="Arial"/>
      <family val="2"/>
    </font>
    <font>
      <sz val="10"/>
      <color indexed="8"/>
      <name val="Arial"/>
    </font>
    <font>
      <b/>
      <sz val="10"/>
      <color indexed="8"/>
      <name val="Arial"/>
      <family val="2"/>
    </font>
    <font>
      <b/>
      <sz val="10"/>
      <color indexed="8"/>
      <name val="Arial"/>
      <family val="2"/>
    </font>
    <font>
      <sz val="12"/>
      <color indexed="8"/>
      <name val="Cambria"/>
      <family val="1"/>
    </font>
    <font>
      <sz val="12"/>
      <color indexed="8"/>
      <name val="Cambria"/>
      <family val="1"/>
    </font>
    <font>
      <b/>
      <sz val="10"/>
      <color indexed="8"/>
      <name val="Arial"/>
      <family val="2"/>
    </font>
    <font>
      <b/>
      <sz val="12"/>
      <color indexed="8"/>
      <name val="Arial"/>
      <family val="2"/>
    </font>
    <font>
      <sz val="12"/>
      <color indexed="8"/>
      <name val="Cambria"/>
      <family val="1"/>
    </font>
    <font>
      <i/>
      <sz val="12"/>
      <color indexed="8"/>
      <name val="Cambria"/>
      <family val="1"/>
    </font>
    <font>
      <b/>
      <sz val="10"/>
      <color indexed="8"/>
      <name val="Arial"/>
      <family val="2"/>
    </font>
    <font>
      <i/>
      <sz val="10"/>
      <color indexed="8"/>
      <name val="Arial"/>
      <family val="2"/>
    </font>
    <font>
      <sz val="11"/>
      <color indexed="8"/>
      <name val="Arial"/>
      <family val="2"/>
    </font>
    <font>
      <b/>
      <sz val="10"/>
      <color indexed="8"/>
      <name val="Arial"/>
      <family val="2"/>
    </font>
    <font>
      <b/>
      <sz val="12"/>
      <color indexed="8"/>
      <name val="Arial"/>
      <family val="2"/>
    </font>
    <font>
      <sz val="11"/>
      <color indexed="8"/>
      <name val="Arial"/>
      <family val="2"/>
    </font>
    <font>
      <sz val="10"/>
      <color indexed="8"/>
      <name val="Arial"/>
    </font>
    <font>
      <sz val="10"/>
      <color indexed="8"/>
      <name val="Arial"/>
    </font>
    <font>
      <sz val="10"/>
      <color indexed="8"/>
      <name val="Arial"/>
    </font>
    <font>
      <sz val="10"/>
      <color indexed="8"/>
      <name val="Arial"/>
    </font>
    <font>
      <b/>
      <sz val="10"/>
      <color indexed="8"/>
      <name val="Arial"/>
      <family val="2"/>
    </font>
    <font>
      <sz val="10"/>
      <color indexed="8"/>
      <name val="Arial"/>
    </font>
    <font>
      <b/>
      <sz val="12"/>
      <color indexed="8"/>
      <name val="Cambria"/>
      <family val="1"/>
    </font>
    <font>
      <sz val="10"/>
      <color indexed="8"/>
      <name val="Arial"/>
    </font>
    <font>
      <sz val="10"/>
      <color indexed="8"/>
      <name val="Arial"/>
    </font>
    <font>
      <b/>
      <sz val="12"/>
      <color indexed="8"/>
      <name val="Arial"/>
      <family val="2"/>
    </font>
    <font>
      <b/>
      <sz val="10"/>
      <color indexed="8"/>
      <name val="Arial"/>
      <family val="2"/>
    </font>
    <font>
      <sz val="12"/>
      <color indexed="8"/>
      <name val="Cambria"/>
      <family val="1"/>
    </font>
    <font>
      <b/>
      <sz val="10"/>
      <color indexed="8"/>
      <name val="Arial"/>
      <family val="2"/>
    </font>
    <font>
      <sz val="10"/>
      <color indexed="8"/>
      <name val="Arial"/>
    </font>
    <font>
      <sz val="12"/>
      <color indexed="8"/>
      <name val="Cambria"/>
      <family val="1"/>
    </font>
    <font>
      <b/>
      <sz val="11"/>
      <color indexed="8"/>
      <name val="Calibri"/>
      <family val="2"/>
    </font>
    <font>
      <b/>
      <i/>
      <sz val="10"/>
      <color indexed="8"/>
      <name val="Arial"/>
      <family val="2"/>
    </font>
    <font>
      <sz val="10"/>
      <color indexed="8"/>
      <name val="Arial"/>
    </font>
    <font>
      <b/>
      <sz val="10"/>
      <color indexed="8"/>
      <name val="Arial"/>
      <family val="2"/>
    </font>
    <font>
      <b/>
      <sz val="10"/>
      <color indexed="8"/>
      <name val="Arial"/>
      <family val="2"/>
    </font>
    <font>
      <b/>
      <sz val="10"/>
      <color indexed="8"/>
      <name val="Arial"/>
      <family val="2"/>
    </font>
    <font>
      <sz val="10"/>
      <color indexed="8"/>
      <name val="Arial"/>
    </font>
    <font>
      <sz val="10"/>
      <color indexed="8"/>
      <name val="Arial"/>
    </font>
    <font>
      <sz val="10"/>
      <color indexed="8"/>
      <name val="Arial"/>
    </font>
    <font>
      <sz val="10"/>
      <color indexed="8"/>
      <name val="Arial"/>
    </font>
    <font>
      <b/>
      <sz val="10"/>
      <color indexed="8"/>
      <name val="Arial"/>
      <family val="2"/>
    </font>
    <font>
      <sz val="10"/>
      <color indexed="8"/>
      <name val="Arial"/>
    </font>
  </fonts>
  <fills count="604">
    <fill>
      <patternFill patternType="none"/>
    </fill>
    <fill>
      <patternFill patternType="gray125"/>
    </fill>
    <fill>
      <patternFill patternType="solid">
        <fgColor rgb="FFD6E3BC"/>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6E3BC"/>
        <bgColor indexed="64"/>
      </patternFill>
    </fill>
    <fill>
      <patternFill patternType="solid">
        <fgColor rgb="FFDBE5F1"/>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D6E3BC"/>
        <bgColor indexed="64"/>
      </patternFill>
    </fill>
    <fill>
      <patternFill patternType="solid">
        <fgColor rgb="FFDDD9C3"/>
        <bgColor indexed="64"/>
      </patternFill>
    </fill>
    <fill>
      <patternFill patternType="solid">
        <fgColor rgb="FFFFFFFF"/>
        <bgColor indexed="64"/>
      </patternFill>
    </fill>
    <fill>
      <patternFill patternType="solid">
        <fgColor rgb="FFD8D8D8"/>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DD9C3"/>
        <bgColor indexed="64"/>
      </patternFill>
    </fill>
    <fill>
      <patternFill patternType="solid">
        <fgColor rgb="FFDDD9C3"/>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F2F2F2"/>
        <bgColor indexed="64"/>
      </patternFill>
    </fill>
    <fill>
      <patternFill patternType="solid">
        <fgColor rgb="FFDDD9C3"/>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C0C0C0"/>
        <bgColor indexed="64"/>
      </patternFill>
    </fill>
    <fill>
      <patternFill patternType="solid">
        <fgColor rgb="FFDDD9C3"/>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F2F2F2"/>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F2F2F2"/>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DD9C3"/>
        <bgColor indexed="64"/>
      </patternFill>
    </fill>
    <fill>
      <patternFill patternType="solid">
        <fgColor rgb="FFF2F2F2"/>
        <bgColor indexed="64"/>
      </patternFill>
    </fill>
    <fill>
      <patternFill patternType="solid">
        <fgColor rgb="FFF2F2F2"/>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6E3BC"/>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8D8D8"/>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DDD9C3"/>
        <bgColor indexed="64"/>
      </patternFill>
    </fill>
    <fill>
      <patternFill patternType="solid">
        <fgColor rgb="FFD6E3BC"/>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DDD9C3"/>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95B3D7"/>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99CCFF"/>
        <bgColor indexed="64"/>
      </patternFill>
    </fill>
    <fill>
      <patternFill patternType="solid">
        <fgColor rgb="FFDBE5F1"/>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2F2F2"/>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F2F2F2"/>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DDD9C3"/>
        <bgColor indexed="64"/>
      </patternFill>
    </fill>
    <fill>
      <patternFill patternType="solid">
        <fgColor rgb="FFF2F2F2"/>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C2D69B"/>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6E3BC"/>
        <bgColor indexed="64"/>
      </patternFill>
    </fill>
    <fill>
      <patternFill patternType="solid">
        <fgColor rgb="FFDBE5F1"/>
        <bgColor indexed="64"/>
      </patternFill>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DD9C3"/>
        <bgColor indexed="64"/>
      </patternFill>
    </fill>
    <fill>
      <patternFill patternType="solid">
        <fgColor rgb="FFF2F2F2"/>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99CCFF"/>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FFFFFF"/>
        <bgColor indexed="64"/>
      </patternFill>
    </fill>
    <fill>
      <patternFill patternType="solid">
        <fgColor rgb="FFF2F2F2"/>
        <bgColor indexed="64"/>
      </patternFill>
    </fill>
    <fill>
      <patternFill patternType="solid">
        <fgColor rgb="FFF2F2F2"/>
        <bgColor indexed="64"/>
      </patternFill>
    </fill>
    <fill>
      <patternFill patternType="solid">
        <fgColor rgb="FF95B3D7"/>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F2F2F2"/>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F2F2F2"/>
        <bgColor indexed="64"/>
      </patternFill>
    </fill>
    <fill>
      <patternFill patternType="solid">
        <fgColor rgb="FFF2F2F2"/>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C0C0C0"/>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99CCFF"/>
        <bgColor indexed="64"/>
      </patternFill>
    </fill>
    <fill>
      <patternFill patternType="solid">
        <fgColor rgb="FFDDD9C3"/>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C0C0C0"/>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6E3BC"/>
        <bgColor indexed="64"/>
      </patternFill>
    </fill>
    <fill>
      <patternFill patternType="solid">
        <fgColor rgb="FFDBE5F1"/>
        <bgColor indexed="64"/>
      </patternFill>
    </fill>
    <fill>
      <patternFill patternType="solid">
        <fgColor rgb="FFDDD9C3"/>
        <bgColor indexed="64"/>
      </patternFill>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6E3BC"/>
        <bgColor indexed="64"/>
      </patternFill>
    </fill>
    <fill>
      <patternFill patternType="solid">
        <fgColor rgb="FFF2F2F2"/>
        <bgColor indexed="64"/>
      </patternFill>
    </fill>
    <fill>
      <patternFill patternType="solid">
        <fgColor rgb="FFFFFFFF"/>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DD9C3"/>
        <bgColor indexed="64"/>
      </patternFill>
    </fill>
    <fill>
      <patternFill patternType="solid">
        <fgColor rgb="FFDDD9C3"/>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F2F2F2"/>
        <bgColor indexed="64"/>
      </patternFill>
    </fill>
    <fill>
      <patternFill patternType="solid">
        <fgColor rgb="FFDAEEF3"/>
        <bgColor indexed="64"/>
      </patternFill>
    </fill>
    <fill>
      <patternFill patternType="solid">
        <fgColor rgb="FFD6E3BC"/>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C0C0C0"/>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rgb="FFDDD9C3"/>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F2F2F2"/>
        <bgColor indexed="64"/>
      </patternFill>
    </fill>
    <fill>
      <patternFill patternType="solid">
        <fgColor rgb="FFFFFFFF"/>
        <bgColor indexed="64"/>
      </patternFill>
    </fill>
    <fill>
      <patternFill patternType="solid">
        <fgColor rgb="FFDBE5F1"/>
        <bgColor indexed="64"/>
      </patternFill>
    </fill>
    <fill>
      <patternFill patternType="solid">
        <fgColor rgb="FFD6E3BC"/>
        <bgColor indexed="64"/>
      </patternFill>
    </fill>
    <fill>
      <patternFill patternType="solid">
        <fgColor rgb="FFDBE5F1"/>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FFFFFF"/>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DDD9C3"/>
        <bgColor indexed="64"/>
      </patternFill>
    </fill>
    <fill>
      <patternFill patternType="solid">
        <fgColor rgb="FFF2F2F2"/>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C2D69B"/>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2F2F2"/>
        <bgColor indexed="64"/>
      </patternFill>
    </fill>
    <fill>
      <patternFill patternType="solid">
        <fgColor rgb="FFDDD9C3"/>
        <bgColor indexed="64"/>
      </patternFill>
    </fill>
    <fill>
      <patternFill patternType="solid">
        <fgColor rgb="FFFFFFFF"/>
        <bgColor indexed="64"/>
      </patternFill>
    </fill>
    <fill>
      <patternFill patternType="solid">
        <fgColor rgb="FFF2F2F2"/>
        <bgColor indexed="64"/>
      </patternFill>
    </fill>
    <fill>
      <patternFill patternType="solid">
        <fgColor rgb="FFDBE5F1"/>
        <bgColor indexed="64"/>
      </patternFill>
    </fill>
    <fill>
      <patternFill patternType="solid">
        <fgColor rgb="FFF2F2F2"/>
        <bgColor indexed="64"/>
      </patternFill>
    </fill>
    <fill>
      <patternFill patternType="solid">
        <fgColor rgb="FFDBE5F1"/>
        <bgColor indexed="64"/>
      </patternFill>
    </fill>
    <fill>
      <patternFill patternType="solid">
        <fgColor rgb="FFD6E3BC"/>
        <bgColor indexed="64"/>
      </patternFill>
    </fill>
    <fill>
      <patternFill patternType="solid">
        <fgColor rgb="FFDDD9C3"/>
        <bgColor indexed="64"/>
      </patternFill>
    </fill>
    <fill>
      <patternFill patternType="solid">
        <fgColor rgb="FFDDD9C3"/>
        <bgColor indexed="64"/>
      </patternFill>
    </fill>
    <fill>
      <patternFill patternType="solid">
        <fgColor rgb="FFDBE5F1"/>
        <bgColor indexed="64"/>
      </patternFill>
    </fill>
    <fill>
      <patternFill patternType="solid">
        <fgColor rgb="FFDBE5F1"/>
        <bgColor indexed="64"/>
      </patternFill>
    </fill>
    <fill>
      <patternFill patternType="solid">
        <fgColor rgb="FFDBE5F1"/>
        <bgColor indexed="64"/>
      </patternFill>
    </fill>
    <fill>
      <patternFill patternType="solid">
        <fgColor rgb="FFF2F2F2"/>
        <bgColor indexed="64"/>
      </patternFill>
    </fill>
    <fill>
      <patternFill patternType="solid">
        <fgColor rgb="FFDDD9C3"/>
        <bgColor indexed="64"/>
      </patternFill>
    </fill>
    <fill>
      <patternFill patternType="solid">
        <fgColor rgb="FFF2F2F2"/>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DBE5F1"/>
        <bgColor indexed="64"/>
      </patternFill>
    </fill>
    <fill>
      <patternFill patternType="solid">
        <fgColor rgb="FFFFFFFF"/>
        <bgColor indexed="64"/>
      </patternFill>
    </fill>
    <fill>
      <patternFill patternType="solid">
        <fgColor rgb="FFDDD9C3"/>
        <bgColor indexed="64"/>
      </patternFill>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DBE5F1"/>
        <bgColor indexed="64"/>
      </patternFill>
    </fill>
    <fill>
      <patternFill patternType="solid">
        <fgColor rgb="FFDDD9C3"/>
        <bgColor indexed="64"/>
      </patternFill>
    </fill>
    <fill>
      <patternFill patternType="solid">
        <fgColor rgb="FFDBE5F1"/>
        <bgColor indexed="64"/>
      </patternFill>
    </fill>
    <fill>
      <patternFill patternType="solid">
        <fgColor rgb="FFF2F2F2"/>
        <bgColor indexed="64"/>
      </patternFill>
    </fill>
    <fill>
      <patternFill patternType="solid">
        <fgColor rgb="FFF2F2F2"/>
        <bgColor indexed="64"/>
      </patternFill>
    </fill>
    <fill>
      <patternFill patternType="solid">
        <fgColor rgb="FFFFFFFF"/>
        <bgColor indexed="64"/>
      </patternFill>
    </fill>
    <fill>
      <patternFill patternType="solid">
        <fgColor rgb="FFFFFFFF"/>
        <bgColor indexed="64"/>
      </patternFill>
    </fill>
    <fill>
      <patternFill patternType="solid">
        <fgColor rgb="FFDBE5F1"/>
        <bgColor indexed="64"/>
      </patternFill>
    </fill>
    <fill>
      <patternFill patternType="solid">
        <fgColor rgb="FFFFFF00"/>
        <bgColor indexed="64"/>
      </patternFill>
    </fill>
  </fills>
  <borders count="8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8">
    <xf numFmtId="0" fontId="0" fillId="0" borderId="0" xfId="0" applyAlignment="1">
      <alignment wrapText="1"/>
    </xf>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3" xfId="0" applyFont="1" applyBorder="1" applyAlignment="1">
      <alignment horizontal="center"/>
    </xf>
    <xf numFmtId="166" fontId="4" fillId="4" borderId="4" xfId="0" applyNumberFormat="1" applyFont="1" applyFill="1" applyBorder="1"/>
    <xf numFmtId="167" fontId="5" fillId="5" borderId="5" xfId="0" applyNumberFormat="1" applyFont="1" applyFill="1" applyBorder="1"/>
    <xf numFmtId="0" fontId="6" fillId="6" borderId="0" xfId="0" applyFont="1" applyFill="1"/>
    <xf numFmtId="0" fontId="7" fillId="7" borderId="6" xfId="0" applyFont="1" applyFill="1" applyBorder="1" applyAlignment="1">
      <alignment horizontal="left"/>
    </xf>
    <xf numFmtId="0" fontId="8" fillId="8" borderId="7" xfId="0" applyFont="1" applyFill="1" applyBorder="1" applyAlignment="1">
      <alignment horizontal="center"/>
    </xf>
    <xf numFmtId="166" fontId="9" fillId="9" borderId="8" xfId="0" applyNumberFormat="1" applyFont="1" applyFill="1" applyBorder="1"/>
    <xf numFmtId="165" fontId="11" fillId="11" borderId="10" xfId="0" applyNumberFormat="1" applyFont="1" applyFill="1" applyBorder="1"/>
    <xf numFmtId="0" fontId="12" fillId="12" borderId="11" xfId="0" applyFont="1" applyFill="1" applyBorder="1"/>
    <xf numFmtId="0" fontId="13" fillId="13" borderId="12" xfId="0" applyFont="1" applyFill="1" applyBorder="1" applyAlignment="1">
      <alignment horizontal="center" wrapText="1"/>
    </xf>
    <xf numFmtId="164" fontId="14" fillId="14" borderId="13" xfId="0" applyNumberFormat="1" applyFont="1" applyFill="1" applyBorder="1"/>
    <xf numFmtId="37" fontId="15" fillId="15" borderId="14" xfId="0" applyNumberFormat="1" applyFont="1" applyFill="1" applyBorder="1"/>
    <xf numFmtId="0" fontId="17" fillId="17" borderId="16" xfId="0" applyFont="1" applyFill="1" applyBorder="1"/>
    <xf numFmtId="0" fontId="18" fillId="18" borderId="17" xfId="0" applyFont="1" applyFill="1" applyBorder="1" applyAlignment="1">
      <alignment horizontal="center"/>
    </xf>
    <xf numFmtId="0" fontId="19" fillId="19" borderId="18" xfId="0" applyFont="1" applyFill="1" applyBorder="1"/>
    <xf numFmtId="0" fontId="20" fillId="20" borderId="19" xfId="0" applyFont="1" applyFill="1" applyBorder="1" applyAlignment="1">
      <alignment vertical="top" wrapText="1"/>
    </xf>
    <xf numFmtId="0" fontId="21" fillId="0" borderId="0" xfId="0" applyFont="1" applyAlignment="1">
      <alignment horizontal="center"/>
    </xf>
    <xf numFmtId="0" fontId="22" fillId="21" borderId="20" xfId="0" applyFont="1" applyFill="1" applyBorder="1"/>
    <xf numFmtId="0" fontId="24" fillId="23" borderId="22" xfId="0" applyFont="1" applyFill="1" applyBorder="1" applyAlignment="1">
      <alignment horizontal="left" vertical="top" wrapText="1"/>
    </xf>
    <xf numFmtId="167" fontId="25" fillId="0" borderId="23" xfId="0" applyNumberFormat="1" applyFont="1" applyBorder="1"/>
    <xf numFmtId="0" fontId="26" fillId="0" borderId="24" xfId="0" applyFont="1" applyBorder="1" applyAlignment="1">
      <alignment vertical="top" wrapText="1"/>
    </xf>
    <xf numFmtId="0" fontId="27" fillId="24" borderId="25" xfId="0" applyFont="1" applyFill="1" applyBorder="1" applyAlignment="1">
      <alignment vertical="top" wrapText="1"/>
    </xf>
    <xf numFmtId="166" fontId="28" fillId="25" borderId="26" xfId="0" applyNumberFormat="1" applyFont="1" applyFill="1" applyBorder="1"/>
    <xf numFmtId="0" fontId="29" fillId="26" borderId="27" xfId="0" applyFont="1" applyFill="1" applyBorder="1" applyAlignment="1">
      <alignment horizontal="left"/>
    </xf>
    <xf numFmtId="0" fontId="30" fillId="0" borderId="28" xfId="0" applyFont="1" applyBorder="1"/>
    <xf numFmtId="0" fontId="31" fillId="0" borderId="29" xfId="0" applyFont="1" applyBorder="1" applyAlignment="1">
      <alignment horizontal="right"/>
    </xf>
    <xf numFmtId="0" fontId="32" fillId="27" borderId="30" xfId="0" applyFont="1" applyFill="1" applyBorder="1"/>
    <xf numFmtId="166" fontId="33" fillId="28" borderId="31" xfId="0" applyNumberFormat="1" applyFont="1" applyFill="1" applyBorder="1" applyAlignment="1">
      <alignment horizontal="center"/>
    </xf>
    <xf numFmtId="0" fontId="34" fillId="29" borderId="32" xfId="0" applyFont="1" applyFill="1" applyBorder="1"/>
    <xf numFmtId="0" fontId="35" fillId="0" borderId="33" xfId="0" applyFont="1" applyBorder="1"/>
    <xf numFmtId="0" fontId="36" fillId="30" borderId="34" xfId="0" applyFont="1" applyFill="1" applyBorder="1" applyAlignment="1">
      <alignment wrapText="1"/>
    </xf>
    <xf numFmtId="0" fontId="37" fillId="31" borderId="35" xfId="0" applyFont="1" applyFill="1" applyBorder="1" applyAlignment="1">
      <alignment horizontal="center" wrapText="1"/>
    </xf>
    <xf numFmtId="0" fontId="38" fillId="32" borderId="36" xfId="0" applyFont="1" applyFill="1" applyBorder="1"/>
    <xf numFmtId="0" fontId="39" fillId="33" borderId="37" xfId="0" applyFont="1" applyFill="1" applyBorder="1" applyAlignment="1">
      <alignment horizontal="left"/>
    </xf>
    <xf numFmtId="0" fontId="40" fillId="34" borderId="38" xfId="0" applyFont="1" applyFill="1" applyBorder="1"/>
    <xf numFmtId="164" fontId="41" fillId="35" borderId="39" xfId="0" applyNumberFormat="1" applyFont="1" applyFill="1" applyBorder="1" applyAlignment="1">
      <alignment horizontal="center"/>
    </xf>
    <xf numFmtId="0" fontId="42" fillId="0" borderId="40" xfId="0" applyFont="1" applyBorder="1" applyAlignment="1">
      <alignment vertical="top" wrapText="1"/>
    </xf>
    <xf numFmtId="167" fontId="43" fillId="0" borderId="41" xfId="0" applyNumberFormat="1" applyFont="1" applyBorder="1" applyAlignment="1">
      <alignment horizontal="left"/>
    </xf>
    <xf numFmtId="164" fontId="44" fillId="36" borderId="42" xfId="0" applyNumberFormat="1" applyFont="1" applyFill="1" applyBorder="1" applyAlignment="1">
      <alignment horizontal="center"/>
    </xf>
    <xf numFmtId="0" fontId="46" fillId="38" borderId="44" xfId="0" applyFont="1" applyFill="1" applyBorder="1" applyAlignment="1">
      <alignment horizontal="left" vertical="top"/>
    </xf>
    <xf numFmtId="0" fontId="47" fillId="39" borderId="0" xfId="0" applyFont="1" applyFill="1" applyAlignment="1">
      <alignment horizontal="center"/>
    </xf>
    <xf numFmtId="0" fontId="48" fillId="0" borderId="45" xfId="0" applyFont="1" applyBorder="1" applyAlignment="1">
      <alignment horizontal="center"/>
    </xf>
    <xf numFmtId="37" fontId="49" fillId="40" borderId="46" xfId="0" applyNumberFormat="1" applyFont="1" applyFill="1" applyBorder="1"/>
    <xf numFmtId="167" fontId="50" fillId="41" borderId="47" xfId="0" applyNumberFormat="1" applyFont="1" applyFill="1" applyBorder="1" applyAlignment="1">
      <alignment horizontal="right"/>
    </xf>
    <xf numFmtId="37" fontId="52" fillId="0" borderId="49" xfId="0" applyNumberFormat="1" applyFont="1" applyBorder="1" applyAlignment="1">
      <alignment horizontal="center"/>
    </xf>
    <xf numFmtId="164" fontId="53" fillId="43" borderId="50" xfId="0" applyNumberFormat="1" applyFont="1" applyFill="1" applyBorder="1"/>
    <xf numFmtId="0" fontId="54" fillId="44" borderId="51" xfId="0" applyFont="1" applyFill="1" applyBorder="1" applyAlignment="1">
      <alignment horizontal="left" wrapText="1"/>
    </xf>
    <xf numFmtId="37" fontId="55" fillId="45" borderId="52" xfId="0" applyNumberFormat="1" applyFont="1" applyFill="1" applyBorder="1"/>
    <xf numFmtId="168" fontId="56" fillId="0" borderId="53" xfId="0" applyNumberFormat="1" applyFont="1" applyBorder="1"/>
    <xf numFmtId="0" fontId="57" fillId="46" borderId="54" xfId="0" applyFont="1" applyFill="1" applyBorder="1" applyAlignment="1">
      <alignment horizontal="left"/>
    </xf>
    <xf numFmtId="167" fontId="58" fillId="0" borderId="0" xfId="0" applyNumberFormat="1" applyFont="1"/>
    <xf numFmtId="0" fontId="59" fillId="0" borderId="55" xfId="0" applyFont="1" applyBorder="1" applyAlignment="1">
      <alignment horizontal="center"/>
    </xf>
    <xf numFmtId="167" fontId="60" fillId="0" borderId="56" xfId="0" applyNumberFormat="1" applyFont="1" applyBorder="1"/>
    <xf numFmtId="0" fontId="61" fillId="47" borderId="57" xfId="0" applyFont="1" applyFill="1" applyBorder="1" applyAlignment="1">
      <alignment wrapText="1"/>
    </xf>
    <xf numFmtId="0" fontId="63" fillId="0" borderId="59" xfId="0" applyFont="1" applyBorder="1" applyAlignment="1">
      <alignment horizontal="center"/>
    </xf>
    <xf numFmtId="0" fontId="64" fillId="49" borderId="60" xfId="0" applyFont="1" applyFill="1" applyBorder="1" applyAlignment="1">
      <alignment horizontal="left" wrapText="1"/>
    </xf>
    <xf numFmtId="0" fontId="66" fillId="0" borderId="62" xfId="0" applyFont="1" applyBorder="1" applyAlignment="1">
      <alignment horizontal="left" vertical="top"/>
    </xf>
    <xf numFmtId="0" fontId="67" fillId="51" borderId="0" xfId="0" applyFont="1" applyFill="1"/>
    <xf numFmtId="0" fontId="68" fillId="0" borderId="63" xfId="0" applyFont="1" applyBorder="1"/>
    <xf numFmtId="166" fontId="69" fillId="0" borderId="64" xfId="0" applyNumberFormat="1" applyFont="1" applyBorder="1"/>
    <xf numFmtId="0" fontId="70" fillId="0" borderId="65" xfId="0" applyFont="1" applyBorder="1"/>
    <xf numFmtId="0" fontId="71" fillId="52" borderId="66" xfId="0" applyFont="1" applyFill="1" applyBorder="1" applyAlignment="1">
      <alignment horizontal="left" vertical="top" wrapText="1"/>
    </xf>
    <xf numFmtId="167" fontId="72" fillId="0" borderId="0" xfId="0" applyNumberFormat="1" applyFont="1" applyAlignment="1">
      <alignment horizontal="left"/>
    </xf>
    <xf numFmtId="0" fontId="74" fillId="0" borderId="68" xfId="0" applyFont="1" applyBorder="1" applyAlignment="1">
      <alignment horizontal="right"/>
    </xf>
    <xf numFmtId="0" fontId="75" fillId="0" borderId="69" xfId="0" applyFont="1" applyBorder="1" applyAlignment="1">
      <alignment horizontal="right"/>
    </xf>
    <xf numFmtId="167" fontId="76" fillId="0" borderId="70" xfId="0" applyNumberFormat="1" applyFont="1" applyBorder="1"/>
    <xf numFmtId="166" fontId="77" fillId="0" borderId="71" xfId="0" applyNumberFormat="1" applyFont="1" applyBorder="1" applyAlignment="1">
      <alignment wrapText="1"/>
    </xf>
    <xf numFmtId="0" fontId="79" fillId="0" borderId="73" xfId="0" applyFont="1" applyBorder="1" applyAlignment="1">
      <alignment horizontal="center"/>
    </xf>
    <xf numFmtId="169" fontId="80" fillId="55" borderId="0" xfId="0" applyNumberFormat="1" applyFont="1" applyFill="1" applyAlignment="1">
      <alignment horizontal="left"/>
    </xf>
    <xf numFmtId="49" fontId="81" fillId="0" borderId="74" xfId="0" applyNumberFormat="1" applyFont="1" applyBorder="1" applyAlignment="1">
      <alignment horizontal="left" vertical="center" wrapText="1"/>
    </xf>
    <xf numFmtId="0" fontId="82" fillId="56" borderId="75" xfId="0" applyFont="1" applyFill="1" applyBorder="1" applyAlignment="1">
      <alignment horizontal="right"/>
    </xf>
    <xf numFmtId="164" fontId="83" fillId="57" borderId="76" xfId="0" applyNumberFormat="1" applyFont="1" applyFill="1" applyBorder="1"/>
    <xf numFmtId="0" fontId="84" fillId="58" borderId="77" xfId="0" applyFont="1" applyFill="1" applyBorder="1" applyAlignment="1">
      <alignment horizontal="left" vertical="top"/>
    </xf>
    <xf numFmtId="0" fontId="85" fillId="59" borderId="78" xfId="0" applyFont="1" applyFill="1" applyBorder="1"/>
    <xf numFmtId="49" fontId="86" fillId="0" borderId="79" xfId="0" applyNumberFormat="1" applyFont="1" applyBorder="1" applyAlignment="1">
      <alignment horizontal="left" vertical="top" wrapText="1"/>
    </xf>
    <xf numFmtId="37" fontId="87" fillId="60" borderId="80" xfId="0" applyNumberFormat="1" applyFont="1" applyFill="1" applyBorder="1"/>
    <xf numFmtId="0" fontId="88" fillId="61" borderId="81" xfId="0" applyFont="1" applyFill="1" applyBorder="1" applyAlignment="1">
      <alignment horizontal="center"/>
    </xf>
    <xf numFmtId="49" fontId="89" fillId="0" borderId="82" xfId="0" applyNumberFormat="1" applyFont="1" applyBorder="1" applyAlignment="1">
      <alignment horizontal="center" vertical="center"/>
    </xf>
    <xf numFmtId="0" fontId="90" fillId="62" borderId="83" xfId="0" applyFont="1" applyFill="1" applyBorder="1" applyAlignment="1">
      <alignment horizontal="center"/>
    </xf>
    <xf numFmtId="0" fontId="91" fillId="0" borderId="0" xfId="0" applyFont="1" applyAlignment="1">
      <alignment vertical="top" wrapText="1"/>
    </xf>
    <xf numFmtId="166" fontId="92" fillId="0" borderId="84" xfId="0" applyNumberFormat="1" applyFont="1" applyBorder="1"/>
    <xf numFmtId="165" fontId="93" fillId="63" borderId="85" xfId="0" applyNumberFormat="1" applyFont="1" applyFill="1" applyBorder="1"/>
    <xf numFmtId="0" fontId="94" fillId="0" borderId="86" xfId="0" applyFont="1" applyBorder="1"/>
    <xf numFmtId="164" fontId="95" fillId="0" borderId="87" xfId="0" applyNumberFormat="1" applyFont="1" applyBorder="1"/>
    <xf numFmtId="166" fontId="96" fillId="64" borderId="88" xfId="0" applyNumberFormat="1" applyFont="1" applyFill="1" applyBorder="1" applyAlignment="1">
      <alignment horizontal="center"/>
    </xf>
    <xf numFmtId="0" fontId="97" fillId="0" borderId="0" xfId="0" applyFont="1" applyAlignment="1">
      <alignment horizontal="center"/>
    </xf>
    <xf numFmtId="10" fontId="99" fillId="66" borderId="90" xfId="0" applyNumberFormat="1" applyFont="1" applyFill="1" applyBorder="1"/>
    <xf numFmtId="0" fontId="100" fillId="67" borderId="91" xfId="0" applyFont="1" applyFill="1" applyBorder="1" applyAlignment="1">
      <alignment horizontal="left" vertical="top"/>
    </xf>
    <xf numFmtId="0" fontId="101" fillId="68" borderId="92" xfId="0" applyFont="1" applyFill="1" applyBorder="1" applyAlignment="1">
      <alignment horizontal="right"/>
    </xf>
    <xf numFmtId="0" fontId="102" fillId="0" borderId="93" xfId="0" applyFont="1" applyBorder="1"/>
    <xf numFmtId="0" fontId="103" fillId="69" borderId="94" xfId="0" applyFont="1" applyFill="1" applyBorder="1" applyAlignment="1">
      <alignment horizontal="center"/>
    </xf>
    <xf numFmtId="166" fontId="104" fillId="70" borderId="95" xfId="0" applyNumberFormat="1" applyFont="1" applyFill="1" applyBorder="1"/>
    <xf numFmtId="0" fontId="105" fillId="71" borderId="96" xfId="0" applyFont="1" applyFill="1" applyBorder="1" applyAlignment="1">
      <alignment horizontal="center"/>
    </xf>
    <xf numFmtId="0" fontId="106" fillId="72" borderId="97" xfId="0" applyFont="1" applyFill="1" applyBorder="1"/>
    <xf numFmtId="0" fontId="107" fillId="0" borderId="98" xfId="0" applyFont="1" applyBorder="1" applyAlignment="1">
      <alignment horizontal="left" wrapText="1"/>
    </xf>
    <xf numFmtId="0" fontId="108" fillId="0" borderId="99" xfId="0" applyFont="1" applyBorder="1" applyAlignment="1">
      <alignment wrapText="1"/>
    </xf>
    <xf numFmtId="167" fontId="109" fillId="73" borderId="100" xfId="0" applyNumberFormat="1" applyFont="1" applyFill="1" applyBorder="1" applyAlignment="1">
      <alignment horizontal="center"/>
    </xf>
    <xf numFmtId="170" fontId="110" fillId="0" borderId="0" xfId="0" applyNumberFormat="1" applyFont="1" applyAlignment="1">
      <alignment horizontal="left"/>
    </xf>
    <xf numFmtId="166" fontId="111" fillId="74" borderId="101" xfId="0" applyNumberFormat="1" applyFont="1" applyFill="1" applyBorder="1"/>
    <xf numFmtId="167" fontId="112" fillId="0" borderId="102" xfId="0" applyNumberFormat="1" applyFont="1" applyBorder="1" applyAlignment="1">
      <alignment horizontal="left" wrapText="1"/>
    </xf>
    <xf numFmtId="168" fontId="113" fillId="75" borderId="103" xfId="0" applyNumberFormat="1" applyFont="1" applyFill="1" applyBorder="1"/>
    <xf numFmtId="0" fontId="114" fillId="76" borderId="104" xfId="0" applyFont="1" applyFill="1" applyBorder="1" applyAlignment="1">
      <alignment horizontal="center"/>
    </xf>
    <xf numFmtId="0" fontId="115" fillId="77" borderId="105" xfId="0" applyFont="1" applyFill="1" applyBorder="1" applyAlignment="1">
      <alignment horizontal="center"/>
    </xf>
    <xf numFmtId="0" fontId="116" fillId="78" borderId="106" xfId="0" applyFont="1" applyFill="1" applyBorder="1"/>
    <xf numFmtId="0" fontId="117" fillId="79" borderId="107" xfId="0" applyFont="1" applyFill="1" applyBorder="1"/>
    <xf numFmtId="0" fontId="118" fillId="0" borderId="108" xfId="0" applyFont="1" applyBorder="1"/>
    <xf numFmtId="0" fontId="119" fillId="0" borderId="109" xfId="0" applyFont="1" applyBorder="1"/>
    <xf numFmtId="166" fontId="120" fillId="80" borderId="110" xfId="0" applyNumberFormat="1" applyFont="1" applyFill="1" applyBorder="1" applyAlignment="1">
      <alignment horizontal="right"/>
    </xf>
    <xf numFmtId="170" fontId="122" fillId="82" borderId="0" xfId="0" applyNumberFormat="1" applyFont="1" applyFill="1" applyAlignment="1">
      <alignment horizontal="left"/>
    </xf>
    <xf numFmtId="165" fontId="123" fillId="0" borderId="112" xfId="0" applyNumberFormat="1" applyFont="1" applyBorder="1"/>
    <xf numFmtId="0" fontId="124" fillId="83" borderId="113" xfId="0" applyFont="1" applyFill="1" applyBorder="1" applyAlignment="1">
      <alignment horizontal="left" wrapText="1" readingOrder="1"/>
    </xf>
    <xf numFmtId="166" fontId="125" fillId="84" borderId="114" xfId="0" applyNumberFormat="1" applyFont="1" applyFill="1" applyBorder="1"/>
    <xf numFmtId="0" fontId="126" fillId="85" borderId="115" xfId="0" applyFont="1" applyFill="1" applyBorder="1" applyAlignment="1">
      <alignment horizontal="center" wrapText="1"/>
    </xf>
    <xf numFmtId="0" fontId="127" fillId="86" borderId="116" xfId="0" applyFont="1" applyFill="1" applyBorder="1" applyAlignment="1">
      <alignment horizontal="center"/>
    </xf>
    <xf numFmtId="167" fontId="128" fillId="0" borderId="117" xfId="0" applyNumberFormat="1" applyFont="1" applyBorder="1"/>
    <xf numFmtId="0" fontId="129" fillId="87" borderId="118" xfId="0" applyFont="1" applyFill="1" applyBorder="1"/>
    <xf numFmtId="0" fontId="130" fillId="0" borderId="119" xfId="0" applyFont="1" applyBorder="1"/>
    <xf numFmtId="0" fontId="131" fillId="88" borderId="120" xfId="0" applyFont="1" applyFill="1" applyBorder="1"/>
    <xf numFmtId="0" fontId="132" fillId="0" borderId="121" xfId="0" applyFont="1" applyBorder="1" applyAlignment="1">
      <alignment horizontal="right"/>
    </xf>
    <xf numFmtId="171" fontId="133" fillId="89" borderId="122" xfId="0" applyNumberFormat="1" applyFont="1" applyFill="1" applyBorder="1"/>
    <xf numFmtId="0" fontId="134" fillId="90" borderId="123" xfId="0" applyFont="1" applyFill="1" applyBorder="1" applyAlignment="1">
      <alignment horizontal="center"/>
    </xf>
    <xf numFmtId="0" fontId="135" fillId="91" borderId="124" xfId="0" applyFont="1" applyFill="1" applyBorder="1"/>
    <xf numFmtId="164" fontId="136" fillId="92" borderId="125" xfId="0" applyNumberFormat="1" applyFont="1" applyFill="1" applyBorder="1"/>
    <xf numFmtId="0" fontId="137" fillId="93" borderId="126" xfId="0" applyFont="1" applyFill="1" applyBorder="1"/>
    <xf numFmtId="171" fontId="138" fillId="0" borderId="127" xfId="0" applyNumberFormat="1" applyFont="1" applyBorder="1"/>
    <xf numFmtId="0" fontId="139" fillId="94" borderId="128" xfId="0" applyFont="1" applyFill="1" applyBorder="1" applyAlignment="1">
      <alignment horizontal="left"/>
    </xf>
    <xf numFmtId="0" fontId="140" fillId="0" borderId="129" xfId="0" applyFont="1" applyBorder="1"/>
    <xf numFmtId="166" fontId="141" fillId="95" borderId="130" xfId="0" applyNumberFormat="1" applyFont="1" applyFill="1" applyBorder="1" applyAlignment="1">
      <alignment horizontal="right"/>
    </xf>
    <xf numFmtId="3" fontId="143" fillId="97" borderId="132" xfId="0" applyNumberFormat="1" applyFont="1" applyFill="1" applyBorder="1" applyAlignment="1">
      <alignment wrapText="1"/>
    </xf>
    <xf numFmtId="0" fontId="144" fillId="98" borderId="133" xfId="0" applyFont="1" applyFill="1" applyBorder="1"/>
    <xf numFmtId="2" fontId="145" fillId="0" borderId="0" xfId="0" applyNumberFormat="1" applyFont="1" applyAlignment="1">
      <alignment horizontal="right"/>
    </xf>
    <xf numFmtId="37" fontId="146" fillId="99" borderId="134" xfId="0" applyNumberFormat="1" applyFont="1" applyFill="1" applyBorder="1"/>
    <xf numFmtId="0" fontId="147" fillId="0" borderId="135" xfId="0" applyFont="1" applyBorder="1" applyAlignment="1">
      <alignment vertical="top" wrapText="1"/>
    </xf>
    <xf numFmtId="9" fontId="148" fillId="0" borderId="0" xfId="0" applyNumberFormat="1" applyFont="1"/>
    <xf numFmtId="0" fontId="149" fillId="0" borderId="136" xfId="0" applyFont="1" applyBorder="1" applyAlignment="1">
      <alignment horizontal="left" vertical="top"/>
    </xf>
    <xf numFmtId="165" fontId="150" fillId="0" borderId="137" xfId="0" applyNumberFormat="1" applyFont="1" applyBorder="1"/>
    <xf numFmtId="166" fontId="151" fillId="100" borderId="138" xfId="0" applyNumberFormat="1" applyFont="1" applyFill="1" applyBorder="1" applyAlignment="1">
      <alignment horizontal="center"/>
    </xf>
    <xf numFmtId="172" fontId="152" fillId="101" borderId="139" xfId="0" applyNumberFormat="1" applyFont="1" applyFill="1" applyBorder="1"/>
    <xf numFmtId="0" fontId="153" fillId="102" borderId="140" xfId="0" applyFont="1" applyFill="1" applyBorder="1" applyAlignment="1">
      <alignment horizontal="center"/>
    </xf>
    <xf numFmtId="0" fontId="155" fillId="0" borderId="142" xfId="0" applyFont="1" applyBorder="1" applyAlignment="1">
      <alignment wrapText="1"/>
    </xf>
    <xf numFmtId="37" fontId="156" fillId="104" borderId="143" xfId="0" applyNumberFormat="1" applyFont="1" applyFill="1" applyBorder="1" applyAlignment="1">
      <alignment horizontal="center"/>
    </xf>
    <xf numFmtId="0" fontId="157" fillId="105" borderId="144" xfId="0" applyFont="1" applyFill="1" applyBorder="1"/>
    <xf numFmtId="0" fontId="159" fillId="107" borderId="146" xfId="0" applyFont="1" applyFill="1" applyBorder="1"/>
    <xf numFmtId="0" fontId="160" fillId="108" borderId="147" xfId="0" applyFont="1" applyFill="1" applyBorder="1"/>
    <xf numFmtId="164" fontId="161" fillId="109" borderId="148" xfId="0" applyNumberFormat="1" applyFont="1" applyFill="1" applyBorder="1"/>
    <xf numFmtId="0" fontId="162" fillId="110" borderId="149" xfId="0" applyFont="1" applyFill="1" applyBorder="1" applyAlignment="1">
      <alignment horizontal="center" wrapText="1"/>
    </xf>
    <xf numFmtId="167" fontId="163" fillId="111" borderId="150" xfId="0" applyNumberFormat="1" applyFont="1" applyFill="1" applyBorder="1"/>
    <xf numFmtId="0" fontId="164" fillId="0" borderId="151" xfId="0" applyFont="1" applyBorder="1"/>
    <xf numFmtId="0" fontId="166" fillId="0" borderId="0" xfId="0" applyFont="1"/>
    <xf numFmtId="9" fontId="167" fillId="0" borderId="153" xfId="0" applyNumberFormat="1" applyFont="1" applyBorder="1" applyAlignment="1">
      <alignment horizontal="right"/>
    </xf>
    <xf numFmtId="0" fontId="168" fillId="0" borderId="0" xfId="0" applyFont="1" applyAlignment="1">
      <alignment horizontal="center"/>
    </xf>
    <xf numFmtId="0" fontId="169" fillId="113" borderId="154" xfId="0" applyFont="1" applyFill="1" applyBorder="1"/>
    <xf numFmtId="0" fontId="170" fillId="114" borderId="155" xfId="0" applyFont="1" applyFill="1" applyBorder="1" applyAlignment="1">
      <alignment horizontal="center"/>
    </xf>
    <xf numFmtId="0" fontId="171" fillId="115" borderId="156" xfId="0" applyFont="1" applyFill="1" applyBorder="1" applyAlignment="1">
      <alignment horizontal="center" wrapText="1"/>
    </xf>
    <xf numFmtId="0" fontId="172" fillId="116" borderId="157" xfId="0" applyFont="1" applyFill="1" applyBorder="1" applyAlignment="1">
      <alignment horizontal="left" vertical="top"/>
    </xf>
    <xf numFmtId="164" fontId="173" fillId="117" borderId="158" xfId="0" applyNumberFormat="1" applyFont="1" applyFill="1" applyBorder="1"/>
    <xf numFmtId="0" fontId="174" fillId="118" borderId="159" xfId="0" applyFont="1" applyFill="1" applyBorder="1" applyAlignment="1">
      <alignment horizontal="center"/>
    </xf>
    <xf numFmtId="166" fontId="175" fillId="119" borderId="160" xfId="0" applyNumberFormat="1" applyFont="1" applyFill="1" applyBorder="1"/>
    <xf numFmtId="167" fontId="176" fillId="0" borderId="161" xfId="0" applyNumberFormat="1" applyFont="1" applyBorder="1" applyAlignment="1">
      <alignment horizontal="center"/>
    </xf>
    <xf numFmtId="0" fontId="177" fillId="0" borderId="0" xfId="0" applyFont="1" applyAlignment="1">
      <alignment wrapText="1"/>
    </xf>
    <xf numFmtId="167" fontId="179" fillId="0" borderId="163" xfId="0" applyNumberFormat="1" applyFont="1" applyBorder="1" applyAlignment="1">
      <alignment horizontal="center"/>
    </xf>
    <xf numFmtId="166" fontId="180" fillId="121" borderId="164" xfId="0" applyNumberFormat="1" applyFont="1" applyFill="1" applyBorder="1"/>
    <xf numFmtId="0" fontId="181" fillId="122" borderId="165" xfId="0" applyFont="1" applyFill="1" applyBorder="1"/>
    <xf numFmtId="0" fontId="182" fillId="123" borderId="166" xfId="0" applyFont="1" applyFill="1" applyBorder="1" applyAlignment="1">
      <alignment horizontal="left" vertical="top" wrapText="1"/>
    </xf>
    <xf numFmtId="0" fontId="183" fillId="124" borderId="167" xfId="0" applyFont="1" applyFill="1" applyBorder="1"/>
    <xf numFmtId="0" fontId="184" fillId="0" borderId="168" xfId="0" applyFont="1" applyBorder="1" applyAlignment="1">
      <alignment horizontal="left" wrapText="1"/>
    </xf>
    <xf numFmtId="0" fontId="185" fillId="125" borderId="169" xfId="0" applyFont="1" applyFill="1" applyBorder="1" applyAlignment="1">
      <alignment horizontal="left" vertical="top"/>
    </xf>
    <xf numFmtId="0" fontId="186" fillId="0" borderId="170" xfId="0" applyFont="1" applyBorder="1"/>
    <xf numFmtId="0" fontId="187" fillId="126" borderId="171" xfId="0" applyFont="1" applyFill="1" applyBorder="1" applyAlignment="1">
      <alignment horizontal="right"/>
    </xf>
    <xf numFmtId="0" fontId="188" fillId="127" borderId="172" xfId="0" applyFont="1" applyFill="1" applyBorder="1"/>
    <xf numFmtId="171" fontId="190" fillId="129" borderId="174" xfId="0" applyNumberFormat="1" applyFont="1" applyFill="1" applyBorder="1"/>
    <xf numFmtId="0" fontId="191" fillId="0" borderId="0" xfId="0" applyFont="1" applyAlignment="1">
      <alignment vertical="center" wrapText="1"/>
    </xf>
    <xf numFmtId="0" fontId="192" fillId="0" borderId="175" xfId="0" applyFont="1" applyBorder="1" applyAlignment="1">
      <alignment horizontal="center"/>
    </xf>
    <xf numFmtId="172" fontId="193" fillId="130" borderId="176" xfId="0" applyNumberFormat="1" applyFont="1" applyFill="1" applyBorder="1"/>
    <xf numFmtId="164" fontId="194" fillId="131" borderId="177" xfId="0" applyNumberFormat="1" applyFont="1" applyFill="1" applyBorder="1"/>
    <xf numFmtId="9" fontId="195" fillId="132" borderId="178" xfId="0" applyNumberFormat="1" applyFont="1" applyFill="1" applyBorder="1" applyAlignment="1">
      <alignment horizontal="center"/>
    </xf>
    <xf numFmtId="167" fontId="196" fillId="133" borderId="179" xfId="0" applyNumberFormat="1" applyFont="1" applyFill="1" applyBorder="1" applyAlignment="1">
      <alignment horizontal="center"/>
    </xf>
    <xf numFmtId="0" fontId="198" fillId="0" borderId="0" xfId="0" applyFont="1" applyAlignment="1">
      <alignment horizontal="left"/>
    </xf>
    <xf numFmtId="0" fontId="199" fillId="135" borderId="181" xfId="0" applyFont="1" applyFill="1" applyBorder="1"/>
    <xf numFmtId="0" fontId="200" fillId="0" borderId="182" xfId="0" applyFont="1" applyBorder="1" applyAlignment="1">
      <alignment horizontal="left" wrapText="1"/>
    </xf>
    <xf numFmtId="168" fontId="201" fillId="0" borderId="183" xfId="0" applyNumberFormat="1" applyFont="1" applyBorder="1"/>
    <xf numFmtId="0" fontId="202" fillId="0" borderId="0" xfId="0" applyFont="1" applyAlignment="1">
      <alignment horizontal="left"/>
    </xf>
    <xf numFmtId="0" fontId="203" fillId="136" borderId="184" xfId="0" applyFont="1" applyFill="1" applyBorder="1"/>
    <xf numFmtId="170" fontId="204" fillId="137" borderId="185" xfId="0" applyNumberFormat="1" applyFont="1" applyFill="1" applyBorder="1" applyAlignment="1">
      <alignment horizontal="center"/>
    </xf>
    <xf numFmtId="0" fontId="205" fillId="138" borderId="186" xfId="0" applyFont="1" applyFill="1" applyBorder="1" applyAlignment="1">
      <alignment horizontal="left"/>
    </xf>
    <xf numFmtId="166" fontId="206" fillId="139" borderId="187" xfId="0" applyNumberFormat="1" applyFont="1" applyFill="1" applyBorder="1"/>
    <xf numFmtId="167" fontId="207" fillId="0" borderId="188" xfId="0" applyNumberFormat="1" applyFont="1" applyBorder="1"/>
    <xf numFmtId="0" fontId="208" fillId="0" borderId="189" xfId="0" applyFont="1" applyBorder="1" applyAlignment="1">
      <alignment horizontal="left" wrapText="1"/>
    </xf>
    <xf numFmtId="167" fontId="209" fillId="0" borderId="190" xfId="0" applyNumberFormat="1" applyFont="1" applyBorder="1" applyAlignment="1">
      <alignment horizontal="left" wrapText="1"/>
    </xf>
    <xf numFmtId="0" fontId="210" fillId="140" borderId="191" xfId="0" applyFont="1" applyFill="1" applyBorder="1"/>
    <xf numFmtId="164" fontId="211" fillId="141" borderId="192" xfId="0" applyNumberFormat="1" applyFont="1" applyFill="1" applyBorder="1"/>
    <xf numFmtId="0" fontId="212" fillId="0" borderId="193" xfId="0" applyFont="1" applyBorder="1" applyAlignment="1">
      <alignment horizontal="left"/>
    </xf>
    <xf numFmtId="0" fontId="213" fillId="142" borderId="194" xfId="0" applyFont="1" applyFill="1" applyBorder="1" applyAlignment="1">
      <alignment horizontal="center"/>
    </xf>
    <xf numFmtId="10" fontId="214" fillId="143" borderId="195" xfId="0" applyNumberFormat="1" applyFont="1" applyFill="1" applyBorder="1" applyAlignment="1">
      <alignment horizontal="center"/>
    </xf>
    <xf numFmtId="167" fontId="215" fillId="0" borderId="0" xfId="0" applyNumberFormat="1" applyFont="1" applyAlignment="1">
      <alignment horizontal="right"/>
    </xf>
    <xf numFmtId="167" fontId="216" fillId="0" borderId="196" xfId="0" applyNumberFormat="1" applyFont="1" applyBorder="1"/>
    <xf numFmtId="9" fontId="217" fillId="144" borderId="197" xfId="0" applyNumberFormat="1" applyFont="1" applyFill="1" applyBorder="1" applyAlignment="1">
      <alignment horizontal="right"/>
    </xf>
    <xf numFmtId="10" fontId="218" fillId="145" borderId="198" xfId="0" applyNumberFormat="1" applyFont="1" applyFill="1" applyBorder="1" applyAlignment="1">
      <alignment horizontal="center"/>
    </xf>
    <xf numFmtId="166" fontId="219" fillId="146" borderId="199" xfId="0" applyNumberFormat="1" applyFont="1" applyFill="1" applyBorder="1" applyAlignment="1">
      <alignment horizontal="center"/>
    </xf>
    <xf numFmtId="167" fontId="220" fillId="0" borderId="200" xfId="0" applyNumberFormat="1" applyFont="1" applyBorder="1" applyAlignment="1">
      <alignment horizontal="right"/>
    </xf>
    <xf numFmtId="0" fontId="222" fillId="0" borderId="202" xfId="0" applyFont="1" applyBorder="1"/>
    <xf numFmtId="49" fontId="223" fillId="0" borderId="203" xfId="0" applyNumberFormat="1" applyFont="1" applyBorder="1" applyAlignment="1">
      <alignment horizontal="left" vertical="top" wrapText="1"/>
    </xf>
    <xf numFmtId="0" fontId="224" fillId="148" borderId="204" xfId="0" applyFont="1" applyFill="1" applyBorder="1" applyAlignment="1">
      <alignment horizontal="left" vertical="top"/>
    </xf>
    <xf numFmtId="37" fontId="226" fillId="0" borderId="206" xfId="0" applyNumberFormat="1" applyFont="1" applyBorder="1" applyAlignment="1">
      <alignment horizontal="center"/>
    </xf>
    <xf numFmtId="0" fontId="227" fillId="0" borderId="207" xfId="0" applyFont="1" applyBorder="1"/>
    <xf numFmtId="164" fontId="228" fillId="150" borderId="208" xfId="0" applyNumberFormat="1" applyFont="1" applyFill="1" applyBorder="1" applyAlignment="1">
      <alignment horizontal="center"/>
    </xf>
    <xf numFmtId="0" fontId="229" fillId="151" borderId="209" xfId="0" applyFont="1" applyFill="1" applyBorder="1" applyAlignment="1">
      <alignment horizontal="right"/>
    </xf>
    <xf numFmtId="164" fontId="230" fillId="152" borderId="210" xfId="0" applyNumberFormat="1" applyFont="1" applyFill="1" applyBorder="1" applyAlignment="1">
      <alignment horizontal="center"/>
    </xf>
    <xf numFmtId="0" fontId="231" fillId="153" borderId="211" xfId="0" applyFont="1" applyFill="1" applyBorder="1"/>
    <xf numFmtId="0" fontId="232" fillId="154" borderId="212" xfId="0" applyFont="1" applyFill="1" applyBorder="1"/>
    <xf numFmtId="0" fontId="233" fillId="155" borderId="213" xfId="0" applyFont="1" applyFill="1" applyBorder="1"/>
    <xf numFmtId="172" fontId="234" fillId="156" borderId="0" xfId="0" applyNumberFormat="1" applyFont="1" applyFill="1"/>
    <xf numFmtId="0" fontId="235" fillId="0" borderId="0" xfId="0" applyFont="1"/>
    <xf numFmtId="167" fontId="236" fillId="0" borderId="214" xfId="0" applyNumberFormat="1" applyFont="1" applyBorder="1" applyAlignment="1">
      <alignment horizontal="right"/>
    </xf>
    <xf numFmtId="0" fontId="238" fillId="158" borderId="216" xfId="0" applyFont="1" applyFill="1" applyBorder="1" applyAlignment="1">
      <alignment horizontal="center"/>
    </xf>
    <xf numFmtId="166" fontId="239" fillId="159" borderId="217" xfId="0" applyNumberFormat="1" applyFont="1" applyFill="1" applyBorder="1" applyAlignment="1">
      <alignment horizontal="right"/>
    </xf>
    <xf numFmtId="167" fontId="240" fillId="0" borderId="218" xfId="0" applyNumberFormat="1" applyFont="1" applyBorder="1" applyAlignment="1">
      <alignment horizontal="left"/>
    </xf>
    <xf numFmtId="0" fontId="241" fillId="160" borderId="219" xfId="0" applyFont="1" applyFill="1" applyBorder="1"/>
    <xf numFmtId="167" fontId="242" fillId="0" borderId="220" xfId="0" applyNumberFormat="1" applyFont="1" applyBorder="1"/>
    <xf numFmtId="167" fontId="243" fillId="0" borderId="221" xfId="0" applyNumberFormat="1" applyFont="1" applyBorder="1" applyAlignment="1">
      <alignment horizontal="left" wrapText="1"/>
    </xf>
    <xf numFmtId="0" fontId="244" fillId="0" borderId="0" xfId="0" applyFont="1" applyAlignment="1">
      <alignment horizontal="left"/>
    </xf>
    <xf numFmtId="0" fontId="245" fillId="161" borderId="222" xfId="0" applyFont="1" applyFill="1" applyBorder="1"/>
    <xf numFmtId="165" fontId="246" fillId="162" borderId="223" xfId="0" applyNumberFormat="1" applyFont="1" applyFill="1" applyBorder="1"/>
    <xf numFmtId="0" fontId="248" fillId="164" borderId="225" xfId="0" applyFont="1" applyFill="1" applyBorder="1" applyAlignment="1">
      <alignment horizontal="center"/>
    </xf>
    <xf numFmtId="0" fontId="249" fillId="165" borderId="226" xfId="0" applyFont="1" applyFill="1" applyBorder="1" applyAlignment="1">
      <alignment horizontal="left" vertical="top"/>
    </xf>
    <xf numFmtId="0" fontId="250" fillId="166" borderId="227" xfId="0" applyFont="1" applyFill="1" applyBorder="1" applyAlignment="1">
      <alignment horizontal="center"/>
    </xf>
    <xf numFmtId="0" fontId="251" fillId="167" borderId="228" xfId="0" applyFont="1" applyFill="1" applyBorder="1"/>
    <xf numFmtId="0" fontId="252" fillId="168" borderId="229" xfId="0" applyFont="1" applyFill="1" applyBorder="1" applyAlignment="1">
      <alignment horizontal="left"/>
    </xf>
    <xf numFmtId="37" fontId="253" fillId="169" borderId="230" xfId="0" applyNumberFormat="1" applyFont="1" applyFill="1" applyBorder="1" applyAlignment="1">
      <alignment horizontal="center"/>
    </xf>
    <xf numFmtId="0" fontId="254" fillId="0" borderId="0" xfId="0" applyFont="1" applyAlignment="1">
      <alignment horizontal="center"/>
    </xf>
    <xf numFmtId="0" fontId="255" fillId="170" borderId="231" xfId="0" applyFont="1" applyFill="1" applyBorder="1" applyAlignment="1">
      <alignment vertical="top"/>
    </xf>
    <xf numFmtId="166" fontId="256" fillId="171" borderId="232" xfId="0" applyNumberFormat="1" applyFont="1" applyFill="1" applyBorder="1"/>
    <xf numFmtId="166" fontId="257" fillId="172" borderId="233" xfId="0" applyNumberFormat="1" applyFont="1" applyFill="1" applyBorder="1" applyAlignment="1">
      <alignment horizontal="center"/>
    </xf>
    <xf numFmtId="0" fontId="258" fillId="173" borderId="234" xfId="0" applyFont="1" applyFill="1" applyBorder="1" applyAlignment="1">
      <alignment horizontal="left"/>
    </xf>
    <xf numFmtId="0" fontId="259" fillId="174" borderId="235" xfId="0" applyFont="1" applyFill="1" applyBorder="1" applyAlignment="1">
      <alignment horizontal="left"/>
    </xf>
    <xf numFmtId="0" fontId="260" fillId="175" borderId="236" xfId="0" applyFont="1" applyFill="1" applyBorder="1" applyAlignment="1">
      <alignment horizontal="center"/>
    </xf>
    <xf numFmtId="0" fontId="261" fillId="176" borderId="237" xfId="0" applyFont="1" applyFill="1" applyBorder="1" applyAlignment="1">
      <alignment horizontal="left"/>
    </xf>
    <xf numFmtId="0" fontId="262" fillId="177" borderId="238" xfId="0" applyFont="1" applyFill="1" applyBorder="1"/>
    <xf numFmtId="0" fontId="263" fillId="178" borderId="239" xfId="0" applyFont="1" applyFill="1" applyBorder="1"/>
    <xf numFmtId="0" fontId="264" fillId="179" borderId="240" xfId="0" applyFont="1" applyFill="1" applyBorder="1" applyAlignment="1">
      <alignment horizontal="center" wrapText="1"/>
    </xf>
    <xf numFmtId="0" fontId="265" fillId="180" borderId="241" xfId="0" applyFont="1" applyFill="1" applyBorder="1"/>
    <xf numFmtId="0" fontId="266" fillId="181" borderId="242" xfId="0" applyFont="1" applyFill="1" applyBorder="1"/>
    <xf numFmtId="167" fontId="267" fillId="0" borderId="243" xfId="0" applyNumberFormat="1" applyFont="1" applyBorder="1"/>
    <xf numFmtId="166" fontId="268" fillId="182" borderId="244" xfId="0" applyNumberFormat="1" applyFont="1" applyFill="1" applyBorder="1" applyAlignment="1">
      <alignment horizontal="center"/>
    </xf>
    <xf numFmtId="166" fontId="269" fillId="0" borderId="245" xfId="0" applyNumberFormat="1" applyFont="1" applyBorder="1"/>
    <xf numFmtId="37" fontId="270" fillId="183" borderId="246" xfId="0" applyNumberFormat="1" applyFont="1" applyFill="1" applyBorder="1"/>
    <xf numFmtId="0" fontId="271" fillId="0" borderId="247" xfId="0" applyFont="1" applyBorder="1"/>
    <xf numFmtId="166" fontId="272" fillId="184" borderId="248" xfId="0" applyNumberFormat="1" applyFont="1" applyFill="1" applyBorder="1"/>
    <xf numFmtId="173" fontId="273" fillId="185" borderId="249" xfId="0" applyNumberFormat="1" applyFont="1" applyFill="1" applyBorder="1" applyAlignment="1">
      <alignment horizontal="center"/>
    </xf>
    <xf numFmtId="9" fontId="274" fillId="186" borderId="250" xfId="0" applyNumberFormat="1" applyFont="1" applyFill="1" applyBorder="1" applyAlignment="1">
      <alignment horizontal="right"/>
    </xf>
    <xf numFmtId="0" fontId="275" fillId="187" borderId="251" xfId="0" applyFont="1" applyFill="1" applyBorder="1"/>
    <xf numFmtId="168" fontId="276" fillId="0" borderId="252" xfId="0" applyNumberFormat="1" applyFont="1" applyBorder="1" applyAlignment="1">
      <alignment horizontal="center"/>
    </xf>
    <xf numFmtId="0" fontId="277" fillId="188" borderId="253" xfId="0" applyFont="1" applyFill="1" applyBorder="1" applyAlignment="1">
      <alignment horizontal="left" vertical="top"/>
    </xf>
    <xf numFmtId="167" fontId="278" fillId="189" borderId="254" xfId="0" applyNumberFormat="1" applyFont="1" applyFill="1" applyBorder="1" applyAlignment="1">
      <alignment horizontal="center" wrapText="1"/>
    </xf>
    <xf numFmtId="164" fontId="280" fillId="191" borderId="256" xfId="0" applyNumberFormat="1" applyFont="1" applyFill="1" applyBorder="1"/>
    <xf numFmtId="0" fontId="282" fillId="0" borderId="258" xfId="0" applyFont="1" applyBorder="1" applyAlignment="1">
      <alignment horizontal="left"/>
    </xf>
    <xf numFmtId="0" fontId="283" fillId="193" borderId="259" xfId="0" applyFont="1" applyFill="1" applyBorder="1" applyAlignment="1">
      <alignment horizontal="center"/>
    </xf>
    <xf numFmtId="165" fontId="284" fillId="194" borderId="260" xfId="0" applyNumberFormat="1" applyFont="1" applyFill="1" applyBorder="1" applyAlignment="1">
      <alignment horizontal="center"/>
    </xf>
    <xf numFmtId="0" fontId="285" fillId="0" borderId="261" xfId="0" applyFont="1" applyBorder="1"/>
    <xf numFmtId="166" fontId="287" fillId="196" borderId="263" xfId="0" applyNumberFormat="1" applyFont="1" applyFill="1" applyBorder="1" applyAlignment="1">
      <alignment horizontal="right" wrapText="1"/>
    </xf>
    <xf numFmtId="0" fontId="288" fillId="197" borderId="264" xfId="0" applyFont="1" applyFill="1" applyBorder="1" applyAlignment="1">
      <alignment horizontal="left"/>
    </xf>
    <xf numFmtId="167" fontId="289" fillId="0" borderId="265" xfId="0" applyNumberFormat="1" applyFont="1" applyBorder="1" applyAlignment="1">
      <alignment horizontal="left"/>
    </xf>
    <xf numFmtId="0" fontId="290" fillId="198" borderId="266" xfId="0" applyFont="1" applyFill="1" applyBorder="1"/>
    <xf numFmtId="0" fontId="291" fillId="199" borderId="267" xfId="0" applyFont="1" applyFill="1" applyBorder="1"/>
    <xf numFmtId="0" fontId="292" fillId="200" borderId="268" xfId="0" applyFont="1" applyFill="1" applyBorder="1" applyAlignment="1">
      <alignment vertical="top"/>
    </xf>
    <xf numFmtId="165" fontId="293" fillId="201" borderId="269" xfId="0" applyNumberFormat="1" applyFont="1" applyFill="1" applyBorder="1"/>
    <xf numFmtId="0" fontId="294" fillId="0" borderId="270" xfId="0" applyFont="1" applyBorder="1" applyAlignment="1">
      <alignment horizontal="center"/>
    </xf>
    <xf numFmtId="0" fontId="295" fillId="202" borderId="271" xfId="0" applyFont="1" applyFill="1" applyBorder="1" applyAlignment="1">
      <alignment horizontal="center"/>
    </xf>
    <xf numFmtId="167" fontId="296" fillId="0" borderId="272" xfId="0" applyNumberFormat="1" applyFont="1" applyBorder="1" applyAlignment="1">
      <alignment horizontal="left"/>
    </xf>
    <xf numFmtId="0" fontId="297" fillId="0" borderId="273" xfId="0" applyFont="1" applyBorder="1" applyAlignment="1">
      <alignment horizontal="center"/>
    </xf>
    <xf numFmtId="0" fontId="298" fillId="203" borderId="274" xfId="0" applyFont="1" applyFill="1" applyBorder="1" applyAlignment="1">
      <alignment wrapText="1"/>
    </xf>
    <xf numFmtId="0" fontId="300" fillId="205" borderId="276" xfId="0" applyFont="1" applyFill="1" applyBorder="1" applyAlignment="1">
      <alignment horizontal="center"/>
    </xf>
    <xf numFmtId="164" fontId="301" fillId="206" borderId="277" xfId="0" applyNumberFormat="1" applyFont="1" applyFill="1" applyBorder="1" applyAlignment="1">
      <alignment horizontal="center"/>
    </xf>
    <xf numFmtId="165" fontId="302" fillId="207" borderId="278" xfId="0" applyNumberFormat="1" applyFont="1" applyFill="1" applyBorder="1"/>
    <xf numFmtId="0" fontId="303" fillId="0" borderId="279" xfId="0" applyFont="1" applyBorder="1" applyAlignment="1">
      <alignment horizontal="center"/>
    </xf>
    <xf numFmtId="0" fontId="305" fillId="209" borderId="281" xfId="0" applyFont="1" applyFill="1" applyBorder="1" applyAlignment="1">
      <alignment horizontal="center"/>
    </xf>
    <xf numFmtId="166" fontId="307" fillId="0" borderId="283" xfId="0" applyNumberFormat="1" applyFont="1" applyBorder="1" applyAlignment="1">
      <alignment wrapText="1"/>
    </xf>
    <xf numFmtId="0" fontId="308" fillId="211" borderId="284" xfId="0" applyFont="1" applyFill="1" applyBorder="1"/>
    <xf numFmtId="0" fontId="309" fillId="212" borderId="285" xfId="0" applyFont="1" applyFill="1" applyBorder="1"/>
    <xf numFmtId="0" fontId="310" fillId="0" borderId="286" xfId="0" applyFont="1" applyBorder="1"/>
    <xf numFmtId="10" fontId="311" fillId="213" borderId="287" xfId="0" applyNumberFormat="1" applyFont="1" applyFill="1" applyBorder="1" applyAlignment="1">
      <alignment horizontal="center"/>
    </xf>
    <xf numFmtId="3" fontId="312" fillId="214" borderId="288" xfId="0" applyNumberFormat="1" applyFont="1" applyFill="1" applyBorder="1" applyAlignment="1">
      <alignment wrapText="1"/>
    </xf>
    <xf numFmtId="0" fontId="313" fillId="0" borderId="289" xfId="0" applyFont="1" applyBorder="1" applyAlignment="1">
      <alignment wrapText="1"/>
    </xf>
    <xf numFmtId="0" fontId="314" fillId="215" borderId="0" xfId="0" applyFont="1" applyFill="1"/>
    <xf numFmtId="0" fontId="315" fillId="0" borderId="290" xfId="0" applyFont="1" applyBorder="1" applyAlignment="1">
      <alignment horizontal="center"/>
    </xf>
    <xf numFmtId="0" fontId="316" fillId="216" borderId="291" xfId="0" applyFont="1" applyFill="1" applyBorder="1" applyAlignment="1">
      <alignment horizontal="left"/>
    </xf>
    <xf numFmtId="0" fontId="317" fillId="217" borderId="292" xfId="0" applyFont="1" applyFill="1" applyBorder="1" applyAlignment="1">
      <alignment horizontal="left"/>
    </xf>
    <xf numFmtId="37" fontId="318" fillId="218" borderId="293" xfId="0" applyNumberFormat="1" applyFont="1" applyFill="1" applyBorder="1"/>
    <xf numFmtId="164" fontId="319" fillId="0" borderId="294" xfId="0" applyNumberFormat="1" applyFont="1" applyBorder="1"/>
    <xf numFmtId="0" fontId="320" fillId="219" borderId="0" xfId="0" applyFont="1" applyFill="1" applyAlignment="1">
      <alignment horizontal="left"/>
    </xf>
    <xf numFmtId="0" fontId="321" fillId="220" borderId="295" xfId="0" applyFont="1" applyFill="1" applyBorder="1"/>
    <xf numFmtId="167" fontId="322" fillId="221" borderId="296" xfId="0" applyNumberFormat="1" applyFont="1" applyFill="1" applyBorder="1" applyAlignment="1">
      <alignment horizontal="right"/>
    </xf>
    <xf numFmtId="165" fontId="323" fillId="222" borderId="297" xfId="0" applyNumberFormat="1" applyFont="1" applyFill="1" applyBorder="1"/>
    <xf numFmtId="0" fontId="324" fillId="223" borderId="298" xfId="0" applyFont="1" applyFill="1" applyBorder="1"/>
    <xf numFmtId="166" fontId="326" fillId="0" borderId="300" xfId="0" applyNumberFormat="1" applyFont="1" applyBorder="1"/>
    <xf numFmtId="0" fontId="327" fillId="225" borderId="301" xfId="0" applyFont="1" applyFill="1" applyBorder="1" applyAlignment="1">
      <alignment horizontal="center"/>
    </xf>
    <xf numFmtId="172" fontId="328" fillId="226" borderId="302" xfId="0" applyNumberFormat="1" applyFont="1" applyFill="1" applyBorder="1"/>
    <xf numFmtId="167" fontId="329" fillId="0" borderId="303" xfId="0" applyNumberFormat="1" applyFont="1" applyBorder="1" applyAlignment="1">
      <alignment horizontal="left"/>
    </xf>
    <xf numFmtId="0" fontId="331" fillId="228" borderId="305" xfId="0" applyFont="1" applyFill="1" applyBorder="1"/>
    <xf numFmtId="167" fontId="332" fillId="229" borderId="306" xfId="0" applyNumberFormat="1" applyFont="1" applyFill="1" applyBorder="1" applyAlignment="1">
      <alignment horizontal="right"/>
    </xf>
    <xf numFmtId="0" fontId="333" fillId="230" borderId="307" xfId="0" applyFont="1" applyFill="1" applyBorder="1" applyAlignment="1">
      <alignment horizontal="left" wrapText="1"/>
    </xf>
    <xf numFmtId="164" fontId="334" fillId="231" borderId="308" xfId="0" applyNumberFormat="1" applyFont="1" applyFill="1" applyBorder="1" applyAlignment="1">
      <alignment horizontal="center"/>
    </xf>
    <xf numFmtId="167" fontId="335" fillId="0" borderId="0" xfId="0" applyNumberFormat="1" applyFont="1"/>
    <xf numFmtId="0" fontId="336" fillId="0" borderId="309" xfId="0" applyFont="1" applyBorder="1"/>
    <xf numFmtId="0" fontId="337" fillId="232" borderId="310" xfId="0" applyFont="1" applyFill="1" applyBorder="1" applyAlignment="1">
      <alignment horizontal="center"/>
    </xf>
    <xf numFmtId="166" fontId="338" fillId="233" borderId="311" xfId="0" applyNumberFormat="1" applyFont="1" applyFill="1" applyBorder="1"/>
    <xf numFmtId="9" fontId="339" fillId="0" borderId="312" xfId="0" applyNumberFormat="1" applyFont="1" applyBorder="1" applyAlignment="1">
      <alignment horizontal="center"/>
    </xf>
    <xf numFmtId="0" fontId="340" fillId="0" borderId="313" xfId="0" applyFont="1" applyBorder="1" applyAlignment="1">
      <alignment wrapText="1"/>
    </xf>
    <xf numFmtId="49" fontId="342" fillId="0" borderId="315" xfId="0" applyNumberFormat="1" applyFont="1" applyBorder="1" applyAlignment="1">
      <alignment horizontal="left" vertical="center" wrapText="1"/>
    </xf>
    <xf numFmtId="167" fontId="343" fillId="235" borderId="0" xfId="0" applyNumberFormat="1" applyFont="1" applyFill="1" applyAlignment="1">
      <alignment horizontal="center"/>
    </xf>
    <xf numFmtId="164" fontId="344" fillId="236" borderId="0" xfId="0" applyNumberFormat="1" applyFont="1" applyFill="1"/>
    <xf numFmtId="0" fontId="345" fillId="0" borderId="316" xfId="0" applyFont="1" applyBorder="1" applyAlignment="1">
      <alignment horizontal="left" wrapText="1"/>
    </xf>
    <xf numFmtId="165" fontId="346" fillId="237" borderId="317" xfId="0" applyNumberFormat="1" applyFont="1" applyFill="1" applyBorder="1"/>
    <xf numFmtId="0" fontId="347" fillId="0" borderId="318" xfId="0" applyFont="1" applyBorder="1" applyAlignment="1">
      <alignment horizontal="left" vertical="top" wrapText="1"/>
    </xf>
    <xf numFmtId="0" fontId="348" fillId="238" borderId="319" xfId="0" applyFont="1" applyFill="1" applyBorder="1" applyAlignment="1">
      <alignment wrapText="1"/>
    </xf>
    <xf numFmtId="164" fontId="349" fillId="239" borderId="320" xfId="0" applyNumberFormat="1" applyFont="1" applyFill="1" applyBorder="1"/>
    <xf numFmtId="10" fontId="350" fillId="240" borderId="321" xfId="0" applyNumberFormat="1" applyFont="1" applyFill="1" applyBorder="1" applyAlignment="1">
      <alignment horizontal="center"/>
    </xf>
    <xf numFmtId="0" fontId="352" fillId="0" borderId="323" xfId="0" applyFont="1" applyBorder="1" applyAlignment="1">
      <alignment vertical="top" wrapText="1"/>
    </xf>
    <xf numFmtId="167" fontId="353" fillId="0" borderId="324" xfId="0" applyNumberFormat="1" applyFont="1" applyBorder="1" applyAlignment="1">
      <alignment horizontal="right"/>
    </xf>
    <xf numFmtId="0" fontId="354" fillId="0" borderId="0" xfId="0" applyFont="1" applyAlignment="1">
      <alignment vertical="top" wrapText="1"/>
    </xf>
    <xf numFmtId="166" fontId="355" fillId="0" borderId="325" xfId="0" applyNumberFormat="1" applyFont="1" applyBorder="1"/>
    <xf numFmtId="10" fontId="356" fillId="242" borderId="326" xfId="0" applyNumberFormat="1" applyFont="1" applyFill="1" applyBorder="1" applyAlignment="1">
      <alignment horizontal="center"/>
    </xf>
    <xf numFmtId="0" fontId="357" fillId="243" borderId="327" xfId="0" applyFont="1" applyFill="1" applyBorder="1"/>
    <xf numFmtId="165" fontId="359" fillId="245" borderId="329" xfId="0" applyNumberFormat="1" applyFont="1" applyFill="1" applyBorder="1" applyAlignment="1">
      <alignment horizontal="center"/>
    </xf>
    <xf numFmtId="0" fontId="361" fillId="247" borderId="331" xfId="0" applyFont="1" applyFill="1" applyBorder="1" applyAlignment="1">
      <alignment horizontal="left" wrapText="1"/>
    </xf>
    <xf numFmtId="0" fontId="362" fillId="0" borderId="332" xfId="0" applyFont="1" applyBorder="1"/>
    <xf numFmtId="166" fontId="363" fillId="248" borderId="333" xfId="0" applyNumberFormat="1" applyFont="1" applyFill="1" applyBorder="1"/>
    <xf numFmtId="0" fontId="364" fillId="0" borderId="334" xfId="0" applyFont="1" applyBorder="1"/>
    <xf numFmtId="0" fontId="365" fillId="0" borderId="335" xfId="0" applyFont="1" applyBorder="1" applyAlignment="1">
      <alignment horizontal="left"/>
    </xf>
    <xf numFmtId="0" fontId="367" fillId="0" borderId="337" xfId="0" applyFont="1" applyBorder="1" applyAlignment="1">
      <alignment wrapText="1"/>
    </xf>
    <xf numFmtId="167" fontId="368" fillId="0" borderId="338" xfId="0" applyNumberFormat="1" applyFont="1" applyBorder="1" applyAlignment="1">
      <alignment horizontal="left"/>
    </xf>
    <xf numFmtId="167" fontId="370" fillId="0" borderId="340" xfId="0" applyNumberFormat="1" applyFont="1" applyBorder="1"/>
    <xf numFmtId="0" fontId="371" fillId="0" borderId="341" xfId="0" applyFont="1" applyBorder="1"/>
    <xf numFmtId="167" fontId="372" fillId="0" borderId="342" xfId="0" applyNumberFormat="1" applyFont="1" applyBorder="1" applyAlignment="1">
      <alignment horizontal="left"/>
    </xf>
    <xf numFmtId="37" fontId="373" fillId="251" borderId="0" xfId="0" applyNumberFormat="1" applyFont="1" applyFill="1"/>
    <xf numFmtId="164" fontId="374" fillId="252" borderId="343" xfId="0" applyNumberFormat="1" applyFont="1" applyFill="1" applyBorder="1"/>
    <xf numFmtId="0" fontId="375" fillId="0" borderId="344" xfId="0" applyFont="1" applyBorder="1"/>
    <xf numFmtId="0" fontId="376" fillId="253" borderId="345" xfId="0" applyFont="1" applyFill="1" applyBorder="1" applyAlignment="1">
      <alignment horizontal="left"/>
    </xf>
    <xf numFmtId="0" fontId="377" fillId="0" borderId="346" xfId="0" applyFont="1" applyBorder="1" applyAlignment="1">
      <alignment horizontal="center"/>
    </xf>
    <xf numFmtId="0" fontId="378" fillId="0" borderId="347" xfId="0" applyFont="1" applyBorder="1" applyAlignment="1">
      <alignment wrapText="1"/>
    </xf>
    <xf numFmtId="0" fontId="379" fillId="254" borderId="348" xfId="0" applyFont="1" applyFill="1" applyBorder="1" applyAlignment="1">
      <alignment horizontal="left" wrapText="1"/>
    </xf>
    <xf numFmtId="37" fontId="380" fillId="255" borderId="349" xfId="0" applyNumberFormat="1" applyFont="1" applyFill="1" applyBorder="1" applyAlignment="1">
      <alignment horizontal="center"/>
    </xf>
    <xf numFmtId="168" fontId="381" fillId="256" borderId="0" xfId="0" applyNumberFormat="1" applyFont="1" applyFill="1"/>
    <xf numFmtId="0" fontId="382" fillId="257" borderId="350" xfId="0" applyFont="1" applyFill="1" applyBorder="1" applyAlignment="1">
      <alignment horizontal="center"/>
    </xf>
    <xf numFmtId="37" fontId="383" fillId="258" borderId="351" xfId="0" applyNumberFormat="1" applyFont="1" applyFill="1" applyBorder="1"/>
    <xf numFmtId="0" fontId="384" fillId="259" borderId="352" xfId="0" applyFont="1" applyFill="1" applyBorder="1" applyAlignment="1">
      <alignment wrapText="1"/>
    </xf>
    <xf numFmtId="0" fontId="385" fillId="260" borderId="353" xfId="0" applyFont="1" applyFill="1" applyBorder="1" applyAlignment="1">
      <alignment wrapText="1"/>
    </xf>
    <xf numFmtId="0" fontId="386" fillId="261" borderId="354" xfId="0" applyFont="1" applyFill="1" applyBorder="1" applyAlignment="1">
      <alignment vertical="top" wrapText="1"/>
    </xf>
    <xf numFmtId="0" fontId="387" fillId="262" borderId="355" xfId="0" applyFont="1" applyFill="1" applyBorder="1" applyAlignment="1">
      <alignment horizontal="left" vertical="top" wrapText="1"/>
    </xf>
    <xf numFmtId="167" fontId="388" fillId="0" borderId="356" xfId="0" applyNumberFormat="1" applyFont="1" applyBorder="1" applyAlignment="1">
      <alignment horizontal="left"/>
    </xf>
    <xf numFmtId="0" fontId="389" fillId="263" borderId="357" xfId="0" applyFont="1" applyFill="1" applyBorder="1" applyAlignment="1">
      <alignment horizontal="left"/>
    </xf>
    <xf numFmtId="0" fontId="390" fillId="0" borderId="358" xfId="0" applyFont="1" applyBorder="1" applyAlignment="1">
      <alignment horizontal="left" wrapText="1"/>
    </xf>
    <xf numFmtId="0" fontId="391" fillId="264" borderId="359" xfId="0" applyFont="1" applyFill="1" applyBorder="1"/>
    <xf numFmtId="0" fontId="392" fillId="265" borderId="360" xfId="0" applyFont="1" applyFill="1" applyBorder="1" applyAlignment="1">
      <alignment horizontal="center"/>
    </xf>
    <xf numFmtId="0" fontId="393" fillId="266" borderId="361" xfId="0" applyFont="1" applyFill="1" applyBorder="1" applyAlignment="1">
      <alignment wrapText="1"/>
    </xf>
    <xf numFmtId="0" fontId="394" fillId="0" borderId="362" xfId="0" applyFont="1" applyBorder="1" applyAlignment="1">
      <alignment horizontal="center"/>
    </xf>
    <xf numFmtId="0" fontId="395" fillId="0" borderId="363" xfId="0" applyFont="1" applyBorder="1" applyAlignment="1">
      <alignment horizontal="center"/>
    </xf>
    <xf numFmtId="0" fontId="396" fillId="0" borderId="364" xfId="0" applyFont="1" applyBorder="1" applyAlignment="1">
      <alignment horizontal="center"/>
    </xf>
    <xf numFmtId="9" fontId="397" fillId="267" borderId="365" xfId="0" applyNumberFormat="1" applyFont="1" applyFill="1" applyBorder="1" applyAlignment="1">
      <alignment horizontal="right"/>
    </xf>
    <xf numFmtId="0" fontId="398" fillId="268" borderId="366" xfId="0" applyFont="1" applyFill="1" applyBorder="1"/>
    <xf numFmtId="166" fontId="399" fillId="269" borderId="367" xfId="0" applyNumberFormat="1" applyFont="1" applyFill="1" applyBorder="1"/>
    <xf numFmtId="0" fontId="400" fillId="0" borderId="368" xfId="0" applyFont="1" applyBorder="1"/>
    <xf numFmtId="0" fontId="401" fillId="0" borderId="0" xfId="0" applyFont="1"/>
    <xf numFmtId="166" fontId="402" fillId="0" borderId="369" xfId="0" applyNumberFormat="1" applyFont="1" applyBorder="1" applyAlignment="1">
      <alignment horizontal="center"/>
    </xf>
    <xf numFmtId="0" fontId="403" fillId="270" borderId="370" xfId="0" applyFont="1" applyFill="1" applyBorder="1" applyAlignment="1">
      <alignment horizontal="center"/>
    </xf>
    <xf numFmtId="0" fontId="404" fillId="271" borderId="371" xfId="0" applyFont="1" applyFill="1" applyBorder="1" applyAlignment="1">
      <alignment horizontal="left"/>
    </xf>
    <xf numFmtId="0" fontId="405" fillId="272" borderId="372" xfId="0" applyFont="1" applyFill="1" applyBorder="1" applyAlignment="1">
      <alignment horizontal="center"/>
    </xf>
    <xf numFmtId="167" fontId="406" fillId="273" borderId="373" xfId="0" applyNumberFormat="1" applyFont="1" applyFill="1" applyBorder="1"/>
    <xf numFmtId="0" fontId="407" fillId="274" borderId="374" xfId="0" applyFont="1" applyFill="1" applyBorder="1" applyAlignment="1">
      <alignment horizontal="center" wrapText="1"/>
    </xf>
    <xf numFmtId="166" fontId="408" fillId="0" borderId="375" xfId="0" applyNumberFormat="1" applyFont="1" applyBorder="1"/>
    <xf numFmtId="164" fontId="409" fillId="275" borderId="376" xfId="0" applyNumberFormat="1" applyFont="1" applyFill="1" applyBorder="1"/>
    <xf numFmtId="0" fontId="410" fillId="276" borderId="0" xfId="0" applyFont="1" applyFill="1"/>
    <xf numFmtId="0" fontId="412" fillId="278" borderId="378" xfId="0" applyFont="1" applyFill="1" applyBorder="1"/>
    <xf numFmtId="166" fontId="413" fillId="279" borderId="379" xfId="0" applyNumberFormat="1" applyFont="1" applyFill="1" applyBorder="1"/>
    <xf numFmtId="0" fontId="414" fillId="0" borderId="0" xfId="0" applyFont="1" applyAlignment="1">
      <alignment horizontal="right"/>
    </xf>
    <xf numFmtId="167" fontId="415" fillId="280" borderId="380" xfId="0" applyNumberFormat="1" applyFont="1" applyFill="1" applyBorder="1"/>
    <xf numFmtId="168" fontId="416" fillId="281" borderId="381" xfId="0" applyNumberFormat="1" applyFont="1" applyFill="1" applyBorder="1" applyAlignment="1">
      <alignment horizontal="right"/>
    </xf>
    <xf numFmtId="0" fontId="417" fillId="282" borderId="0" xfId="0" applyFont="1" applyFill="1"/>
    <xf numFmtId="0" fontId="418" fillId="283" borderId="382" xfId="0" applyFont="1" applyFill="1" applyBorder="1"/>
    <xf numFmtId="166" fontId="419" fillId="0" borderId="383" xfId="0" applyNumberFormat="1" applyFont="1" applyBorder="1" applyAlignment="1">
      <alignment horizontal="center"/>
    </xf>
    <xf numFmtId="0" fontId="420" fillId="284" borderId="384" xfId="0" applyFont="1" applyFill="1" applyBorder="1"/>
    <xf numFmtId="164" fontId="421" fillId="285" borderId="385" xfId="0" applyNumberFormat="1" applyFont="1" applyFill="1" applyBorder="1"/>
    <xf numFmtId="164" fontId="422" fillId="286" borderId="386" xfId="0" applyNumberFormat="1" applyFont="1" applyFill="1" applyBorder="1"/>
    <xf numFmtId="0" fontId="423" fillId="0" borderId="387" xfId="0" applyFont="1" applyBorder="1" applyAlignment="1">
      <alignment vertical="top"/>
    </xf>
    <xf numFmtId="3" fontId="424" fillId="287" borderId="388" xfId="0" applyNumberFormat="1" applyFont="1" applyFill="1" applyBorder="1" applyAlignment="1">
      <alignment wrapText="1"/>
    </xf>
    <xf numFmtId="0" fontId="425" fillId="0" borderId="389" xfId="0" applyFont="1" applyBorder="1" applyAlignment="1">
      <alignment vertical="center" wrapText="1"/>
    </xf>
    <xf numFmtId="167" fontId="426" fillId="0" borderId="390" xfId="0" applyNumberFormat="1" applyFont="1" applyBorder="1" applyAlignment="1">
      <alignment horizontal="left"/>
    </xf>
    <xf numFmtId="166" fontId="427" fillId="0" borderId="391" xfId="0" applyNumberFormat="1" applyFont="1" applyBorder="1" applyAlignment="1">
      <alignment horizontal="center"/>
    </xf>
    <xf numFmtId="0" fontId="428" fillId="0" borderId="392" xfId="0" applyFont="1" applyBorder="1"/>
    <xf numFmtId="0" fontId="430" fillId="289" borderId="394" xfId="0" applyFont="1" applyFill="1" applyBorder="1"/>
    <xf numFmtId="0" fontId="431" fillId="0" borderId="395" xfId="0" applyFont="1" applyBorder="1" applyAlignment="1">
      <alignment horizontal="left"/>
    </xf>
    <xf numFmtId="0" fontId="432" fillId="290" borderId="396" xfId="0" applyFont="1" applyFill="1" applyBorder="1"/>
    <xf numFmtId="164" fontId="433" fillId="291" borderId="397" xfId="0" applyNumberFormat="1" applyFont="1" applyFill="1" applyBorder="1" applyAlignment="1">
      <alignment horizontal="center"/>
    </xf>
    <xf numFmtId="0" fontId="434" fillId="292" borderId="0" xfId="0" applyFont="1" applyFill="1" applyAlignment="1">
      <alignment horizontal="left"/>
    </xf>
    <xf numFmtId="167" fontId="435" fillId="0" borderId="398" xfId="0" applyNumberFormat="1" applyFont="1" applyBorder="1" applyAlignment="1">
      <alignment horizontal="left" wrapText="1"/>
    </xf>
    <xf numFmtId="49" fontId="436" fillId="0" borderId="399" xfId="0" applyNumberFormat="1" applyFont="1" applyBorder="1" applyAlignment="1">
      <alignment horizontal="left" vertical="top" wrapText="1"/>
    </xf>
    <xf numFmtId="167" fontId="437" fillId="293" borderId="0" xfId="0" applyNumberFormat="1" applyFont="1" applyFill="1" applyAlignment="1">
      <alignment horizontal="left"/>
    </xf>
    <xf numFmtId="0" fontId="438" fillId="0" borderId="400" xfId="0" applyFont="1" applyBorder="1"/>
    <xf numFmtId="0" fontId="439" fillId="294" borderId="401" xfId="0" applyFont="1" applyFill="1" applyBorder="1" applyAlignment="1">
      <alignment wrapText="1"/>
    </xf>
    <xf numFmtId="0" fontId="440" fillId="295" borderId="0" xfId="0" applyFont="1" applyFill="1"/>
    <xf numFmtId="0" fontId="441" fillId="296" borderId="402" xfId="0" applyFont="1" applyFill="1" applyBorder="1" applyAlignment="1">
      <alignment horizontal="center" wrapText="1"/>
    </xf>
    <xf numFmtId="37" fontId="442" fillId="297" borderId="403" xfId="0" applyNumberFormat="1" applyFont="1" applyFill="1" applyBorder="1" applyAlignment="1">
      <alignment horizontal="center"/>
    </xf>
    <xf numFmtId="37" fontId="443" fillId="298" borderId="404" xfId="0" applyNumberFormat="1" applyFont="1" applyFill="1" applyBorder="1"/>
    <xf numFmtId="167" fontId="444" fillId="299" borderId="405" xfId="0" applyNumberFormat="1" applyFont="1" applyFill="1" applyBorder="1"/>
    <xf numFmtId="0" fontId="445" fillId="300" borderId="406" xfId="0" applyFont="1" applyFill="1" applyBorder="1" applyAlignment="1">
      <alignment horizontal="center" wrapText="1"/>
    </xf>
    <xf numFmtId="167" fontId="446" fillId="301" borderId="0" xfId="0" applyNumberFormat="1" applyFont="1" applyFill="1" applyAlignment="1">
      <alignment horizontal="left"/>
    </xf>
    <xf numFmtId="0" fontId="447" fillId="302" borderId="407" xfId="0" applyFont="1" applyFill="1" applyBorder="1"/>
    <xf numFmtId="37" fontId="448" fillId="303" borderId="408" xfId="0" applyNumberFormat="1" applyFont="1" applyFill="1" applyBorder="1" applyAlignment="1">
      <alignment horizontal="center"/>
    </xf>
    <xf numFmtId="167" fontId="449" fillId="304" borderId="409" xfId="0" applyNumberFormat="1" applyFont="1" applyFill="1" applyBorder="1" applyAlignment="1">
      <alignment horizontal="right"/>
    </xf>
    <xf numFmtId="0" fontId="451" fillId="0" borderId="411" xfId="0" applyFont="1" applyBorder="1"/>
    <xf numFmtId="0" fontId="452" fillId="306" borderId="412" xfId="0" applyFont="1" applyFill="1" applyBorder="1" applyAlignment="1">
      <alignment horizontal="center"/>
    </xf>
    <xf numFmtId="0" fontId="453" fillId="307" borderId="413" xfId="0" applyFont="1" applyFill="1" applyBorder="1"/>
    <xf numFmtId="0" fontId="454" fillId="0" borderId="414" xfId="0" applyFont="1" applyBorder="1" applyAlignment="1">
      <alignment horizontal="center"/>
    </xf>
    <xf numFmtId="0" fontId="455" fillId="308" borderId="415" xfId="0" applyFont="1" applyFill="1" applyBorder="1" applyAlignment="1">
      <alignment horizontal="left" wrapText="1"/>
    </xf>
    <xf numFmtId="0" fontId="456" fillId="309" borderId="416" xfId="0" applyFont="1" applyFill="1" applyBorder="1"/>
    <xf numFmtId="0" fontId="457" fillId="0" borderId="0" xfId="0" applyFont="1"/>
    <xf numFmtId="164" fontId="458" fillId="310" borderId="417" xfId="0" applyNumberFormat="1" applyFont="1" applyFill="1" applyBorder="1"/>
    <xf numFmtId="9" fontId="459" fillId="311" borderId="418" xfId="0" applyNumberFormat="1" applyFont="1" applyFill="1" applyBorder="1"/>
    <xf numFmtId="166" fontId="460" fillId="312" borderId="0" xfId="0" applyNumberFormat="1" applyFont="1" applyFill="1"/>
    <xf numFmtId="168" fontId="461" fillId="0" borderId="419" xfId="0" applyNumberFormat="1" applyFont="1" applyBorder="1"/>
    <xf numFmtId="167" fontId="462" fillId="0" borderId="420" xfId="0" applyNumberFormat="1" applyFont="1" applyBorder="1"/>
    <xf numFmtId="0" fontId="464" fillId="314" borderId="422" xfId="0" applyFont="1" applyFill="1" applyBorder="1" applyAlignment="1">
      <alignment horizontal="center"/>
    </xf>
    <xf numFmtId="1" fontId="465" fillId="315" borderId="423" xfId="0" applyNumberFormat="1" applyFont="1" applyFill="1" applyBorder="1" applyAlignment="1">
      <alignment horizontal="center"/>
    </xf>
    <xf numFmtId="0" fontId="466" fillId="316" borderId="0" xfId="0" applyFont="1" applyFill="1" applyAlignment="1">
      <alignment horizontal="left"/>
    </xf>
    <xf numFmtId="167" fontId="467" fillId="0" borderId="424" xfId="0" applyNumberFormat="1" applyFont="1" applyBorder="1" applyAlignment="1">
      <alignment horizontal="center"/>
    </xf>
    <xf numFmtId="167" fontId="468" fillId="0" borderId="425" xfId="0" applyNumberFormat="1" applyFont="1" applyBorder="1" applyAlignment="1">
      <alignment horizontal="left"/>
    </xf>
    <xf numFmtId="10" fontId="469" fillId="317" borderId="426" xfId="0" applyNumberFormat="1" applyFont="1" applyFill="1" applyBorder="1"/>
    <xf numFmtId="0" fontId="470" fillId="318" borderId="427" xfId="0" applyFont="1" applyFill="1" applyBorder="1" applyAlignment="1">
      <alignment horizontal="left" vertical="top" wrapText="1"/>
    </xf>
    <xf numFmtId="167" fontId="471" fillId="0" borderId="428" xfId="0" applyNumberFormat="1" applyFont="1" applyBorder="1" applyAlignment="1">
      <alignment horizontal="right"/>
    </xf>
    <xf numFmtId="167" fontId="472" fillId="0" borderId="429" xfId="0" applyNumberFormat="1" applyFont="1" applyBorder="1" applyAlignment="1">
      <alignment horizontal="center"/>
    </xf>
    <xf numFmtId="0" fontId="473" fillId="0" borderId="430" xfId="0" applyFont="1" applyBorder="1" applyAlignment="1">
      <alignment horizontal="center"/>
    </xf>
    <xf numFmtId="0" fontId="474" fillId="319" borderId="431" xfId="0" applyFont="1" applyFill="1" applyBorder="1" applyAlignment="1">
      <alignment horizontal="left"/>
    </xf>
    <xf numFmtId="0" fontId="475" fillId="0" borderId="432" xfId="0" applyFont="1" applyBorder="1"/>
    <xf numFmtId="0" fontId="476" fillId="0" borderId="433" xfId="0" applyFont="1" applyBorder="1"/>
    <xf numFmtId="0" fontId="477" fillId="320" borderId="434" xfId="0" applyFont="1" applyFill="1" applyBorder="1" applyAlignment="1">
      <alignment horizontal="center" wrapText="1"/>
    </xf>
    <xf numFmtId="0" fontId="478" fillId="0" borderId="435" xfId="0" applyFont="1" applyBorder="1" applyAlignment="1">
      <alignment wrapText="1"/>
    </xf>
    <xf numFmtId="0" fontId="479" fillId="321" borderId="436" xfId="0" applyFont="1" applyFill="1" applyBorder="1"/>
    <xf numFmtId="0" fontId="480" fillId="322" borderId="437" xfId="0" applyFont="1" applyFill="1" applyBorder="1"/>
    <xf numFmtId="0" fontId="481" fillId="0" borderId="438" xfId="0" applyFont="1" applyBorder="1"/>
    <xf numFmtId="37" fontId="482" fillId="323" borderId="439" xfId="0" applyNumberFormat="1" applyFont="1" applyFill="1" applyBorder="1"/>
    <xf numFmtId="166" fontId="483" fillId="0" borderId="440" xfId="0" applyNumberFormat="1" applyFont="1" applyBorder="1" applyAlignment="1">
      <alignment wrapText="1"/>
    </xf>
    <xf numFmtId="0" fontId="484" fillId="324" borderId="441" xfId="0" applyFont="1" applyFill="1" applyBorder="1"/>
    <xf numFmtId="0" fontId="485" fillId="0" borderId="442" xfId="0" applyFont="1" applyBorder="1" applyAlignment="1">
      <alignment horizontal="left"/>
    </xf>
    <xf numFmtId="0" fontId="486" fillId="325" borderId="443" xfId="0" applyFont="1" applyFill="1" applyBorder="1" applyAlignment="1">
      <alignment wrapText="1"/>
    </xf>
    <xf numFmtId="0" fontId="487" fillId="326" borderId="444" xfId="0" applyFont="1" applyFill="1" applyBorder="1"/>
    <xf numFmtId="0" fontId="488" fillId="327" borderId="445" xfId="0" applyFont="1" applyFill="1" applyBorder="1"/>
    <xf numFmtId="0" fontId="489" fillId="328" borderId="446" xfId="0" applyFont="1" applyFill="1" applyBorder="1" applyAlignment="1">
      <alignment horizontal="left"/>
    </xf>
    <xf numFmtId="167" fontId="490" fillId="0" borderId="447" xfId="0" applyNumberFormat="1" applyFont="1" applyBorder="1" applyAlignment="1">
      <alignment horizontal="left" wrapText="1"/>
    </xf>
    <xf numFmtId="10" fontId="491" fillId="329" borderId="448" xfId="0" applyNumberFormat="1" applyFont="1" applyFill="1" applyBorder="1"/>
    <xf numFmtId="0" fontId="492" fillId="0" borderId="449" xfId="0" applyFont="1" applyBorder="1"/>
    <xf numFmtId="167" fontId="493" fillId="0" borderId="450" xfId="0" applyNumberFormat="1" applyFont="1" applyBorder="1" applyAlignment="1">
      <alignment horizontal="left"/>
    </xf>
    <xf numFmtId="167" fontId="494" fillId="330" borderId="0" xfId="0" applyNumberFormat="1" applyFont="1" applyFill="1" applyAlignment="1">
      <alignment horizontal="center" wrapText="1"/>
    </xf>
    <xf numFmtId="0" fontId="495" fillId="331" borderId="451" xfId="0" applyFont="1" applyFill="1" applyBorder="1" applyAlignment="1">
      <alignment horizontal="center"/>
    </xf>
    <xf numFmtId="0" fontId="496" fillId="0" borderId="452" xfId="0" applyFont="1" applyBorder="1"/>
    <xf numFmtId="166" fontId="497" fillId="0" borderId="453" xfId="0" applyNumberFormat="1" applyFont="1" applyBorder="1"/>
    <xf numFmtId="0" fontId="498" fillId="332" borderId="454" xfId="0" applyFont="1" applyFill="1" applyBorder="1" applyAlignment="1">
      <alignment wrapText="1"/>
    </xf>
    <xf numFmtId="166" fontId="499" fillId="0" borderId="455" xfId="0" applyNumberFormat="1" applyFont="1" applyBorder="1" applyAlignment="1">
      <alignment horizontal="center"/>
    </xf>
    <xf numFmtId="167" fontId="500" fillId="333" borderId="456" xfId="0" applyNumberFormat="1" applyFont="1" applyFill="1" applyBorder="1"/>
    <xf numFmtId="0" fontId="501" fillId="0" borderId="457" xfId="0" applyFont="1" applyBorder="1"/>
    <xf numFmtId="164" fontId="502" fillId="334" borderId="458" xfId="0" applyNumberFormat="1" applyFont="1" applyFill="1" applyBorder="1" applyAlignment="1">
      <alignment horizontal="center"/>
    </xf>
    <xf numFmtId="0" fontId="503" fillId="335" borderId="459" xfId="0" applyFont="1" applyFill="1" applyBorder="1"/>
    <xf numFmtId="0" fontId="504" fillId="0" borderId="460" xfId="0" applyFont="1" applyBorder="1" applyAlignment="1">
      <alignment horizontal="center"/>
    </xf>
    <xf numFmtId="0" fontId="505" fillId="0" borderId="461" xfId="0" applyFont="1" applyBorder="1"/>
    <xf numFmtId="167" fontId="3" fillId="0" borderId="0" xfId="0" applyNumberFormat="1" applyFont="1" applyAlignment="1">
      <alignment horizontal="left"/>
    </xf>
    <xf numFmtId="166" fontId="3" fillId="336" borderId="462" xfId="0" applyNumberFormat="1" applyFont="1" applyFill="1" applyBorder="1" applyAlignment="1">
      <alignment horizontal="center"/>
    </xf>
    <xf numFmtId="167" fontId="3" fillId="0" borderId="463" xfId="0" applyNumberFormat="1" applyFont="1" applyBorder="1" applyAlignment="1">
      <alignment horizontal="right"/>
    </xf>
    <xf numFmtId="0" fontId="3" fillId="0" borderId="464" xfId="0" applyFont="1" applyBorder="1" applyAlignment="1">
      <alignment horizontal="center"/>
    </xf>
    <xf numFmtId="174" fontId="3" fillId="337" borderId="465" xfId="0" applyNumberFormat="1" applyFont="1" applyFill="1" applyBorder="1" applyAlignment="1">
      <alignment horizontal="right"/>
    </xf>
    <xf numFmtId="0" fontId="3" fillId="0" borderId="466" xfId="0" applyFont="1" applyBorder="1"/>
    <xf numFmtId="167" fontId="3" fillId="0" borderId="467" xfId="0" applyNumberFormat="1" applyFont="1" applyBorder="1" applyAlignment="1">
      <alignment horizontal="left"/>
    </xf>
    <xf numFmtId="0" fontId="3" fillId="338" borderId="468" xfId="0" applyFont="1" applyFill="1" applyBorder="1"/>
    <xf numFmtId="167" fontId="3" fillId="339" borderId="469" xfId="0" applyNumberFormat="1" applyFont="1" applyFill="1" applyBorder="1" applyAlignment="1">
      <alignment vertical="top"/>
    </xf>
    <xf numFmtId="166" fontId="3" fillId="0" borderId="470" xfId="0" applyNumberFormat="1" applyFont="1" applyBorder="1"/>
    <xf numFmtId="167" fontId="3" fillId="0" borderId="471" xfId="0" applyNumberFormat="1" applyFont="1" applyBorder="1" applyAlignment="1">
      <alignment horizontal="left"/>
    </xf>
    <xf numFmtId="0" fontId="3" fillId="0" borderId="472" xfId="0" applyFont="1" applyBorder="1" applyAlignment="1">
      <alignment horizontal="left"/>
    </xf>
    <xf numFmtId="0" fontId="3" fillId="0" borderId="473" xfId="0" applyFont="1" applyBorder="1"/>
    <xf numFmtId="0" fontId="3" fillId="0" borderId="474" xfId="0" applyFont="1" applyBorder="1"/>
    <xf numFmtId="167" fontId="3" fillId="0" borderId="0" xfId="0" applyNumberFormat="1" applyFont="1" applyAlignment="1">
      <alignment horizontal="center"/>
    </xf>
    <xf numFmtId="0" fontId="3" fillId="0" borderId="475" xfId="0" applyFont="1" applyBorder="1" applyAlignment="1">
      <alignment horizontal="center"/>
    </xf>
    <xf numFmtId="37" fontId="3" fillId="340" borderId="476" xfId="0" applyNumberFormat="1" applyFont="1" applyFill="1" applyBorder="1" applyAlignment="1">
      <alignment horizontal="center"/>
    </xf>
    <xf numFmtId="0" fontId="3" fillId="0" borderId="477" xfId="0" applyFont="1" applyBorder="1" applyAlignment="1">
      <alignment horizontal="left" wrapText="1"/>
    </xf>
    <xf numFmtId="167" fontId="3" fillId="341" borderId="478" xfId="0" applyNumberFormat="1" applyFont="1" applyFill="1" applyBorder="1"/>
    <xf numFmtId="0" fontId="3" fillId="342" borderId="479" xfId="0" applyFont="1" applyFill="1" applyBorder="1" applyAlignment="1">
      <alignment wrapText="1"/>
    </xf>
    <xf numFmtId="164" fontId="3" fillId="343" borderId="480" xfId="0" applyNumberFormat="1" applyFont="1" applyFill="1" applyBorder="1"/>
    <xf numFmtId="166" fontId="3" fillId="344" borderId="481" xfId="0" applyNumberFormat="1" applyFont="1" applyFill="1" applyBorder="1"/>
    <xf numFmtId="0" fontId="3" fillId="0" borderId="483" xfId="0" applyFont="1" applyBorder="1"/>
    <xf numFmtId="168" fontId="3" fillId="346" borderId="0" xfId="0" applyNumberFormat="1" applyFont="1" applyFill="1"/>
    <xf numFmtId="172" fontId="3" fillId="347" borderId="484" xfId="0" applyNumberFormat="1" applyFont="1" applyFill="1" applyBorder="1" applyAlignment="1">
      <alignment horizontal="right"/>
    </xf>
    <xf numFmtId="0" fontId="3" fillId="348" borderId="485" xfId="0" applyFont="1" applyFill="1" applyBorder="1" applyAlignment="1">
      <alignment horizontal="right"/>
    </xf>
    <xf numFmtId="0" fontId="3" fillId="349" borderId="486" xfId="0" applyFont="1" applyFill="1" applyBorder="1" applyAlignment="1">
      <alignment wrapText="1"/>
    </xf>
    <xf numFmtId="0" fontId="3" fillId="0" borderId="487" xfId="0" applyFont="1" applyBorder="1"/>
    <xf numFmtId="0" fontId="3" fillId="350" borderId="488" xfId="0" applyFont="1" applyFill="1" applyBorder="1" applyAlignment="1">
      <alignment horizontal="center" vertical="top" wrapText="1"/>
    </xf>
    <xf numFmtId="0" fontId="3" fillId="351" borderId="489" xfId="0" applyFont="1" applyFill="1" applyBorder="1"/>
    <xf numFmtId="0" fontId="3" fillId="352" borderId="490" xfId="0" applyFont="1" applyFill="1" applyBorder="1"/>
    <xf numFmtId="0" fontId="3" fillId="353" borderId="491" xfId="0" applyFont="1" applyFill="1" applyBorder="1" applyAlignment="1">
      <alignment horizontal="left"/>
    </xf>
    <xf numFmtId="164" fontId="3" fillId="354" borderId="492" xfId="0" applyNumberFormat="1" applyFont="1" applyFill="1" applyBorder="1"/>
    <xf numFmtId="0" fontId="3" fillId="0" borderId="493" xfId="0" applyFont="1" applyBorder="1" applyAlignment="1">
      <alignment vertical="top"/>
    </xf>
    <xf numFmtId="166" fontId="3" fillId="356" borderId="495" xfId="0" applyNumberFormat="1" applyFont="1" applyFill="1" applyBorder="1"/>
    <xf numFmtId="164" fontId="3" fillId="357" borderId="496" xfId="0" applyNumberFormat="1" applyFont="1" applyFill="1" applyBorder="1"/>
    <xf numFmtId="0" fontId="3" fillId="359" borderId="498" xfId="0" applyFont="1" applyFill="1" applyBorder="1" applyAlignment="1">
      <alignment wrapText="1"/>
    </xf>
    <xf numFmtId="174" fontId="3" fillId="360" borderId="499" xfId="0" applyNumberFormat="1" applyFont="1" applyFill="1" applyBorder="1"/>
    <xf numFmtId="169" fontId="3" fillId="0" borderId="0" xfId="0" applyNumberFormat="1" applyFont="1" applyAlignment="1">
      <alignment horizontal="left"/>
    </xf>
    <xf numFmtId="10" fontId="3" fillId="361" borderId="500" xfId="0" applyNumberFormat="1" applyFont="1" applyFill="1" applyBorder="1"/>
    <xf numFmtId="164" fontId="3" fillId="362" borderId="501" xfId="0" applyNumberFormat="1" applyFont="1" applyFill="1" applyBorder="1"/>
    <xf numFmtId="0" fontId="3" fillId="363" borderId="502" xfId="0" applyFont="1" applyFill="1" applyBorder="1" applyAlignment="1">
      <alignment horizontal="center"/>
    </xf>
    <xf numFmtId="166" fontId="3" fillId="0" borderId="503" xfId="0" applyNumberFormat="1" applyFont="1" applyBorder="1"/>
    <xf numFmtId="167" fontId="3" fillId="0" borderId="0" xfId="0" applyNumberFormat="1" applyFont="1" applyAlignment="1">
      <alignment horizontal="left"/>
    </xf>
    <xf numFmtId="0" fontId="3" fillId="0" borderId="504" xfId="0" applyFont="1" applyBorder="1"/>
    <xf numFmtId="167" fontId="3" fillId="0" borderId="505" xfId="0" applyNumberFormat="1" applyFont="1" applyBorder="1" applyAlignment="1">
      <alignment horizontal="left"/>
    </xf>
    <xf numFmtId="167" fontId="3" fillId="0" borderId="0" xfId="0" applyNumberFormat="1" applyFont="1" applyAlignment="1">
      <alignment horizontal="center"/>
    </xf>
    <xf numFmtId="9" fontId="3" fillId="364" borderId="506" xfId="0" applyNumberFormat="1" applyFont="1" applyFill="1" applyBorder="1" applyAlignment="1">
      <alignment horizontal="right"/>
    </xf>
    <xf numFmtId="0" fontId="3" fillId="366" borderId="508" xfId="0" applyFont="1" applyFill="1" applyBorder="1" applyAlignment="1">
      <alignment horizontal="left"/>
    </xf>
    <xf numFmtId="167" fontId="3" fillId="367" borderId="509" xfId="0" applyNumberFormat="1" applyFont="1" applyFill="1" applyBorder="1" applyAlignment="1">
      <alignment horizontal="left"/>
    </xf>
    <xf numFmtId="0" fontId="3" fillId="368" borderId="510" xfId="0" applyFont="1" applyFill="1" applyBorder="1"/>
    <xf numFmtId="167" fontId="3" fillId="369" borderId="511" xfId="0" applyNumberFormat="1" applyFont="1" applyFill="1" applyBorder="1" applyAlignment="1">
      <alignment horizontal="left" wrapText="1"/>
    </xf>
    <xf numFmtId="0" fontId="3" fillId="370" borderId="0" xfId="0" applyFont="1" applyFill="1"/>
    <xf numFmtId="0" fontId="3" fillId="371" borderId="512" xfId="0" applyFont="1" applyFill="1" applyBorder="1" applyAlignment="1">
      <alignment horizontal="right"/>
    </xf>
    <xf numFmtId="0" fontId="3" fillId="372" borderId="513" xfId="0" applyFont="1" applyFill="1" applyBorder="1" applyAlignment="1">
      <alignment horizontal="left"/>
    </xf>
    <xf numFmtId="0" fontId="3" fillId="0" borderId="0" xfId="0" applyFont="1"/>
    <xf numFmtId="168" fontId="3" fillId="0" borderId="514" xfId="0" applyNumberFormat="1" applyFont="1" applyBorder="1"/>
    <xf numFmtId="0" fontId="3" fillId="374" borderId="516" xfId="0" applyFont="1" applyFill="1" applyBorder="1" applyAlignment="1">
      <alignment horizontal="center" wrapText="1"/>
    </xf>
    <xf numFmtId="167" fontId="3" fillId="0" borderId="517" xfId="0" applyNumberFormat="1" applyFont="1" applyBorder="1" applyAlignment="1">
      <alignment horizontal="left"/>
    </xf>
    <xf numFmtId="0" fontId="3" fillId="375" borderId="518" xfId="0" applyFont="1" applyFill="1" applyBorder="1"/>
    <xf numFmtId="0" fontId="3" fillId="0" borderId="519" xfId="0" applyFont="1" applyBorder="1" applyAlignment="1">
      <alignment horizontal="left"/>
    </xf>
    <xf numFmtId="166" fontId="3" fillId="0" borderId="520" xfId="0" applyNumberFormat="1" applyFont="1" applyBorder="1"/>
    <xf numFmtId="0" fontId="3" fillId="0" borderId="521" xfId="0" applyFont="1" applyBorder="1" applyAlignment="1">
      <alignment horizontal="left" vertical="top" wrapText="1"/>
    </xf>
    <xf numFmtId="164" fontId="3" fillId="376" borderId="522" xfId="0" applyNumberFormat="1" applyFont="1" applyFill="1" applyBorder="1" applyAlignment="1">
      <alignment horizontal="center"/>
    </xf>
    <xf numFmtId="164" fontId="3" fillId="377" borderId="523" xfId="0" applyNumberFormat="1" applyFont="1" applyFill="1" applyBorder="1"/>
    <xf numFmtId="0" fontId="3" fillId="378" borderId="524" xfId="0" applyFont="1" applyFill="1" applyBorder="1" applyAlignment="1">
      <alignment horizontal="center" wrapText="1"/>
    </xf>
    <xf numFmtId="0" fontId="3" fillId="0" borderId="526" xfId="0" applyFont="1" applyBorder="1" applyAlignment="1">
      <alignment horizontal="center"/>
    </xf>
    <xf numFmtId="164" fontId="3" fillId="380" borderId="527" xfId="0" applyNumberFormat="1" applyFont="1" applyFill="1" applyBorder="1"/>
    <xf numFmtId="0" fontId="3" fillId="381" borderId="528" xfId="0" applyFont="1" applyFill="1" applyBorder="1" applyAlignment="1">
      <alignment horizontal="center"/>
    </xf>
    <xf numFmtId="166" fontId="3" fillId="382" borderId="529" xfId="0" applyNumberFormat="1" applyFont="1" applyFill="1" applyBorder="1" applyAlignment="1">
      <alignment wrapText="1"/>
    </xf>
    <xf numFmtId="169" fontId="3" fillId="383" borderId="0" xfId="0" applyNumberFormat="1" applyFont="1" applyFill="1" applyAlignment="1">
      <alignment horizontal="left"/>
    </xf>
    <xf numFmtId="0" fontId="3" fillId="384" borderId="530" xfId="0" applyFont="1" applyFill="1" applyBorder="1"/>
    <xf numFmtId="167" fontId="3" fillId="0" borderId="531" xfId="0" applyNumberFormat="1" applyFont="1" applyBorder="1" applyAlignment="1">
      <alignment horizontal="left" wrapText="1"/>
    </xf>
    <xf numFmtId="0" fontId="3" fillId="385" borderId="532" xfId="0" applyFont="1" applyFill="1" applyBorder="1"/>
    <xf numFmtId="0" fontId="3" fillId="386" borderId="533" xfId="0" applyFont="1" applyFill="1" applyBorder="1" applyAlignment="1">
      <alignment vertical="top" wrapText="1"/>
    </xf>
    <xf numFmtId="164" fontId="3" fillId="387" borderId="534" xfId="0" applyNumberFormat="1" applyFont="1" applyFill="1" applyBorder="1"/>
    <xf numFmtId="0" fontId="3" fillId="388" borderId="535" xfId="0" applyFont="1" applyFill="1" applyBorder="1" applyAlignment="1">
      <alignment horizontal="left"/>
    </xf>
    <xf numFmtId="164" fontId="3" fillId="389" borderId="536" xfId="0" applyNumberFormat="1" applyFont="1" applyFill="1" applyBorder="1"/>
    <xf numFmtId="167" fontId="3" fillId="0" borderId="537" xfId="0" applyNumberFormat="1" applyFont="1" applyBorder="1" applyAlignment="1">
      <alignment horizontal="left"/>
    </xf>
    <xf numFmtId="166" fontId="3" fillId="0" borderId="538" xfId="0" applyNumberFormat="1" applyFont="1" applyBorder="1" applyAlignment="1">
      <alignment horizontal="center"/>
    </xf>
    <xf numFmtId="166" fontId="3" fillId="390" borderId="539" xfId="0" applyNumberFormat="1" applyFont="1" applyFill="1" applyBorder="1" applyAlignment="1">
      <alignment horizontal="center"/>
    </xf>
    <xf numFmtId="164" fontId="3" fillId="0" borderId="540" xfId="0" applyNumberFormat="1" applyFont="1" applyBorder="1"/>
    <xf numFmtId="0" fontId="3" fillId="391" borderId="541" xfId="0" applyFont="1" applyFill="1" applyBorder="1" applyAlignment="1">
      <alignment horizontal="left"/>
    </xf>
    <xf numFmtId="167" fontId="3" fillId="0" borderId="0" xfId="0" applyNumberFormat="1" applyFont="1" applyAlignment="1">
      <alignment horizontal="left" wrapText="1"/>
    </xf>
    <xf numFmtId="0" fontId="3" fillId="0" borderId="542" xfId="0" applyFont="1" applyBorder="1"/>
    <xf numFmtId="0" fontId="3" fillId="0" borderId="543" xfId="0" applyFont="1" applyBorder="1" applyAlignment="1">
      <alignment vertical="top"/>
    </xf>
    <xf numFmtId="0" fontId="3" fillId="0" borderId="544" xfId="0" applyFont="1" applyBorder="1" applyAlignment="1">
      <alignment horizontal="left"/>
    </xf>
    <xf numFmtId="0" fontId="3" fillId="392" borderId="0" xfId="0" applyFont="1" applyFill="1"/>
    <xf numFmtId="168" fontId="3" fillId="0" borderId="0" xfId="0" applyNumberFormat="1" applyFont="1"/>
    <xf numFmtId="0" fontId="3" fillId="0" borderId="545" xfId="0" applyFont="1" applyBorder="1"/>
    <xf numFmtId="166" fontId="3" fillId="393" borderId="546" xfId="0" applyNumberFormat="1" applyFont="1" applyFill="1" applyBorder="1" applyAlignment="1">
      <alignment horizontal="center"/>
    </xf>
    <xf numFmtId="166" fontId="3" fillId="395" borderId="548" xfId="0" applyNumberFormat="1" applyFont="1" applyFill="1" applyBorder="1"/>
    <xf numFmtId="0" fontId="3" fillId="0" borderId="549" xfId="0" applyFont="1" applyBorder="1"/>
    <xf numFmtId="0" fontId="3" fillId="396" borderId="550" xfId="0" applyFont="1" applyFill="1" applyBorder="1" applyAlignment="1">
      <alignment horizontal="right"/>
    </xf>
    <xf numFmtId="0" fontId="3" fillId="0" borderId="0" xfId="0" applyFont="1" applyAlignment="1">
      <alignment wrapText="1"/>
    </xf>
    <xf numFmtId="0" fontId="3" fillId="397" borderId="551" xfId="0" applyFont="1" applyFill="1" applyBorder="1"/>
    <xf numFmtId="165" fontId="3" fillId="398" borderId="552" xfId="0" applyNumberFormat="1" applyFont="1" applyFill="1" applyBorder="1"/>
    <xf numFmtId="0" fontId="3" fillId="0" borderId="0" xfId="0" applyFont="1"/>
    <xf numFmtId="0" fontId="3" fillId="399" borderId="553" xfId="0" applyFont="1" applyFill="1" applyBorder="1" applyAlignment="1">
      <alignment horizontal="left"/>
    </xf>
    <xf numFmtId="165" fontId="3" fillId="400" borderId="554" xfId="0" applyNumberFormat="1" applyFont="1" applyFill="1" applyBorder="1"/>
    <xf numFmtId="164" fontId="3" fillId="401" borderId="555" xfId="0" applyNumberFormat="1" applyFont="1" applyFill="1" applyBorder="1"/>
    <xf numFmtId="167" fontId="3" fillId="0" borderId="556" xfId="0" applyNumberFormat="1" applyFont="1" applyBorder="1" applyAlignment="1">
      <alignment horizontal="left"/>
    </xf>
    <xf numFmtId="0" fontId="3" fillId="402" borderId="557" xfId="0" applyFont="1" applyFill="1" applyBorder="1"/>
    <xf numFmtId="0" fontId="3" fillId="0" borderId="558" xfId="0" applyFont="1" applyBorder="1" applyAlignment="1">
      <alignment wrapText="1"/>
    </xf>
    <xf numFmtId="168" fontId="3" fillId="403" borderId="559" xfId="0" applyNumberFormat="1" applyFont="1" applyFill="1" applyBorder="1" applyAlignment="1">
      <alignment horizontal="center"/>
    </xf>
    <xf numFmtId="0" fontId="3" fillId="404" borderId="560" xfId="0" applyFont="1" applyFill="1" applyBorder="1" applyAlignment="1">
      <alignment horizontal="center"/>
    </xf>
    <xf numFmtId="0" fontId="3" fillId="405" borderId="561" xfId="0" applyFont="1" applyFill="1" applyBorder="1"/>
    <xf numFmtId="0" fontId="3" fillId="0" borderId="562" xfId="0" applyFont="1" applyBorder="1"/>
    <xf numFmtId="0" fontId="3" fillId="0" borderId="563" xfId="0" applyFont="1" applyBorder="1" applyAlignment="1">
      <alignment horizontal="center"/>
    </xf>
    <xf numFmtId="175" fontId="3" fillId="406" borderId="564" xfId="0" applyNumberFormat="1" applyFont="1" applyFill="1" applyBorder="1"/>
    <xf numFmtId="0" fontId="3" fillId="407" borderId="565" xfId="0" applyFont="1" applyFill="1" applyBorder="1" applyAlignment="1">
      <alignment horizontal="left"/>
    </xf>
    <xf numFmtId="0" fontId="3" fillId="0" borderId="566" xfId="0" applyFont="1" applyBorder="1"/>
    <xf numFmtId="0" fontId="3" fillId="0" borderId="567" xfId="0" applyFont="1" applyBorder="1"/>
    <xf numFmtId="166" fontId="3" fillId="408" borderId="568" xfId="0" applyNumberFormat="1" applyFont="1" applyFill="1" applyBorder="1"/>
    <xf numFmtId="37" fontId="3" fillId="0" borderId="569" xfId="0" applyNumberFormat="1" applyFont="1" applyBorder="1" applyAlignment="1">
      <alignment horizontal="right"/>
    </xf>
    <xf numFmtId="0" fontId="3" fillId="409" borderId="570" xfId="0" applyFont="1" applyFill="1" applyBorder="1"/>
    <xf numFmtId="0" fontId="3" fillId="411" borderId="572" xfId="0" applyFont="1" applyFill="1" applyBorder="1"/>
    <xf numFmtId="164" fontId="3" fillId="413" borderId="574" xfId="0" applyNumberFormat="1" applyFont="1" applyFill="1" applyBorder="1"/>
    <xf numFmtId="168" fontId="3" fillId="414" borderId="575" xfId="0" applyNumberFormat="1" applyFont="1" applyFill="1" applyBorder="1"/>
    <xf numFmtId="0" fontId="3" fillId="0" borderId="576" xfId="0" applyFont="1" applyBorder="1" applyAlignment="1">
      <alignment horizontal="center"/>
    </xf>
    <xf numFmtId="166" fontId="3" fillId="0" borderId="577" xfId="0" applyNumberFormat="1" applyFont="1" applyBorder="1" applyAlignment="1">
      <alignment horizontal="center"/>
    </xf>
    <xf numFmtId="167" fontId="3" fillId="0" borderId="578" xfId="0" applyNumberFormat="1" applyFont="1" applyBorder="1" applyAlignment="1">
      <alignment horizontal="center"/>
    </xf>
    <xf numFmtId="0" fontId="3" fillId="415" borderId="579" xfId="0" applyFont="1" applyFill="1" applyBorder="1" applyAlignment="1">
      <alignment horizontal="center"/>
    </xf>
    <xf numFmtId="166" fontId="3" fillId="0" borderId="580" xfId="0" applyNumberFormat="1" applyFont="1" applyBorder="1"/>
    <xf numFmtId="0" fontId="3" fillId="0" borderId="581" xfId="0" applyFont="1" applyBorder="1" applyAlignment="1">
      <alignment wrapText="1"/>
    </xf>
    <xf numFmtId="0" fontId="3" fillId="416" borderId="0" xfId="0" applyFont="1" applyFill="1" applyAlignment="1">
      <alignment vertical="center" wrapText="1"/>
    </xf>
    <xf numFmtId="0" fontId="3" fillId="417" borderId="582" xfId="0" applyFont="1" applyFill="1" applyBorder="1" applyAlignment="1">
      <alignment horizontal="center" wrapText="1"/>
    </xf>
    <xf numFmtId="3" fontId="3" fillId="418" borderId="583" xfId="0" applyNumberFormat="1" applyFont="1" applyFill="1" applyBorder="1" applyAlignment="1">
      <alignment wrapText="1"/>
    </xf>
    <xf numFmtId="0" fontId="3" fillId="0" borderId="584" xfId="0" applyFont="1" applyBorder="1" applyAlignment="1">
      <alignment wrapText="1"/>
    </xf>
    <xf numFmtId="0" fontId="3" fillId="0" borderId="585" xfId="0" applyFont="1" applyBorder="1"/>
    <xf numFmtId="0" fontId="3" fillId="0" borderId="586" xfId="0" applyFont="1" applyBorder="1" applyAlignment="1">
      <alignment horizontal="right"/>
    </xf>
    <xf numFmtId="0" fontId="3" fillId="419" borderId="587" xfId="0" applyFont="1" applyFill="1" applyBorder="1" applyAlignment="1">
      <alignment horizontal="center" wrapText="1"/>
    </xf>
    <xf numFmtId="165" fontId="3" fillId="420" borderId="588" xfId="0" applyNumberFormat="1" applyFont="1" applyFill="1" applyBorder="1"/>
    <xf numFmtId="0" fontId="3" fillId="421" borderId="589" xfId="0" applyFont="1" applyFill="1" applyBorder="1"/>
    <xf numFmtId="0" fontId="3" fillId="0" borderId="590" xfId="0" applyFont="1" applyBorder="1" applyAlignment="1">
      <alignment horizontal="center"/>
    </xf>
    <xf numFmtId="167" fontId="3" fillId="0" borderId="591" xfId="0" applyNumberFormat="1" applyFont="1" applyBorder="1" applyAlignment="1">
      <alignment horizontal="right"/>
    </xf>
    <xf numFmtId="0" fontId="3" fillId="422" borderId="592" xfId="0" applyFont="1" applyFill="1" applyBorder="1"/>
    <xf numFmtId="0" fontId="3" fillId="0" borderId="593" xfId="0" applyFont="1" applyBorder="1" applyAlignment="1">
      <alignment wrapText="1"/>
    </xf>
    <xf numFmtId="0" fontId="3" fillId="423" borderId="0" xfId="0" applyFont="1" applyFill="1" applyAlignment="1">
      <alignment horizontal="left"/>
    </xf>
    <xf numFmtId="164" fontId="3" fillId="424" borderId="594" xfId="0" applyNumberFormat="1" applyFont="1" applyFill="1" applyBorder="1"/>
    <xf numFmtId="0" fontId="3" fillId="425" borderId="595" xfId="0" applyFont="1" applyFill="1" applyBorder="1" applyAlignment="1">
      <alignment horizontal="left" wrapText="1"/>
    </xf>
    <xf numFmtId="166" fontId="3" fillId="426" borderId="596" xfId="0" applyNumberFormat="1" applyFont="1" applyFill="1" applyBorder="1"/>
    <xf numFmtId="0" fontId="3" fillId="427" borderId="597" xfId="0" applyFont="1" applyFill="1" applyBorder="1"/>
    <xf numFmtId="0" fontId="3" fillId="428" borderId="598" xfId="0" applyFont="1" applyFill="1" applyBorder="1" applyAlignment="1">
      <alignment horizontal="center"/>
    </xf>
    <xf numFmtId="167" fontId="3" fillId="429" borderId="599" xfId="0" applyNumberFormat="1" applyFont="1" applyFill="1" applyBorder="1" applyAlignment="1">
      <alignment horizontal="right"/>
    </xf>
    <xf numFmtId="0" fontId="3" fillId="430" borderId="600" xfId="0" applyFont="1" applyFill="1" applyBorder="1" applyAlignment="1">
      <alignment horizontal="center" wrapText="1"/>
    </xf>
    <xf numFmtId="0" fontId="3" fillId="0" borderId="0" xfId="0" applyFont="1" applyAlignment="1">
      <alignment horizontal="center"/>
    </xf>
    <xf numFmtId="167" fontId="3" fillId="0" borderId="601" xfId="0" applyNumberFormat="1" applyFont="1" applyBorder="1" applyAlignment="1">
      <alignment horizontal="left"/>
    </xf>
    <xf numFmtId="37" fontId="3" fillId="431" borderId="602" xfId="0" applyNumberFormat="1" applyFont="1" applyFill="1" applyBorder="1"/>
    <xf numFmtId="0" fontId="3" fillId="0" borderId="603" xfId="0" applyFont="1" applyBorder="1" applyAlignment="1">
      <alignment horizontal="center"/>
    </xf>
    <xf numFmtId="167" fontId="3" fillId="0" borderId="604" xfId="0" applyNumberFormat="1" applyFont="1" applyBorder="1" applyAlignment="1">
      <alignment horizontal="center"/>
    </xf>
    <xf numFmtId="167" fontId="3" fillId="433" borderId="0" xfId="0" applyNumberFormat="1" applyFont="1" applyFill="1" applyAlignment="1">
      <alignment horizontal="right"/>
    </xf>
    <xf numFmtId="0" fontId="3" fillId="0" borderId="606" xfId="0" applyFont="1" applyBorder="1" applyAlignment="1">
      <alignment wrapText="1"/>
    </xf>
    <xf numFmtId="0" fontId="3" fillId="0" borderId="607" xfId="0" applyFont="1" applyBorder="1"/>
    <xf numFmtId="166" fontId="3" fillId="435" borderId="609" xfId="0" applyNumberFormat="1" applyFont="1" applyFill="1" applyBorder="1"/>
    <xf numFmtId="0" fontId="3" fillId="436" borderId="610" xfId="0" applyFont="1" applyFill="1" applyBorder="1" applyAlignment="1">
      <alignment horizontal="center" vertical="top" wrapText="1"/>
    </xf>
    <xf numFmtId="0" fontId="3" fillId="437" borderId="611" xfId="0" applyFont="1" applyFill="1" applyBorder="1"/>
    <xf numFmtId="0" fontId="3" fillId="438" borderId="612" xfId="0" applyFont="1" applyFill="1" applyBorder="1"/>
    <xf numFmtId="0" fontId="3" fillId="0" borderId="613" xfId="0" applyFont="1" applyBorder="1" applyAlignment="1">
      <alignment horizontal="center" vertical="center"/>
    </xf>
    <xf numFmtId="164" fontId="3" fillId="439" borderId="614" xfId="0" applyNumberFormat="1" applyFont="1" applyFill="1" applyBorder="1"/>
    <xf numFmtId="0" fontId="3" fillId="440" borderId="615" xfId="0" applyFont="1" applyFill="1" applyBorder="1"/>
    <xf numFmtId="0" fontId="3" fillId="441" borderId="616" xfId="0" applyFont="1" applyFill="1" applyBorder="1"/>
    <xf numFmtId="0" fontId="3" fillId="442" borderId="617" xfId="0" applyFont="1" applyFill="1" applyBorder="1"/>
    <xf numFmtId="0" fontId="3" fillId="0" borderId="618" xfId="0" applyFont="1" applyBorder="1"/>
    <xf numFmtId="0" fontId="3" fillId="443" borderId="619" xfId="0" applyFont="1" applyFill="1" applyBorder="1"/>
    <xf numFmtId="37" fontId="3" fillId="444" borderId="620" xfId="0" applyNumberFormat="1" applyFont="1" applyFill="1" applyBorder="1"/>
    <xf numFmtId="0" fontId="3" fillId="445" borderId="621" xfId="0" applyFont="1" applyFill="1" applyBorder="1"/>
    <xf numFmtId="0" fontId="3" fillId="0" borderId="0" xfId="0" applyFont="1"/>
    <xf numFmtId="0" fontId="3" fillId="447" borderId="623" xfId="0" applyFont="1" applyFill="1" applyBorder="1" applyAlignment="1">
      <alignment horizontal="left"/>
    </xf>
    <xf numFmtId="0" fontId="3" fillId="0" borderId="624" xfId="0" applyFont="1" applyBorder="1" applyAlignment="1">
      <alignment horizontal="center"/>
    </xf>
    <xf numFmtId="166" fontId="3" fillId="448" borderId="625" xfId="0" applyNumberFormat="1" applyFont="1" applyFill="1" applyBorder="1" applyAlignment="1">
      <alignment horizontal="center"/>
    </xf>
    <xf numFmtId="0" fontId="3" fillId="449" borderId="626" xfId="0" applyFont="1" applyFill="1" applyBorder="1" applyAlignment="1">
      <alignment horizontal="center"/>
    </xf>
    <xf numFmtId="0" fontId="3" fillId="450" borderId="627" xfId="0" applyFont="1" applyFill="1" applyBorder="1" applyAlignment="1">
      <alignment horizontal="center"/>
    </xf>
    <xf numFmtId="164" fontId="3" fillId="451" borderId="628" xfId="0" applyNumberFormat="1" applyFont="1" applyFill="1" applyBorder="1"/>
    <xf numFmtId="167" fontId="3" fillId="0" borderId="629" xfId="0" applyNumberFormat="1" applyFont="1" applyBorder="1" applyAlignment="1">
      <alignment horizontal="left"/>
    </xf>
    <xf numFmtId="166" fontId="3" fillId="452" borderId="630" xfId="0" applyNumberFormat="1" applyFont="1" applyFill="1" applyBorder="1"/>
    <xf numFmtId="0" fontId="3" fillId="0" borderId="0" xfId="0" applyFont="1" applyAlignment="1">
      <alignment horizontal="center" vertical="center" wrapText="1"/>
    </xf>
    <xf numFmtId="0" fontId="3" fillId="0" borderId="0" xfId="0" applyFont="1" applyAlignment="1">
      <alignment horizontal="center"/>
    </xf>
    <xf numFmtId="37" fontId="3" fillId="453" borderId="631" xfId="0" applyNumberFormat="1" applyFont="1" applyFill="1" applyBorder="1"/>
    <xf numFmtId="164" fontId="3" fillId="454" borderId="632" xfId="0" applyNumberFormat="1" applyFont="1" applyFill="1" applyBorder="1"/>
    <xf numFmtId="0" fontId="3" fillId="455" borderId="633" xfId="0" applyFont="1" applyFill="1" applyBorder="1" applyAlignment="1">
      <alignment wrapText="1"/>
    </xf>
    <xf numFmtId="0" fontId="3" fillId="456" borderId="634" xfId="0" applyFont="1" applyFill="1" applyBorder="1"/>
    <xf numFmtId="9" fontId="3" fillId="457" borderId="635" xfId="0" applyNumberFormat="1" applyFont="1" applyFill="1" applyBorder="1" applyAlignment="1">
      <alignment horizontal="right"/>
    </xf>
    <xf numFmtId="167" fontId="3" fillId="0" borderId="636" xfId="0" applyNumberFormat="1" applyFont="1" applyBorder="1"/>
    <xf numFmtId="167" fontId="3" fillId="458" borderId="637" xfId="0" applyNumberFormat="1" applyFont="1" applyFill="1" applyBorder="1" applyAlignment="1">
      <alignment horizontal="center" wrapText="1"/>
    </xf>
    <xf numFmtId="164" fontId="3" fillId="459" borderId="638" xfId="0" applyNumberFormat="1" applyFont="1" applyFill="1" applyBorder="1" applyAlignment="1">
      <alignment horizontal="center"/>
    </xf>
    <xf numFmtId="0" fontId="3" fillId="460" borderId="639" xfId="0" applyFont="1" applyFill="1" applyBorder="1"/>
    <xf numFmtId="0" fontId="3" fillId="461" borderId="640" xfId="0" applyFont="1" applyFill="1" applyBorder="1" applyAlignment="1">
      <alignment horizontal="left"/>
    </xf>
    <xf numFmtId="167" fontId="3" fillId="462" borderId="641" xfId="0" applyNumberFormat="1" applyFont="1" applyFill="1" applyBorder="1" applyAlignment="1">
      <alignment horizontal="center"/>
    </xf>
    <xf numFmtId="0" fontId="3" fillId="0" borderId="642" xfId="0" applyFont="1" applyBorder="1"/>
    <xf numFmtId="0" fontId="3" fillId="463" borderId="643" xfId="0" applyFont="1" applyFill="1" applyBorder="1" applyAlignment="1">
      <alignment horizontal="left"/>
    </xf>
    <xf numFmtId="164" fontId="3" fillId="464" borderId="644" xfId="0" applyNumberFormat="1" applyFont="1" applyFill="1" applyBorder="1"/>
    <xf numFmtId="0" fontId="3" fillId="0" borderId="645" xfId="0" applyFont="1" applyBorder="1"/>
    <xf numFmtId="166" fontId="3" fillId="465" borderId="646" xfId="0" applyNumberFormat="1" applyFont="1" applyFill="1" applyBorder="1" applyAlignment="1">
      <alignment horizontal="center"/>
    </xf>
    <xf numFmtId="164" fontId="3" fillId="466" borderId="647" xfId="0" applyNumberFormat="1" applyFont="1" applyFill="1" applyBorder="1"/>
    <xf numFmtId="168" fontId="3" fillId="0" borderId="649" xfId="0" applyNumberFormat="1" applyFont="1" applyBorder="1"/>
    <xf numFmtId="0" fontId="3" fillId="468" borderId="650" xfId="0" applyFont="1" applyFill="1" applyBorder="1"/>
    <xf numFmtId="0" fontId="3" fillId="469" borderId="651" xfId="0" applyFont="1" applyFill="1" applyBorder="1" applyAlignment="1">
      <alignment horizontal="left" vertical="top"/>
    </xf>
    <xf numFmtId="164" fontId="3" fillId="470" borderId="652" xfId="0" applyNumberFormat="1" applyFont="1" applyFill="1" applyBorder="1"/>
    <xf numFmtId="0" fontId="3" fillId="0" borderId="653" xfId="0" applyFont="1" applyBorder="1"/>
    <xf numFmtId="0" fontId="3" fillId="0" borderId="654" xfId="0" applyFont="1" applyBorder="1" applyAlignment="1">
      <alignment vertical="top" wrapText="1"/>
    </xf>
    <xf numFmtId="0" fontId="3" fillId="0" borderId="655" xfId="0" applyFont="1" applyBorder="1"/>
    <xf numFmtId="0" fontId="3" fillId="471" borderId="656" xfId="0" applyFont="1" applyFill="1" applyBorder="1" applyAlignment="1">
      <alignment horizontal="left" vertical="top"/>
    </xf>
    <xf numFmtId="0" fontId="3" fillId="0" borderId="657" xfId="0" applyFont="1" applyBorder="1" applyAlignment="1">
      <alignment wrapText="1"/>
    </xf>
    <xf numFmtId="0" fontId="3" fillId="472" borderId="658" xfId="0" applyFont="1" applyFill="1" applyBorder="1"/>
    <xf numFmtId="0" fontId="3" fillId="473" borderId="659" xfId="0" applyFont="1" applyFill="1" applyBorder="1" applyAlignment="1">
      <alignment horizontal="left"/>
    </xf>
    <xf numFmtId="0" fontId="3" fillId="474" borderId="660" xfId="0" applyFont="1" applyFill="1" applyBorder="1" applyAlignment="1">
      <alignment horizontal="left"/>
    </xf>
    <xf numFmtId="0" fontId="3" fillId="0" borderId="662" xfId="0" applyFont="1" applyBorder="1" applyAlignment="1">
      <alignment horizontal="left"/>
    </xf>
    <xf numFmtId="0" fontId="3" fillId="476" borderId="663" xfId="0" applyFont="1" applyFill="1" applyBorder="1"/>
    <xf numFmtId="0" fontId="3" fillId="0" borderId="664" xfId="0" applyFont="1" applyBorder="1" applyAlignment="1">
      <alignment wrapText="1"/>
    </xf>
    <xf numFmtId="0" fontId="3" fillId="0" borderId="665" xfId="0" applyFont="1" applyBorder="1"/>
    <xf numFmtId="165" fontId="3" fillId="477" borderId="666" xfId="0" applyNumberFormat="1" applyFont="1" applyFill="1" applyBorder="1"/>
    <xf numFmtId="166" fontId="3" fillId="478" borderId="667" xfId="0" applyNumberFormat="1" applyFont="1" applyFill="1" applyBorder="1" applyAlignment="1">
      <alignment horizontal="right"/>
    </xf>
    <xf numFmtId="0" fontId="3" fillId="479" borderId="668" xfId="0" applyFont="1" applyFill="1" applyBorder="1"/>
    <xf numFmtId="0" fontId="3" fillId="0" borderId="0" xfId="0" applyFont="1"/>
    <xf numFmtId="167" fontId="3" fillId="480" borderId="669" xfId="0" applyNumberFormat="1" applyFont="1" applyFill="1" applyBorder="1" applyAlignment="1">
      <alignment horizontal="center" wrapText="1"/>
    </xf>
    <xf numFmtId="0" fontId="3" fillId="481" borderId="670" xfId="0" applyFont="1" applyFill="1" applyBorder="1"/>
    <xf numFmtId="167" fontId="3" fillId="0" borderId="671" xfId="0" applyNumberFormat="1" applyFont="1" applyBorder="1" applyAlignment="1">
      <alignment horizontal="left"/>
    </xf>
    <xf numFmtId="0" fontId="3" fillId="0" borderId="672" xfId="0" applyFont="1" applyBorder="1" applyAlignment="1">
      <alignment wrapText="1"/>
    </xf>
    <xf numFmtId="167" fontId="3" fillId="0" borderId="673" xfId="0" applyNumberFormat="1" applyFont="1" applyBorder="1"/>
    <xf numFmtId="166" fontId="3" fillId="0" borderId="675" xfId="0" applyNumberFormat="1" applyFont="1" applyBorder="1" applyAlignment="1">
      <alignment horizontal="left"/>
    </xf>
    <xf numFmtId="0" fontId="3" fillId="483" borderId="676" xfId="0" applyFont="1" applyFill="1" applyBorder="1" applyAlignment="1">
      <alignment horizontal="center"/>
    </xf>
    <xf numFmtId="167" fontId="3" fillId="0" borderId="0" xfId="0" applyNumberFormat="1" applyFont="1"/>
    <xf numFmtId="167" fontId="3" fillId="484" borderId="677" xfId="0" applyNumberFormat="1" applyFont="1" applyFill="1" applyBorder="1" applyAlignment="1">
      <alignment horizontal="right"/>
    </xf>
    <xf numFmtId="167" fontId="3" fillId="0" borderId="678" xfId="0" applyNumberFormat="1" applyFont="1" applyBorder="1"/>
    <xf numFmtId="166" fontId="3" fillId="0" borderId="679" xfId="0" applyNumberFormat="1" applyFont="1" applyBorder="1" applyAlignment="1">
      <alignment horizontal="center"/>
    </xf>
    <xf numFmtId="166" fontId="3" fillId="485" borderId="680" xfId="0" applyNumberFormat="1" applyFont="1" applyFill="1" applyBorder="1" applyAlignment="1">
      <alignment horizontal="center"/>
    </xf>
    <xf numFmtId="166" fontId="3" fillId="0" borderId="0" xfId="0" applyNumberFormat="1" applyFont="1"/>
    <xf numFmtId="0" fontId="3" fillId="0" borderId="681" xfId="0" applyFont="1" applyBorder="1"/>
    <xf numFmtId="164" fontId="3" fillId="486" borderId="0" xfId="0" applyNumberFormat="1" applyFont="1" applyFill="1"/>
    <xf numFmtId="164" fontId="3" fillId="487" borderId="682" xfId="0" applyNumberFormat="1" applyFont="1" applyFill="1" applyBorder="1"/>
    <xf numFmtId="0" fontId="3" fillId="488" borderId="683" xfId="0" applyFont="1" applyFill="1" applyBorder="1" applyAlignment="1">
      <alignment horizontal="center" wrapText="1"/>
    </xf>
    <xf numFmtId="166" fontId="3" fillId="489" borderId="684" xfId="0" applyNumberFormat="1" applyFont="1" applyFill="1" applyBorder="1"/>
    <xf numFmtId="0" fontId="3" fillId="0" borderId="685" xfId="0" applyFont="1" applyBorder="1"/>
    <xf numFmtId="167" fontId="3" fillId="490" borderId="686" xfId="0" applyNumberFormat="1" applyFont="1" applyFill="1" applyBorder="1"/>
    <xf numFmtId="166" fontId="3" fillId="491" borderId="687" xfId="0" applyNumberFormat="1" applyFont="1" applyFill="1" applyBorder="1"/>
    <xf numFmtId="167" fontId="3" fillId="0" borderId="688" xfId="0" applyNumberFormat="1" applyFont="1" applyBorder="1" applyAlignment="1">
      <alignment horizontal="left"/>
    </xf>
    <xf numFmtId="0" fontId="3" fillId="492" borderId="689" xfId="0" applyFont="1" applyFill="1" applyBorder="1"/>
    <xf numFmtId="2" fontId="3" fillId="493" borderId="690" xfId="0" applyNumberFormat="1" applyFont="1" applyFill="1" applyBorder="1"/>
    <xf numFmtId="0" fontId="3" fillId="494" borderId="691" xfId="0" applyFont="1" applyFill="1" applyBorder="1" applyAlignment="1">
      <alignment wrapText="1"/>
    </xf>
    <xf numFmtId="174" fontId="3" fillId="495" borderId="692" xfId="0" applyNumberFormat="1" applyFont="1" applyFill="1" applyBorder="1"/>
    <xf numFmtId="164" fontId="3" fillId="496" borderId="693" xfId="0" applyNumberFormat="1" applyFont="1" applyFill="1" applyBorder="1"/>
    <xf numFmtId="0" fontId="3" fillId="497" borderId="694" xfId="0" applyFont="1" applyFill="1" applyBorder="1" applyAlignment="1">
      <alignment horizontal="center"/>
    </xf>
    <xf numFmtId="0" fontId="3" fillId="498" borderId="695" xfId="0" applyFont="1" applyFill="1" applyBorder="1" applyAlignment="1">
      <alignment horizontal="center"/>
    </xf>
    <xf numFmtId="0" fontId="3" fillId="0" borderId="696" xfId="0" applyFont="1" applyBorder="1"/>
    <xf numFmtId="0" fontId="3" fillId="499" borderId="697" xfId="0" applyFont="1" applyFill="1" applyBorder="1"/>
    <xf numFmtId="166" fontId="3" fillId="500" borderId="698" xfId="0" applyNumberFormat="1" applyFont="1" applyFill="1" applyBorder="1" applyAlignment="1">
      <alignment horizontal="center"/>
    </xf>
    <xf numFmtId="164" fontId="3" fillId="501" borderId="699" xfId="0" applyNumberFormat="1" applyFont="1" applyFill="1" applyBorder="1"/>
    <xf numFmtId="0" fontId="3" fillId="0" borderId="700" xfId="0" applyFont="1" applyBorder="1" applyAlignment="1">
      <alignment horizontal="center"/>
    </xf>
    <xf numFmtId="0" fontId="3" fillId="0" borderId="701" xfId="0" applyFont="1" applyBorder="1"/>
    <xf numFmtId="0" fontId="3" fillId="0" borderId="702" xfId="0" applyFont="1" applyBorder="1" applyAlignment="1">
      <alignment wrapText="1"/>
    </xf>
    <xf numFmtId="0" fontId="3" fillId="0" borderId="703" xfId="0" applyFont="1" applyBorder="1" applyAlignment="1">
      <alignment vertical="top" wrapText="1"/>
    </xf>
    <xf numFmtId="166" fontId="3" fillId="0" borderId="704" xfId="0" applyNumberFormat="1" applyFont="1" applyBorder="1" applyAlignment="1">
      <alignment horizontal="center"/>
    </xf>
    <xf numFmtId="37" fontId="3" fillId="502" borderId="705" xfId="0" applyNumberFormat="1" applyFont="1" applyFill="1" applyBorder="1" applyAlignment="1">
      <alignment horizontal="right"/>
    </xf>
    <xf numFmtId="0" fontId="3" fillId="503" borderId="706" xfId="0" applyFont="1" applyFill="1" applyBorder="1" applyAlignment="1">
      <alignment horizontal="center"/>
    </xf>
    <xf numFmtId="0" fontId="3" fillId="0" borderId="707" xfId="0" applyFont="1" applyBorder="1" applyAlignment="1">
      <alignment horizontal="center"/>
    </xf>
    <xf numFmtId="37" fontId="3" fillId="504" borderId="708" xfId="0" applyNumberFormat="1" applyFont="1" applyFill="1" applyBorder="1" applyAlignment="1">
      <alignment horizontal="center"/>
    </xf>
    <xf numFmtId="0" fontId="3" fillId="0" borderId="709" xfId="0" applyFont="1" applyBorder="1"/>
    <xf numFmtId="0" fontId="3" fillId="506" borderId="0" xfId="0" applyFont="1" applyFill="1"/>
    <xf numFmtId="0" fontId="3" fillId="0" borderId="711" xfId="0" applyFont="1" applyBorder="1" applyAlignment="1">
      <alignment horizontal="left"/>
    </xf>
    <xf numFmtId="166" fontId="3" fillId="507" borderId="712" xfId="0" applyNumberFormat="1" applyFont="1" applyFill="1" applyBorder="1"/>
    <xf numFmtId="167" fontId="3" fillId="0" borderId="713" xfId="0" applyNumberFormat="1" applyFont="1" applyBorder="1" applyAlignment="1">
      <alignment horizontal="right"/>
    </xf>
    <xf numFmtId="167" fontId="3" fillId="0" borderId="714" xfId="0" applyNumberFormat="1" applyFont="1" applyBorder="1" applyAlignment="1">
      <alignment horizontal="right"/>
    </xf>
    <xf numFmtId="0" fontId="3" fillId="0" borderId="716" xfId="0" applyFont="1" applyBorder="1"/>
    <xf numFmtId="0" fontId="3" fillId="509" borderId="717" xfId="0" applyFont="1" applyFill="1" applyBorder="1" applyAlignment="1">
      <alignment horizontal="right"/>
    </xf>
    <xf numFmtId="171" fontId="3" fillId="510" borderId="718" xfId="0" applyNumberFormat="1" applyFont="1" applyFill="1" applyBorder="1"/>
    <xf numFmtId="167" fontId="3" fillId="511" borderId="0" xfId="0" applyNumberFormat="1" applyFont="1" applyFill="1" applyAlignment="1">
      <alignment horizontal="right"/>
    </xf>
    <xf numFmtId="0" fontId="3" fillId="512" borderId="719" xfId="0" applyFont="1" applyFill="1" applyBorder="1" applyAlignment="1">
      <alignment horizontal="right"/>
    </xf>
    <xf numFmtId="0" fontId="3" fillId="0" borderId="720" xfId="0" applyFont="1" applyBorder="1" applyAlignment="1">
      <alignment horizontal="center"/>
    </xf>
    <xf numFmtId="166" fontId="3" fillId="0" borderId="721" xfId="0" applyNumberFormat="1" applyFont="1" applyBorder="1" applyAlignment="1">
      <alignment horizontal="right"/>
    </xf>
    <xf numFmtId="166" fontId="3" fillId="0" borderId="722" xfId="0" applyNumberFormat="1" applyFont="1" applyBorder="1"/>
    <xf numFmtId="167" fontId="3" fillId="0" borderId="723" xfId="0" applyNumberFormat="1" applyFont="1" applyBorder="1" applyAlignment="1">
      <alignment horizontal="left"/>
    </xf>
    <xf numFmtId="37" fontId="3" fillId="513" borderId="724" xfId="0" applyNumberFormat="1" applyFont="1" applyFill="1" applyBorder="1" applyAlignment="1">
      <alignment horizontal="center"/>
    </xf>
    <xf numFmtId="0" fontId="3" fillId="514" borderId="725" xfId="0" applyFont="1" applyFill="1" applyBorder="1"/>
    <xf numFmtId="0" fontId="3" fillId="0" borderId="726" xfId="0" applyFont="1" applyBorder="1" applyAlignment="1">
      <alignment horizontal="center"/>
    </xf>
    <xf numFmtId="0" fontId="3" fillId="515" borderId="727" xfId="0" applyFont="1" applyFill="1" applyBorder="1" applyAlignment="1">
      <alignment horizontal="center"/>
    </xf>
    <xf numFmtId="166" fontId="3" fillId="0" borderId="728" xfId="0" applyNumberFormat="1" applyFont="1" applyBorder="1"/>
    <xf numFmtId="164" fontId="3" fillId="516" borderId="729" xfId="0" applyNumberFormat="1" applyFont="1" applyFill="1" applyBorder="1"/>
    <xf numFmtId="169" fontId="3" fillId="0" borderId="0" xfId="0" applyNumberFormat="1" applyFont="1" applyAlignment="1">
      <alignment horizontal="left"/>
    </xf>
    <xf numFmtId="164" fontId="3" fillId="517" borderId="730" xfId="0" applyNumberFormat="1" applyFont="1" applyFill="1" applyBorder="1" applyAlignment="1">
      <alignment horizontal="center"/>
    </xf>
    <xf numFmtId="0" fontId="3" fillId="518" borderId="731" xfId="0" applyFont="1" applyFill="1" applyBorder="1" applyAlignment="1">
      <alignment horizontal="center"/>
    </xf>
    <xf numFmtId="167" fontId="3" fillId="519" borderId="732" xfId="0" applyNumberFormat="1" applyFont="1" applyFill="1" applyBorder="1" applyAlignment="1">
      <alignment horizontal="center" wrapText="1"/>
    </xf>
    <xf numFmtId="0" fontId="3" fillId="0" borderId="733" xfId="0" applyFont="1" applyBorder="1"/>
    <xf numFmtId="166" fontId="3" fillId="520" borderId="734" xfId="0" applyNumberFormat="1" applyFont="1" applyFill="1" applyBorder="1" applyAlignment="1">
      <alignment horizontal="center"/>
    </xf>
    <xf numFmtId="0" fontId="3" fillId="0" borderId="737" xfId="0" applyFont="1" applyBorder="1"/>
    <xf numFmtId="0" fontId="3" fillId="523" borderId="738" xfId="0" applyFont="1" applyFill="1" applyBorder="1" applyAlignment="1">
      <alignment horizontal="center"/>
    </xf>
    <xf numFmtId="0" fontId="3" fillId="524" borderId="739" xfId="0" applyFont="1" applyFill="1" applyBorder="1" applyAlignment="1">
      <alignment horizontal="center"/>
    </xf>
    <xf numFmtId="0" fontId="3" fillId="525" borderId="740" xfId="0" applyFont="1" applyFill="1" applyBorder="1" applyAlignment="1">
      <alignment horizontal="center"/>
    </xf>
    <xf numFmtId="0" fontId="3" fillId="526" borderId="741" xfId="0" applyFont="1" applyFill="1" applyBorder="1" applyAlignment="1">
      <alignment wrapText="1"/>
    </xf>
    <xf numFmtId="166" fontId="3" fillId="527" borderId="742" xfId="0" applyNumberFormat="1" applyFont="1" applyFill="1" applyBorder="1"/>
    <xf numFmtId="0" fontId="3" fillId="528" borderId="743" xfId="0" applyFont="1" applyFill="1" applyBorder="1" applyAlignment="1">
      <alignment horizontal="center"/>
    </xf>
    <xf numFmtId="9" fontId="3" fillId="530" borderId="745" xfId="0" applyNumberFormat="1" applyFont="1" applyFill="1" applyBorder="1" applyAlignment="1">
      <alignment horizontal="right"/>
    </xf>
    <xf numFmtId="166" fontId="3" fillId="0" borderId="746" xfId="0" applyNumberFormat="1" applyFont="1" applyBorder="1" applyAlignment="1">
      <alignment horizontal="center"/>
    </xf>
    <xf numFmtId="0" fontId="3" fillId="531" borderId="747" xfId="0" applyFont="1" applyFill="1" applyBorder="1" applyAlignment="1">
      <alignment horizontal="center"/>
    </xf>
    <xf numFmtId="0" fontId="3" fillId="532" borderId="748" xfId="0" applyFont="1" applyFill="1" applyBorder="1" applyAlignment="1">
      <alignment horizontal="center" wrapText="1"/>
    </xf>
    <xf numFmtId="37" fontId="3" fillId="533" borderId="749" xfId="0" applyNumberFormat="1" applyFont="1" applyFill="1" applyBorder="1" applyAlignment="1">
      <alignment horizontal="center"/>
    </xf>
    <xf numFmtId="0" fontId="3" fillId="0" borderId="750" xfId="0" applyFont="1" applyBorder="1"/>
    <xf numFmtId="166" fontId="3" fillId="534" borderId="751" xfId="0" applyNumberFormat="1" applyFont="1" applyFill="1" applyBorder="1"/>
    <xf numFmtId="166" fontId="3" fillId="0" borderId="752" xfId="0" applyNumberFormat="1" applyFont="1" applyBorder="1"/>
    <xf numFmtId="0" fontId="3" fillId="536" borderId="754" xfId="0" applyFont="1" applyFill="1" applyBorder="1"/>
    <xf numFmtId="167" fontId="3" fillId="0" borderId="756" xfId="0" applyNumberFormat="1" applyFont="1" applyBorder="1" applyAlignment="1">
      <alignment horizontal="left"/>
    </xf>
    <xf numFmtId="167" fontId="3" fillId="538" borderId="0" xfId="0" applyNumberFormat="1" applyFont="1" applyFill="1"/>
    <xf numFmtId="0" fontId="3" fillId="539" borderId="757" xfId="0" applyFont="1" applyFill="1" applyBorder="1" applyAlignment="1">
      <alignment horizontal="left" wrapText="1" readingOrder="1"/>
    </xf>
    <xf numFmtId="166" fontId="3" fillId="0" borderId="0" xfId="0" applyNumberFormat="1" applyFont="1" applyAlignment="1">
      <alignment wrapText="1"/>
    </xf>
    <xf numFmtId="166" fontId="3" fillId="540" borderId="0" xfId="0" applyNumberFormat="1" applyFont="1" applyFill="1" applyAlignment="1">
      <alignment horizontal="center"/>
    </xf>
    <xf numFmtId="0" fontId="3" fillId="541" borderId="758" xfId="0" applyFont="1" applyFill="1" applyBorder="1" applyAlignment="1">
      <alignment horizontal="left"/>
    </xf>
    <xf numFmtId="0" fontId="3" fillId="542" borderId="759" xfId="0" applyFont="1" applyFill="1" applyBorder="1" applyAlignment="1">
      <alignment vertical="top" wrapText="1"/>
    </xf>
    <xf numFmtId="0" fontId="3" fillId="543" borderId="760" xfId="0" applyFont="1" applyFill="1" applyBorder="1"/>
    <xf numFmtId="167" fontId="3" fillId="544" borderId="761" xfId="0" applyNumberFormat="1" applyFont="1" applyFill="1" applyBorder="1"/>
    <xf numFmtId="0" fontId="3" fillId="545" borderId="762" xfId="0" applyFont="1" applyFill="1" applyBorder="1" applyAlignment="1">
      <alignment horizontal="center"/>
    </xf>
    <xf numFmtId="167" fontId="3" fillId="546" borderId="763" xfId="0" applyNumberFormat="1" applyFont="1" applyFill="1" applyBorder="1"/>
    <xf numFmtId="0" fontId="3" fillId="547" borderId="764" xfId="0" applyFont="1" applyFill="1" applyBorder="1" applyAlignment="1">
      <alignment horizontal="center"/>
    </xf>
    <xf numFmtId="0" fontId="3" fillId="548" borderId="0" xfId="0" applyFont="1" applyFill="1" applyAlignment="1">
      <alignment horizontal="center"/>
    </xf>
    <xf numFmtId="0" fontId="3" fillId="0" borderId="765" xfId="0" applyFont="1" applyBorder="1" applyAlignment="1">
      <alignment horizontal="left"/>
    </xf>
    <xf numFmtId="0" fontId="3" fillId="0" borderId="766" xfId="0" applyFont="1" applyBorder="1"/>
    <xf numFmtId="0" fontId="3" fillId="549" borderId="767" xfId="0" applyFont="1" applyFill="1" applyBorder="1" applyAlignment="1">
      <alignment wrapText="1"/>
    </xf>
    <xf numFmtId="0" fontId="3" fillId="550" borderId="768" xfId="0" applyFont="1" applyFill="1" applyBorder="1"/>
    <xf numFmtId="37" fontId="3" fillId="0" borderId="769" xfId="0" applyNumberFormat="1" applyFont="1" applyBorder="1" applyAlignment="1">
      <alignment horizontal="center"/>
    </xf>
    <xf numFmtId="0" fontId="3" fillId="0" borderId="770" xfId="0" applyFont="1" applyBorder="1" applyAlignment="1">
      <alignment horizontal="center"/>
    </xf>
    <xf numFmtId="0" fontId="3" fillId="551" borderId="771" xfId="0" applyFont="1" applyFill="1" applyBorder="1" applyAlignment="1">
      <alignment horizontal="center"/>
    </xf>
    <xf numFmtId="167" fontId="3" fillId="553" borderId="773" xfId="0" applyNumberFormat="1" applyFont="1" applyFill="1" applyBorder="1"/>
    <xf numFmtId="0" fontId="3" fillId="554" borderId="774" xfId="0" applyFont="1" applyFill="1" applyBorder="1" applyAlignment="1">
      <alignment horizontal="center"/>
    </xf>
    <xf numFmtId="166" fontId="3" fillId="555" borderId="775" xfId="0" applyNumberFormat="1" applyFont="1" applyFill="1" applyBorder="1"/>
    <xf numFmtId="0" fontId="3" fillId="0" borderId="776" xfId="0" applyFont="1" applyBorder="1" applyAlignment="1">
      <alignment horizontal="left"/>
    </xf>
    <xf numFmtId="167" fontId="3" fillId="557" borderId="778" xfId="0" applyNumberFormat="1" applyFont="1" applyFill="1" applyBorder="1"/>
    <xf numFmtId="168" fontId="3" fillId="559" borderId="780" xfId="0" applyNumberFormat="1" applyFont="1" applyFill="1" applyBorder="1"/>
    <xf numFmtId="0" fontId="3" fillId="560" borderId="781" xfId="0" applyFont="1" applyFill="1" applyBorder="1"/>
    <xf numFmtId="172" fontId="3" fillId="561" borderId="782" xfId="0" applyNumberFormat="1" applyFont="1" applyFill="1" applyBorder="1" applyAlignment="1">
      <alignment horizontal="right"/>
    </xf>
    <xf numFmtId="0" fontId="3" fillId="0" borderId="783" xfId="0" applyFont="1" applyBorder="1"/>
    <xf numFmtId="0" fontId="3" fillId="562" borderId="784" xfId="0" applyFont="1" applyFill="1" applyBorder="1" applyAlignment="1">
      <alignment horizontal="center"/>
    </xf>
    <xf numFmtId="168" fontId="3" fillId="0" borderId="785" xfId="0" applyNumberFormat="1" applyFont="1" applyBorder="1" applyAlignment="1">
      <alignment horizontal="center"/>
    </xf>
    <xf numFmtId="0" fontId="3" fillId="563" borderId="786" xfId="0" applyFont="1" applyFill="1" applyBorder="1" applyAlignment="1">
      <alignment horizontal="center" wrapText="1"/>
    </xf>
    <xf numFmtId="167" fontId="3" fillId="565" borderId="788" xfId="0" applyNumberFormat="1" applyFont="1" applyFill="1" applyBorder="1" applyAlignment="1">
      <alignment wrapText="1"/>
    </xf>
    <xf numFmtId="167" fontId="3" fillId="0" borderId="789" xfId="0" applyNumberFormat="1" applyFont="1" applyBorder="1" applyAlignment="1">
      <alignment horizontal="right"/>
    </xf>
    <xf numFmtId="167" fontId="3" fillId="0" borderId="790" xfId="0" applyNumberFormat="1" applyFont="1" applyBorder="1"/>
    <xf numFmtId="0" fontId="3" fillId="566" borderId="791" xfId="0" applyFont="1" applyFill="1" applyBorder="1" applyAlignment="1">
      <alignment wrapText="1"/>
    </xf>
    <xf numFmtId="167" fontId="3" fillId="0" borderId="792" xfId="0" applyNumberFormat="1" applyFont="1" applyBorder="1"/>
    <xf numFmtId="166" fontId="3" fillId="567" borderId="793" xfId="0" applyNumberFormat="1" applyFont="1" applyFill="1" applyBorder="1"/>
    <xf numFmtId="167" fontId="3" fillId="0" borderId="795" xfId="0" applyNumberFormat="1" applyFont="1" applyBorder="1" applyAlignment="1">
      <alignment horizontal="left"/>
    </xf>
    <xf numFmtId="167" fontId="3" fillId="0" borderId="796" xfId="0" applyNumberFormat="1" applyFont="1" applyBorder="1" applyAlignment="1">
      <alignment horizontal="left"/>
    </xf>
    <xf numFmtId="0" fontId="3" fillId="569" borderId="797" xfId="0" applyFont="1" applyFill="1" applyBorder="1" applyAlignment="1">
      <alignment horizontal="left"/>
    </xf>
    <xf numFmtId="164" fontId="3" fillId="570" borderId="798" xfId="0" applyNumberFormat="1" applyFont="1" applyFill="1" applyBorder="1"/>
    <xf numFmtId="167" fontId="3" fillId="0" borderId="0" xfId="0" applyNumberFormat="1" applyFont="1" applyAlignment="1">
      <alignment horizontal="center"/>
    </xf>
    <xf numFmtId="0" fontId="3" fillId="0" borderId="799" xfId="0" applyFont="1" applyBorder="1"/>
    <xf numFmtId="0" fontId="3" fillId="571" borderId="800" xfId="0" applyFont="1" applyFill="1" applyBorder="1"/>
    <xf numFmtId="49" fontId="3" fillId="0" borderId="801" xfId="0" applyNumberFormat="1" applyFont="1" applyBorder="1" applyAlignment="1">
      <alignment horizontal="left" vertical="top" wrapText="1"/>
    </xf>
    <xf numFmtId="0" fontId="3" fillId="572" borderId="802" xfId="0" applyFont="1" applyFill="1" applyBorder="1" applyAlignment="1">
      <alignment horizontal="center"/>
    </xf>
    <xf numFmtId="0" fontId="3" fillId="0" borderId="803" xfId="0" applyFont="1" applyBorder="1" applyAlignment="1">
      <alignment horizontal="left"/>
    </xf>
    <xf numFmtId="0" fontId="3" fillId="0" borderId="804" xfId="0" applyFont="1" applyBorder="1" applyAlignment="1">
      <alignment wrapText="1"/>
    </xf>
    <xf numFmtId="167" fontId="3" fillId="573" borderId="805" xfId="0" applyNumberFormat="1" applyFont="1" applyFill="1" applyBorder="1"/>
    <xf numFmtId="0" fontId="3" fillId="0" borderId="806" xfId="0" applyFont="1" applyBorder="1" applyAlignment="1">
      <alignment horizontal="center"/>
    </xf>
    <xf numFmtId="2" fontId="3" fillId="0" borderId="0" xfId="0" applyNumberFormat="1" applyFont="1"/>
    <xf numFmtId="10" fontId="3" fillId="0" borderId="807" xfId="0" applyNumberFormat="1" applyFont="1" applyBorder="1" applyAlignment="1">
      <alignment horizontal="center"/>
    </xf>
    <xf numFmtId="0" fontId="3" fillId="576" borderId="810" xfId="0" applyFont="1" applyFill="1" applyBorder="1" applyAlignment="1">
      <alignment horizontal="center" wrapText="1"/>
    </xf>
    <xf numFmtId="0" fontId="3" fillId="577" borderId="811" xfId="0" applyFont="1" applyFill="1" applyBorder="1" applyAlignment="1">
      <alignment horizontal="left"/>
    </xf>
    <xf numFmtId="37" fontId="3" fillId="0" borderId="812" xfId="0" applyNumberFormat="1" applyFont="1" applyBorder="1"/>
    <xf numFmtId="0" fontId="3" fillId="578" borderId="813" xfId="0" applyFont="1" applyFill="1" applyBorder="1" applyAlignment="1">
      <alignment horizontal="left"/>
    </xf>
    <xf numFmtId="165" fontId="3" fillId="0" borderId="815" xfId="0" applyNumberFormat="1" applyFont="1" applyBorder="1"/>
    <xf numFmtId="0" fontId="3" fillId="0" borderId="816" xfId="0" applyFont="1" applyBorder="1"/>
    <xf numFmtId="0" fontId="3" fillId="580" borderId="817" xfId="0" applyFont="1" applyFill="1" applyBorder="1" applyAlignment="1">
      <alignment wrapText="1"/>
    </xf>
    <xf numFmtId="0" fontId="3" fillId="0" borderId="818" xfId="0" applyFont="1" applyBorder="1"/>
    <xf numFmtId="0" fontId="3" fillId="582" borderId="820" xfId="0" applyFont="1" applyFill="1" applyBorder="1" applyAlignment="1">
      <alignment wrapText="1"/>
    </xf>
    <xf numFmtId="170" fontId="3" fillId="0" borderId="0" xfId="0" applyNumberFormat="1" applyFont="1" applyAlignment="1">
      <alignment horizontal="center"/>
    </xf>
    <xf numFmtId="0" fontId="3" fillId="0" borderId="0" xfId="0" applyFont="1" applyAlignment="1">
      <alignment horizontal="left"/>
    </xf>
    <xf numFmtId="167" fontId="3" fillId="583" borderId="821" xfId="0" applyNumberFormat="1" applyFont="1" applyFill="1" applyBorder="1" applyAlignment="1">
      <alignment horizontal="center"/>
    </xf>
    <xf numFmtId="0" fontId="3" fillId="584" borderId="822" xfId="0" applyFont="1" applyFill="1" applyBorder="1" applyAlignment="1">
      <alignment horizontal="left"/>
    </xf>
    <xf numFmtId="37" fontId="3" fillId="585" borderId="0" xfId="0" applyNumberFormat="1" applyFont="1" applyFill="1" applyAlignment="1">
      <alignment horizontal="center"/>
    </xf>
    <xf numFmtId="0" fontId="3" fillId="0" borderId="823" xfId="0" applyFont="1" applyBorder="1" applyAlignment="1">
      <alignment horizontal="center"/>
    </xf>
    <xf numFmtId="167" fontId="3" fillId="0" borderId="824" xfId="0" applyNumberFormat="1" applyFont="1" applyBorder="1" applyAlignment="1">
      <alignment horizontal="right"/>
    </xf>
    <xf numFmtId="0" fontId="3" fillId="586" borderId="825" xfId="0" applyFont="1" applyFill="1" applyBorder="1" applyAlignment="1">
      <alignment vertical="top"/>
    </xf>
    <xf numFmtId="0" fontId="3" fillId="0" borderId="827" xfId="0" applyFont="1" applyBorder="1" applyAlignment="1">
      <alignment vertical="top" wrapText="1"/>
    </xf>
    <xf numFmtId="172" fontId="3" fillId="0" borderId="0" xfId="0" applyNumberFormat="1" applyFont="1"/>
    <xf numFmtId="166" fontId="3" fillId="588" borderId="828" xfId="0" applyNumberFormat="1" applyFont="1" applyFill="1" applyBorder="1"/>
    <xf numFmtId="0" fontId="3" fillId="0" borderId="829" xfId="0" applyFont="1" applyBorder="1" applyAlignment="1">
      <alignment horizontal="left"/>
    </xf>
    <xf numFmtId="165" fontId="3" fillId="589" borderId="830" xfId="0" applyNumberFormat="1" applyFont="1" applyFill="1" applyBorder="1" applyAlignment="1">
      <alignment horizontal="center" wrapText="1"/>
    </xf>
    <xf numFmtId="0" fontId="3" fillId="590" borderId="831" xfId="0" applyFont="1" applyFill="1" applyBorder="1" applyAlignment="1">
      <alignment horizontal="center"/>
    </xf>
    <xf numFmtId="0" fontId="3" fillId="592" borderId="833" xfId="0" applyFont="1" applyFill="1" applyBorder="1" applyAlignment="1">
      <alignment horizontal="center" wrapText="1"/>
    </xf>
    <xf numFmtId="165" fontId="3" fillId="593" borderId="834" xfId="0" applyNumberFormat="1" applyFont="1" applyFill="1" applyBorder="1"/>
    <xf numFmtId="0" fontId="3" fillId="0" borderId="835" xfId="0" applyFont="1" applyBorder="1" applyAlignment="1">
      <alignment vertical="top" wrapText="1"/>
    </xf>
    <xf numFmtId="0" fontId="3" fillId="594" borderId="836" xfId="0" applyFont="1" applyFill="1" applyBorder="1" applyAlignment="1">
      <alignment horizontal="left"/>
    </xf>
    <xf numFmtId="0" fontId="3" fillId="0" borderId="837" xfId="0" applyFont="1" applyBorder="1" applyAlignment="1">
      <alignment wrapText="1"/>
    </xf>
    <xf numFmtId="0" fontId="3" fillId="0" borderId="0" xfId="0" applyFont="1"/>
    <xf numFmtId="37" fontId="3" fillId="595" borderId="838" xfId="0" applyNumberFormat="1" applyFont="1" applyFill="1" applyBorder="1" applyAlignment="1">
      <alignment horizontal="center"/>
    </xf>
    <xf numFmtId="165" fontId="3" fillId="596" borderId="839" xfId="0" applyNumberFormat="1" applyFont="1" applyFill="1" applyBorder="1" applyAlignment="1">
      <alignment horizontal="center" wrapText="1"/>
    </xf>
    <xf numFmtId="167" fontId="3" fillId="597" borderId="840" xfId="0" applyNumberFormat="1" applyFont="1" applyFill="1" applyBorder="1" applyAlignment="1">
      <alignment horizontal="right"/>
    </xf>
    <xf numFmtId="0" fontId="3" fillId="0" borderId="841" xfId="0" applyFont="1" applyBorder="1"/>
    <xf numFmtId="164" fontId="3" fillId="598" borderId="842" xfId="0" applyNumberFormat="1" applyFont="1" applyFill="1" applyBorder="1"/>
    <xf numFmtId="0" fontId="3" fillId="599" borderId="0" xfId="0" applyFont="1" applyFill="1"/>
    <xf numFmtId="0" fontId="3" fillId="600" borderId="843" xfId="0" applyFont="1" applyFill="1" applyBorder="1"/>
    <xf numFmtId="0" fontId="3" fillId="0" borderId="844" xfId="0" applyFont="1" applyBorder="1" applyAlignment="1">
      <alignment wrapText="1"/>
    </xf>
    <xf numFmtId="0" fontId="3" fillId="601" borderId="845" xfId="0" applyFont="1" applyFill="1" applyBorder="1" applyAlignment="1">
      <alignment horizontal="center"/>
    </xf>
    <xf numFmtId="0" fontId="3" fillId="602" borderId="846" xfId="0" applyFont="1" applyFill="1" applyBorder="1" applyAlignment="1">
      <alignment horizontal="left"/>
    </xf>
    <xf numFmtId="167" fontId="24" fillId="0" borderId="398" xfId="0" applyNumberFormat="1" applyFont="1" applyBorder="1" applyAlignment="1">
      <alignment horizontal="left"/>
    </xf>
    <xf numFmtId="0" fontId="24" fillId="0" borderId="136" xfId="0" applyFont="1" applyBorder="1" applyAlignment="1">
      <alignment horizontal="left" vertical="top"/>
    </xf>
    <xf numFmtId="0" fontId="24" fillId="0" borderId="62" xfId="0" applyFont="1" applyBorder="1" applyAlignment="1">
      <alignment horizontal="left" vertical="top"/>
    </xf>
    <xf numFmtId="0" fontId="122" fillId="505" borderId="710" xfId="0" applyFont="1" applyFill="1" applyBorder="1" applyAlignment="1">
      <alignment horizontal="left" wrapText="1"/>
    </xf>
    <xf numFmtId="0" fontId="24" fillId="0" borderId="472" xfId="0" applyFont="1" applyBorder="1" applyAlignment="1">
      <alignment horizontal="left"/>
    </xf>
    <xf numFmtId="167" fontId="3" fillId="603" borderId="678" xfId="0" applyNumberFormat="1" applyFont="1" applyFill="1" applyBorder="1"/>
    <xf numFmtId="167" fontId="289" fillId="603" borderId="265" xfId="0" applyNumberFormat="1" applyFont="1" applyFill="1" applyBorder="1" applyAlignment="1">
      <alignment horizontal="left"/>
    </xf>
    <xf numFmtId="167" fontId="449" fillId="603" borderId="409" xfId="0" applyNumberFormat="1" applyFont="1" applyFill="1" applyBorder="1" applyAlignment="1">
      <alignment horizontal="right"/>
    </xf>
    <xf numFmtId="0" fontId="3" fillId="603" borderId="489" xfId="0" applyFont="1" applyFill="1" applyBorder="1"/>
    <xf numFmtId="0" fontId="3" fillId="0" borderId="576" xfId="0" applyFont="1" applyBorder="1" applyAlignment="1">
      <alignment horizontal="center"/>
    </xf>
    <xf numFmtId="0" fontId="3" fillId="0" borderId="707" xfId="0" applyFont="1" applyBorder="1" applyAlignment="1">
      <alignment horizontal="center"/>
    </xf>
    <xf numFmtId="0" fontId="394" fillId="0" borderId="362" xfId="0" applyFont="1" applyBorder="1" applyAlignment="1">
      <alignment horizontal="center"/>
    </xf>
    <xf numFmtId="0" fontId="91" fillId="0" borderId="0" xfId="0" applyFont="1" applyAlignment="1">
      <alignment vertical="top" wrapText="1"/>
    </xf>
    <xf numFmtId="0" fontId="354" fillId="0" borderId="0" xfId="0" applyFont="1" applyAlignment="1">
      <alignment vertical="top" wrapText="1"/>
    </xf>
    <xf numFmtId="0" fontId="463" fillId="313" borderId="421" xfId="0" applyFont="1" applyFill="1" applyBorder="1" applyAlignment="1">
      <alignment horizontal="center"/>
    </xf>
    <xf numFmtId="0" fontId="450" fillId="305" borderId="410" xfId="0" applyFont="1" applyFill="1" applyBorder="1" applyAlignment="1">
      <alignment horizontal="center"/>
    </xf>
    <xf numFmtId="0" fontId="3" fillId="434" borderId="608" xfId="0" applyFont="1" applyFill="1" applyBorder="1" applyAlignment="1">
      <alignment horizontal="center"/>
    </xf>
    <xf numFmtId="0" fontId="358" fillId="244" borderId="328" xfId="0" applyFont="1" applyFill="1" applyBorder="1" applyAlignment="1">
      <alignment horizontal="left" wrapText="1"/>
    </xf>
    <xf numFmtId="0" fontId="3" fillId="587" borderId="826" xfId="0" applyFont="1" applyFill="1" applyBorder="1" applyAlignment="1">
      <alignment horizontal="left" wrapText="1"/>
    </xf>
    <xf numFmtId="0" fontId="3" fillId="591" borderId="832" xfId="0" applyFont="1" applyFill="1" applyBorder="1" applyAlignment="1">
      <alignment horizontal="center"/>
    </xf>
    <xf numFmtId="0" fontId="304" fillId="208" borderId="280" xfId="0" applyFont="1" applyFill="1" applyBorder="1"/>
    <xf numFmtId="0" fontId="121" fillId="81" borderId="111" xfId="0" applyFont="1" applyFill="1" applyBorder="1" applyAlignment="1">
      <alignment horizontal="center"/>
    </xf>
    <xf numFmtId="0" fontId="3" fillId="373" borderId="515" xfId="0" applyFont="1" applyFill="1" applyBorder="1" applyAlignment="1">
      <alignment horizontal="center"/>
    </xf>
    <xf numFmtId="0" fontId="3" fillId="467" borderId="648" xfId="0" applyFont="1" applyFill="1" applyBorder="1" applyAlignment="1">
      <alignment horizontal="center"/>
    </xf>
    <xf numFmtId="0" fontId="366" fillId="249" borderId="336" xfId="0" applyFont="1" applyFill="1" applyBorder="1" applyAlignment="1">
      <alignment horizontal="center"/>
    </xf>
    <xf numFmtId="0" fontId="45" fillId="37" borderId="43" xfId="0" applyFont="1" applyFill="1" applyBorder="1" applyAlignment="1">
      <alignment horizontal="center"/>
    </xf>
    <xf numFmtId="1" fontId="3" fillId="522" borderId="736" xfId="0" applyNumberFormat="1" applyFont="1" applyFill="1" applyBorder="1" applyAlignment="1">
      <alignment horizontal="center"/>
    </xf>
    <xf numFmtId="1" fontId="98" fillId="65" borderId="89" xfId="0" applyNumberFormat="1" applyFont="1" applyFill="1" applyBorder="1" applyAlignment="1">
      <alignment horizontal="center"/>
    </xf>
    <xf numFmtId="1" fontId="3" fillId="365" borderId="507" xfId="0" applyNumberFormat="1" applyFont="1" applyFill="1" applyBorder="1" applyAlignment="1">
      <alignment horizontal="center"/>
    </xf>
    <xf numFmtId="0" fontId="351" fillId="241" borderId="322" xfId="0" applyFont="1" applyFill="1" applyBorder="1" applyAlignment="1">
      <alignment horizontal="center" wrapText="1"/>
    </xf>
    <xf numFmtId="0" fontId="73" fillId="53" borderId="67" xfId="0" applyFont="1" applyFill="1" applyBorder="1" applyAlignment="1">
      <alignment horizontal="center" wrapText="1"/>
    </xf>
    <xf numFmtId="0" fontId="142" fillId="96" borderId="131" xfId="0" applyFont="1" applyFill="1" applyBorder="1" applyAlignment="1">
      <alignment horizontal="center" wrapText="1"/>
    </xf>
    <xf numFmtId="0" fontId="115" fillId="77" borderId="105" xfId="0" applyFont="1" applyFill="1" applyBorder="1" applyAlignment="1">
      <alignment horizontal="center"/>
    </xf>
    <xf numFmtId="0" fontId="153" fillId="102" borderId="140" xfId="0" applyFont="1" applyFill="1" applyBorder="1" applyAlignment="1">
      <alignment horizontal="center"/>
    </xf>
    <xf numFmtId="0" fontId="154" fillId="103" borderId="141" xfId="0" applyFont="1" applyFill="1" applyBorder="1" applyAlignment="1">
      <alignment horizontal="left" wrapText="1"/>
    </xf>
    <xf numFmtId="0" fontId="3" fillId="558" borderId="779" xfId="0" applyFont="1" applyFill="1" applyBorder="1" applyAlignment="1">
      <alignment horizontal="left" wrapText="1"/>
    </xf>
    <xf numFmtId="0" fontId="281" fillId="192" borderId="257" xfId="0" applyFont="1" applyFill="1" applyBorder="1" applyAlignment="1">
      <alignment horizontal="left" wrapText="1"/>
    </xf>
    <xf numFmtId="0" fontId="3" fillId="355" borderId="494" xfId="0" applyFont="1" applyFill="1" applyBorder="1" applyAlignment="1">
      <alignment horizontal="left" wrapText="1"/>
    </xf>
    <xf numFmtId="0" fontId="247" fillId="163" borderId="224" xfId="0" applyFont="1" applyFill="1" applyBorder="1" applyAlignment="1">
      <alignment horizontal="left" wrapText="1"/>
    </xf>
    <xf numFmtId="0" fontId="221" fillId="147" borderId="201" xfId="0" applyFont="1" applyFill="1" applyBorder="1" applyAlignment="1">
      <alignment horizontal="left" wrapText="1"/>
    </xf>
    <xf numFmtId="0" fontId="3" fillId="363" borderId="502" xfId="0" applyFont="1" applyFill="1" applyBorder="1" applyAlignment="1">
      <alignment horizontal="center"/>
    </xf>
    <xf numFmtId="0" fontId="62" fillId="48" borderId="58" xfId="0" applyFont="1" applyFill="1" applyBorder="1" applyAlignment="1">
      <alignment horizontal="center"/>
    </xf>
    <xf numFmtId="0" fontId="3" fillId="475" borderId="661" xfId="0" applyFont="1" applyFill="1" applyBorder="1" applyAlignment="1">
      <alignment horizontal="center" vertical="top" wrapText="1"/>
    </xf>
    <xf numFmtId="0" fontId="65" fillId="50" borderId="61" xfId="0" applyFont="1" applyFill="1" applyBorder="1" applyAlignment="1">
      <alignment horizontal="center" vertical="top" wrapText="1"/>
    </xf>
    <xf numFmtId="0" fontId="3" fillId="379" borderId="525" xfId="0" applyFont="1" applyFill="1" applyBorder="1" applyAlignment="1">
      <alignment horizontal="center" vertical="top" wrapText="1"/>
    </xf>
    <xf numFmtId="0" fontId="325" fillId="224" borderId="299" xfId="0" applyFont="1" applyFill="1" applyBorder="1" applyAlignment="1">
      <alignment horizontal="left" wrapText="1"/>
    </xf>
    <xf numFmtId="0" fontId="279" fillId="190" borderId="255" xfId="0" applyFont="1" applyFill="1" applyBorder="1" applyAlignment="1">
      <alignment horizontal="left" wrapText="1"/>
    </xf>
    <xf numFmtId="0" fontId="306" fillId="210" borderId="282" xfId="0" applyFont="1" applyFill="1" applyBorder="1" applyAlignment="1">
      <alignment horizontal="center" wrapText="1"/>
    </xf>
    <xf numFmtId="0" fontId="3" fillId="581" borderId="819" xfId="0" applyFont="1" applyFill="1" applyBorder="1" applyAlignment="1">
      <alignment horizontal="center" wrapText="1"/>
    </xf>
    <xf numFmtId="0" fontId="3" fillId="575" borderId="809" xfId="0" applyFont="1" applyFill="1" applyBorder="1" applyAlignment="1">
      <alignment horizontal="center" wrapText="1"/>
    </xf>
    <xf numFmtId="0" fontId="3" fillId="482" borderId="674" xfId="0" applyFont="1" applyFill="1" applyBorder="1" applyAlignment="1">
      <alignment horizontal="center" wrapText="1"/>
    </xf>
    <xf numFmtId="0" fontId="3" fillId="358" borderId="497" xfId="0" applyFont="1" applyFill="1" applyBorder="1" applyAlignment="1">
      <alignment horizontal="center" wrapText="1"/>
    </xf>
    <xf numFmtId="0" fontId="10" fillId="10" borderId="9" xfId="0" applyFont="1" applyFill="1" applyBorder="1" applyAlignment="1">
      <alignment horizontal="center"/>
    </xf>
    <xf numFmtId="0" fontId="165" fillId="112" borderId="152" xfId="0" applyFont="1" applyFill="1" applyBorder="1" applyAlignment="1">
      <alignment horizontal="center"/>
    </xf>
    <xf numFmtId="0" fontId="3" fillId="564" borderId="787" xfId="0" applyFont="1" applyFill="1" applyBorder="1" applyAlignment="1">
      <alignment horizontal="center" wrapText="1"/>
    </xf>
    <xf numFmtId="0" fontId="3" fillId="579" borderId="814" xfId="0" applyFont="1" applyFill="1" applyBorder="1" applyAlignment="1">
      <alignment horizontal="center" wrapText="1"/>
    </xf>
    <xf numFmtId="0" fontId="369" fillId="250" borderId="339" xfId="0" applyFont="1" applyFill="1" applyBorder="1" applyAlignment="1">
      <alignment horizontal="center"/>
    </xf>
    <xf numFmtId="0" fontId="225" fillId="149" borderId="205" xfId="0" applyFont="1" applyFill="1" applyBorder="1" applyAlignment="1">
      <alignment horizontal="center"/>
    </xf>
    <xf numFmtId="0" fontId="127" fillId="86" borderId="116" xfId="0" applyFont="1" applyFill="1" applyBorder="1" applyAlignment="1">
      <alignment horizontal="center"/>
    </xf>
    <xf numFmtId="0" fontId="178" fillId="120" borderId="162" xfId="0" applyFont="1" applyFill="1" applyBorder="1" applyAlignment="1">
      <alignment horizontal="left" wrapText="1"/>
    </xf>
    <xf numFmtId="0" fontId="286" fillId="195" borderId="262" xfId="0" applyFont="1" applyFill="1" applyBorder="1" applyAlignment="1">
      <alignment horizontal="left" wrapText="1"/>
    </xf>
    <xf numFmtId="0" fontId="3" fillId="556" borderId="777" xfId="0" applyFont="1" applyFill="1" applyBorder="1" applyAlignment="1">
      <alignment horizontal="left" wrapText="1"/>
    </xf>
    <xf numFmtId="0" fontId="3" fillId="394" borderId="547" xfId="0" applyFont="1" applyFill="1" applyBorder="1" applyAlignment="1">
      <alignment horizontal="left" wrapText="1"/>
    </xf>
    <xf numFmtId="0" fontId="360" fillId="246" borderId="330" xfId="0" applyFont="1" applyFill="1" applyBorder="1" applyAlignment="1">
      <alignment horizontal="left" wrapText="1"/>
    </xf>
    <xf numFmtId="0" fontId="23" fillId="22" borderId="21" xfId="0" applyFont="1" applyFill="1" applyBorder="1" applyAlignment="1">
      <alignment horizontal="left"/>
    </xf>
    <xf numFmtId="0" fontId="341" fillId="234" borderId="314" xfId="0" applyFont="1" applyFill="1" applyBorder="1" applyAlignment="1">
      <alignment horizontal="left"/>
    </xf>
    <xf numFmtId="0" fontId="189" fillId="128" borderId="173" xfId="0" applyFont="1" applyFill="1" applyBorder="1" applyAlignment="1">
      <alignment horizontal="left" wrapText="1"/>
    </xf>
    <xf numFmtId="0" fontId="158" fillId="106" borderId="145" xfId="0" applyFont="1" applyFill="1" applyBorder="1" applyAlignment="1">
      <alignment horizontal="left" wrapText="1"/>
    </xf>
    <xf numFmtId="0" fontId="3" fillId="345" borderId="482" xfId="0" applyFont="1" applyFill="1" applyBorder="1" applyAlignment="1">
      <alignment horizontal="center" wrapText="1"/>
    </xf>
    <xf numFmtId="0" fontId="3" fillId="568" borderId="794" xfId="0" applyFont="1" applyFill="1" applyBorder="1" applyAlignment="1">
      <alignment horizontal="center" wrapText="1"/>
    </xf>
    <xf numFmtId="0" fontId="3" fillId="529" borderId="744" xfId="0" applyFont="1" applyFill="1" applyBorder="1" applyAlignment="1">
      <alignment horizontal="center" wrapText="1"/>
    </xf>
    <xf numFmtId="0" fontId="3" fillId="574" borderId="808" xfId="0" applyFont="1" applyFill="1" applyBorder="1" applyAlignment="1">
      <alignment horizontal="center" wrapText="1"/>
    </xf>
    <xf numFmtId="0" fontId="3" fillId="412" borderId="573" xfId="0" applyFont="1" applyFill="1" applyBorder="1" applyAlignment="1">
      <alignment horizontal="center" vertical="top" wrapText="1"/>
    </xf>
    <xf numFmtId="0" fontId="3" fillId="410" borderId="571" xfId="0" applyFont="1" applyFill="1" applyBorder="1" applyAlignment="1">
      <alignment horizontal="center" vertical="top" wrapText="1"/>
    </xf>
    <xf numFmtId="0" fontId="78" fillId="54" borderId="72" xfId="0" applyFont="1" applyFill="1" applyBorder="1" applyAlignment="1">
      <alignment horizontal="center"/>
    </xf>
    <xf numFmtId="167" fontId="3" fillId="537" borderId="755" xfId="0" applyNumberFormat="1" applyFont="1" applyFill="1" applyBorder="1" applyAlignment="1">
      <alignment horizontal="center"/>
    </xf>
    <xf numFmtId="167" fontId="3" fillId="552" borderId="772" xfId="0" applyNumberFormat="1" applyFont="1" applyFill="1" applyBorder="1" applyAlignment="1">
      <alignment horizontal="center"/>
    </xf>
    <xf numFmtId="167" fontId="3" fillId="521" borderId="735" xfId="0" applyNumberFormat="1" applyFont="1" applyFill="1" applyBorder="1" applyAlignment="1">
      <alignment horizontal="center"/>
    </xf>
    <xf numFmtId="167" fontId="411" fillId="277" borderId="377" xfId="0" applyNumberFormat="1" applyFont="1" applyFill="1" applyBorder="1" applyAlignment="1">
      <alignment horizontal="center" wrapText="1"/>
    </xf>
    <xf numFmtId="167" fontId="429" fillId="288" borderId="393" xfId="0" applyNumberFormat="1" applyFont="1" applyFill="1" applyBorder="1" applyAlignment="1">
      <alignment horizontal="center" wrapText="1"/>
    </xf>
    <xf numFmtId="167" fontId="3" fillId="432" borderId="605" xfId="0" applyNumberFormat="1" applyFont="1" applyFill="1" applyBorder="1" applyAlignment="1">
      <alignment horizontal="center" wrapText="1"/>
    </xf>
    <xf numFmtId="167" fontId="197" fillId="134" borderId="180" xfId="0" applyNumberFormat="1" applyFont="1" applyFill="1" applyBorder="1" applyAlignment="1">
      <alignment horizontal="center" wrapText="1"/>
    </xf>
    <xf numFmtId="167" fontId="51" fillId="42" borderId="48" xfId="0" applyNumberFormat="1" applyFont="1" applyFill="1" applyBorder="1" applyAlignment="1">
      <alignment horizontal="center" wrapText="1"/>
    </xf>
    <xf numFmtId="0" fontId="299" fillId="204" borderId="275" xfId="0" applyFont="1" applyFill="1" applyBorder="1" applyAlignment="1">
      <alignment horizontal="center" wrapText="1"/>
    </xf>
    <xf numFmtId="168" fontId="16" fillId="16" borderId="15" xfId="0" applyNumberFormat="1" applyFont="1" applyFill="1" applyBorder="1" applyAlignment="1">
      <alignment horizontal="center"/>
    </xf>
    <xf numFmtId="168" fontId="3" fillId="535" borderId="753" xfId="0" applyNumberFormat="1" applyFont="1" applyFill="1" applyBorder="1" applyAlignment="1">
      <alignment horizontal="center"/>
    </xf>
    <xf numFmtId="168" fontId="3" fillId="508" borderId="715" xfId="0" applyNumberFormat="1" applyFont="1" applyFill="1" applyBorder="1" applyAlignment="1">
      <alignment horizontal="center"/>
    </xf>
    <xf numFmtId="0" fontId="330" fillId="227" borderId="304" xfId="0" applyFont="1" applyFill="1" applyBorder="1" applyAlignment="1">
      <alignment horizontal="left"/>
    </xf>
    <xf numFmtId="0" fontId="3" fillId="446" borderId="622" xfId="0" applyFont="1" applyFill="1" applyBorder="1" applyAlignment="1">
      <alignment horizontal="left"/>
    </xf>
    <xf numFmtId="0" fontId="237" fillId="157" borderId="215" xfId="0" applyFont="1" applyFill="1" applyBorder="1" applyAlignment="1">
      <alignment horizontal="left"/>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189"/>
  <sheetViews>
    <sheetView topLeftCell="A85" workbookViewId="0">
      <selection activeCell="B83" sqref="B83"/>
    </sheetView>
  </sheetViews>
  <sheetFormatPr baseColWidth="10" defaultColWidth="8.6640625" defaultRowHeight="12.75" customHeight="1"/>
  <cols>
    <col min="1" max="1" width="8.6640625" style="232"/>
    <col min="2" max="2" width="84.5" customWidth="1"/>
  </cols>
  <sheetData>
    <row r="1" spans="1:18" ht="30" customHeight="1">
      <c r="A1" s="532" t="s">
        <v>605</v>
      </c>
      <c r="B1" s="369" t="s">
        <v>606</v>
      </c>
      <c r="C1" s="676"/>
      <c r="D1" s="151"/>
      <c r="E1" s="151"/>
      <c r="F1" s="151"/>
      <c r="G1" s="151"/>
      <c r="H1" s="151"/>
      <c r="I1" s="151"/>
      <c r="J1" s="151"/>
      <c r="K1" s="151"/>
      <c r="L1" s="151"/>
      <c r="M1" s="151"/>
      <c r="N1" s="151"/>
      <c r="O1" s="151"/>
      <c r="P1" s="151"/>
      <c r="Q1" s="151"/>
      <c r="R1" s="151"/>
    </row>
    <row r="2" spans="1:18">
      <c r="B2" s="391"/>
      <c r="C2" s="151"/>
      <c r="D2" s="151"/>
      <c r="E2" s="151"/>
      <c r="F2" s="151"/>
      <c r="G2" s="151"/>
      <c r="H2" s="151"/>
      <c r="I2" s="151"/>
      <c r="J2" s="151"/>
      <c r="K2" s="151"/>
      <c r="L2" s="151"/>
      <c r="M2" s="151"/>
      <c r="N2" s="151"/>
      <c r="O2" s="151"/>
      <c r="P2" s="151"/>
      <c r="Q2" s="151"/>
      <c r="R2" s="151"/>
    </row>
    <row r="3" spans="1:18" ht="15" customHeight="1">
      <c r="B3" s="88"/>
      <c r="C3" s="151"/>
      <c r="D3" s="151"/>
      <c r="E3" s="151"/>
      <c r="F3" s="151"/>
      <c r="G3" s="151"/>
      <c r="H3" s="151"/>
      <c r="I3" s="151"/>
      <c r="J3" s="151"/>
      <c r="K3" s="151"/>
      <c r="L3" s="151"/>
      <c r="M3" s="151"/>
      <c r="N3" s="151"/>
      <c r="O3" s="151"/>
      <c r="P3" s="151"/>
      <c r="Q3" s="151"/>
      <c r="R3" s="151"/>
    </row>
    <row r="4" spans="1:18" ht="13.5" customHeight="1">
      <c r="A4" s="734"/>
      <c r="B4" s="456"/>
      <c r="C4" s="151"/>
      <c r="D4" s="151"/>
      <c r="E4" s="151"/>
      <c r="F4" s="151"/>
      <c r="G4" s="151"/>
      <c r="H4" s="151"/>
      <c r="I4" s="151"/>
      <c r="J4" s="151"/>
      <c r="K4" s="151"/>
      <c r="L4" s="151"/>
      <c r="M4" s="151"/>
      <c r="N4" s="151"/>
      <c r="O4" s="151"/>
      <c r="P4" s="151"/>
      <c r="Q4" s="151"/>
      <c r="R4" s="151"/>
    </row>
    <row r="5" spans="1:18" ht="24" customHeight="1">
      <c r="A5" s="16"/>
      <c r="B5" s="609" t="s">
        <v>607</v>
      </c>
      <c r="C5" s="676"/>
      <c r="D5" s="151"/>
      <c r="E5" s="151"/>
      <c r="F5" s="151"/>
      <c r="G5" s="151"/>
      <c r="H5" s="151"/>
      <c r="I5" s="151"/>
      <c r="J5" s="151"/>
      <c r="K5" s="151"/>
      <c r="L5" s="151"/>
      <c r="M5" s="151"/>
      <c r="N5" s="151"/>
      <c r="O5" s="151"/>
      <c r="P5" s="151"/>
      <c r="Q5" s="151"/>
      <c r="R5" s="151"/>
    </row>
    <row r="6" spans="1:18" ht="34.5" customHeight="1">
      <c r="A6" s="238">
        <v>1</v>
      </c>
      <c r="B6" s="166" t="s">
        <v>608</v>
      </c>
      <c r="C6" s="676"/>
      <c r="D6" s="151"/>
      <c r="E6" s="151"/>
      <c r="F6" s="151"/>
      <c r="G6" s="151"/>
      <c r="H6" s="151"/>
      <c r="I6" s="151"/>
      <c r="J6" s="151"/>
      <c r="K6" s="151"/>
      <c r="L6" s="151"/>
      <c r="M6" s="151"/>
      <c r="N6" s="151"/>
      <c r="O6" s="151"/>
      <c r="P6" s="151"/>
      <c r="Q6" s="151"/>
      <c r="R6" s="151"/>
    </row>
    <row r="7" spans="1:18" ht="45.75" customHeight="1">
      <c r="A7" s="238">
        <v>2</v>
      </c>
      <c r="B7" s="166" t="s">
        <v>609</v>
      </c>
      <c r="C7" s="676"/>
      <c r="D7" s="151"/>
      <c r="E7" s="151"/>
      <c r="F7" s="151"/>
      <c r="G7" s="151"/>
      <c r="H7" s="151"/>
      <c r="I7" s="151"/>
      <c r="J7" s="151"/>
      <c r="K7" s="151"/>
      <c r="L7" s="151"/>
      <c r="M7" s="151"/>
      <c r="N7" s="151"/>
      <c r="O7" s="151"/>
      <c r="P7" s="151"/>
      <c r="Q7" s="151"/>
      <c r="R7" s="151"/>
    </row>
    <row r="8" spans="1:18" ht="31.5" customHeight="1">
      <c r="A8" s="238">
        <v>3</v>
      </c>
      <c r="B8" s="166" t="s">
        <v>610</v>
      </c>
      <c r="C8" s="676"/>
      <c r="D8" s="151"/>
      <c r="E8" s="151"/>
      <c r="F8" s="151"/>
      <c r="G8" s="151"/>
      <c r="H8" s="151"/>
      <c r="I8" s="151"/>
      <c r="J8" s="151"/>
      <c r="K8" s="151"/>
      <c r="L8" s="151"/>
      <c r="M8" s="151"/>
      <c r="N8" s="151"/>
      <c r="O8" s="151"/>
      <c r="P8" s="151"/>
      <c r="Q8" s="151"/>
      <c r="R8" s="151"/>
    </row>
    <row r="9" spans="1:18" ht="30.75" customHeight="1">
      <c r="A9" s="238">
        <v>4</v>
      </c>
      <c r="B9" s="166" t="s">
        <v>611</v>
      </c>
      <c r="C9" s="676"/>
      <c r="D9" s="151"/>
      <c r="E9" s="151"/>
      <c r="F9" s="151"/>
      <c r="G9" s="151"/>
      <c r="H9" s="151"/>
      <c r="I9" s="151"/>
      <c r="J9" s="151"/>
      <c r="K9" s="151"/>
      <c r="L9" s="151"/>
      <c r="M9" s="151"/>
      <c r="N9" s="151"/>
      <c r="O9" s="151"/>
      <c r="P9" s="151"/>
      <c r="Q9" s="151"/>
      <c r="R9" s="151"/>
    </row>
    <row r="10" spans="1:18" ht="48" customHeight="1">
      <c r="A10" s="413"/>
      <c r="B10" s="311" t="s">
        <v>612</v>
      </c>
      <c r="C10" s="676"/>
      <c r="D10" s="151"/>
      <c r="E10" s="151"/>
      <c r="F10" s="151"/>
      <c r="G10" s="151"/>
      <c r="H10" s="151"/>
      <c r="I10" s="151"/>
      <c r="J10" s="151"/>
      <c r="K10" s="151"/>
      <c r="L10" s="151"/>
      <c r="M10" s="151"/>
      <c r="N10" s="151"/>
      <c r="O10" s="151"/>
      <c r="P10" s="151"/>
      <c r="Q10" s="151"/>
      <c r="R10" s="151"/>
    </row>
    <row r="11" spans="1:18" ht="6" customHeight="1">
      <c r="A11" s="785"/>
      <c r="B11" s="72"/>
      <c r="C11" s="676"/>
      <c r="D11" s="151"/>
      <c r="E11" s="151"/>
      <c r="F11" s="151"/>
      <c r="G11" s="151"/>
      <c r="H11" s="151"/>
      <c r="I11" s="151"/>
      <c r="J11" s="151"/>
      <c r="K11" s="151"/>
      <c r="L11" s="151"/>
      <c r="M11" s="151"/>
      <c r="N11" s="151"/>
      <c r="O11" s="151"/>
      <c r="P11" s="151"/>
      <c r="Q11" s="151"/>
      <c r="R11" s="151"/>
    </row>
    <row r="12" spans="1:18" ht="15.75" customHeight="1">
      <c r="A12" s="785"/>
      <c r="B12" s="811" t="s">
        <v>613</v>
      </c>
      <c r="C12" s="676"/>
      <c r="D12" s="151"/>
      <c r="E12" s="151"/>
      <c r="F12" s="151"/>
      <c r="G12" s="151"/>
      <c r="H12" s="151"/>
      <c r="I12" s="151"/>
      <c r="J12" s="151"/>
      <c r="K12" s="151"/>
      <c r="L12" s="151"/>
      <c r="M12" s="151"/>
      <c r="N12" s="151"/>
      <c r="O12" s="151"/>
      <c r="P12" s="151"/>
      <c r="Q12" s="151"/>
      <c r="R12" s="151"/>
    </row>
    <row r="13" spans="1:18" ht="5.25" customHeight="1">
      <c r="A13" s="785"/>
      <c r="B13" s="811"/>
      <c r="C13" s="676"/>
      <c r="D13" s="151"/>
      <c r="E13" s="151"/>
      <c r="F13" s="151"/>
      <c r="G13" s="151"/>
      <c r="H13" s="151"/>
      <c r="I13" s="151"/>
      <c r="J13" s="151"/>
      <c r="K13" s="151"/>
      <c r="L13" s="151"/>
      <c r="M13" s="151"/>
      <c r="N13" s="151"/>
      <c r="O13" s="151"/>
      <c r="P13" s="151"/>
      <c r="Q13" s="151"/>
      <c r="R13" s="151"/>
    </row>
    <row r="14" spans="1:18" ht="16.5" customHeight="1">
      <c r="A14" s="278">
        <v>5</v>
      </c>
      <c r="B14" s="204" t="s">
        <v>614</v>
      </c>
      <c r="C14" s="676"/>
      <c r="D14" s="151"/>
      <c r="E14" s="151"/>
      <c r="F14" s="151"/>
      <c r="G14" s="151"/>
      <c r="H14" s="151"/>
      <c r="I14" s="151"/>
      <c r="J14" s="151"/>
      <c r="K14" s="151"/>
      <c r="L14" s="151"/>
      <c r="M14" s="151"/>
      <c r="N14" s="151"/>
      <c r="O14" s="151"/>
      <c r="P14" s="151"/>
      <c r="Q14" s="151"/>
      <c r="R14" s="151"/>
    </row>
    <row r="15" spans="1:18" ht="18.75" customHeight="1">
      <c r="A15" s="238">
        <v>6</v>
      </c>
      <c r="B15" s="77" t="s">
        <v>615</v>
      </c>
      <c r="C15" s="676"/>
      <c r="D15" s="151"/>
      <c r="E15" s="151"/>
      <c r="F15" s="151"/>
      <c r="G15" s="151"/>
      <c r="H15" s="151"/>
      <c r="I15" s="151"/>
      <c r="J15" s="151"/>
      <c r="K15" s="151"/>
      <c r="L15" s="151"/>
      <c r="M15" s="151"/>
      <c r="N15" s="151"/>
      <c r="O15" s="151"/>
      <c r="P15" s="151"/>
      <c r="Q15" s="151"/>
      <c r="R15" s="151"/>
    </row>
    <row r="16" spans="1:18" ht="33.75" customHeight="1">
      <c r="A16" s="238">
        <v>7</v>
      </c>
      <c r="B16" s="77" t="s">
        <v>616</v>
      </c>
      <c r="C16" s="676"/>
      <c r="D16" s="151"/>
      <c r="E16" s="151"/>
      <c r="F16" s="151"/>
      <c r="G16" s="151"/>
      <c r="H16" s="151"/>
      <c r="I16" s="151"/>
      <c r="J16" s="151"/>
      <c r="K16" s="151"/>
      <c r="L16" s="151"/>
      <c r="M16" s="151"/>
      <c r="N16" s="151"/>
      <c r="O16" s="151"/>
      <c r="P16" s="151"/>
      <c r="Q16" s="151"/>
      <c r="R16" s="151"/>
    </row>
    <row r="17" spans="1:18" ht="33.75" customHeight="1">
      <c r="A17" s="238">
        <v>8</v>
      </c>
      <c r="B17" s="398" t="s">
        <v>617</v>
      </c>
      <c r="C17" s="676"/>
      <c r="D17" s="151"/>
      <c r="E17" s="151"/>
      <c r="F17" s="151"/>
      <c r="G17" s="151"/>
      <c r="H17" s="151"/>
      <c r="I17" s="151"/>
      <c r="J17" s="151"/>
      <c r="K17" s="151"/>
      <c r="L17" s="151"/>
      <c r="M17" s="151"/>
      <c r="N17" s="151"/>
      <c r="O17" s="151"/>
      <c r="P17" s="151"/>
      <c r="Q17" s="151"/>
      <c r="R17" s="151"/>
    </row>
    <row r="18" spans="1:18" ht="30" customHeight="1">
      <c r="A18" s="481">
        <v>9</v>
      </c>
      <c r="B18" s="590" t="s">
        <v>618</v>
      </c>
      <c r="C18" s="676"/>
      <c r="D18" s="151"/>
      <c r="E18" s="151"/>
      <c r="F18" s="151"/>
      <c r="G18" s="151"/>
      <c r="H18" s="151"/>
      <c r="I18" s="151"/>
      <c r="J18" s="151"/>
      <c r="K18" s="151"/>
      <c r="L18" s="151"/>
      <c r="M18" s="151"/>
      <c r="N18" s="151"/>
      <c r="O18" s="151"/>
      <c r="P18" s="151"/>
      <c r="Q18" s="151"/>
      <c r="R18" s="151"/>
    </row>
    <row r="19" spans="1:18" ht="15" customHeight="1">
      <c r="A19" s="867">
        <v>10</v>
      </c>
      <c r="B19" s="342" t="s">
        <v>619</v>
      </c>
      <c r="C19" s="676"/>
      <c r="D19" s="151"/>
      <c r="E19" s="151"/>
      <c r="F19" s="151"/>
      <c r="G19" s="151"/>
      <c r="H19" s="151"/>
      <c r="I19" s="151"/>
      <c r="J19" s="151"/>
      <c r="K19" s="151"/>
      <c r="L19" s="151"/>
      <c r="M19" s="151"/>
      <c r="N19" s="151"/>
      <c r="O19" s="151"/>
      <c r="P19" s="151"/>
      <c r="Q19" s="151"/>
      <c r="R19" s="151"/>
    </row>
    <row r="20" spans="1:18" ht="14.25" customHeight="1">
      <c r="A20" s="868"/>
      <c r="B20" s="438" t="s">
        <v>620</v>
      </c>
      <c r="C20" s="676"/>
      <c r="D20" s="151"/>
      <c r="E20" s="151"/>
      <c r="F20" s="151"/>
      <c r="G20" s="151"/>
      <c r="H20" s="151"/>
      <c r="I20" s="151"/>
      <c r="J20" s="151"/>
      <c r="K20" s="151"/>
      <c r="L20" s="151"/>
      <c r="M20" s="151"/>
      <c r="N20" s="151"/>
      <c r="O20" s="151"/>
      <c r="P20" s="151"/>
      <c r="Q20" s="151"/>
      <c r="R20" s="151"/>
    </row>
    <row r="21" spans="1:18" ht="14.25" customHeight="1">
      <c r="A21" s="868"/>
      <c r="B21" s="438" t="s">
        <v>621</v>
      </c>
      <c r="C21" s="676"/>
      <c r="D21" s="151"/>
      <c r="E21" s="151"/>
      <c r="F21" s="151"/>
      <c r="G21" s="151"/>
      <c r="H21" s="151"/>
      <c r="I21" s="151"/>
      <c r="J21" s="151"/>
      <c r="K21" s="151"/>
      <c r="L21" s="151"/>
      <c r="M21" s="151"/>
      <c r="N21" s="151"/>
      <c r="O21" s="151"/>
      <c r="P21" s="151"/>
      <c r="Q21" s="151"/>
      <c r="R21" s="151"/>
    </row>
    <row r="22" spans="1:18" ht="14.25" customHeight="1">
      <c r="A22" s="868"/>
      <c r="B22" s="438" t="s">
        <v>622</v>
      </c>
      <c r="C22" s="676"/>
      <c r="D22" s="151"/>
      <c r="E22" s="151"/>
      <c r="F22" s="151"/>
      <c r="G22" s="151"/>
      <c r="H22" s="151"/>
      <c r="I22" s="151"/>
      <c r="J22" s="151"/>
      <c r="K22" s="151"/>
      <c r="L22" s="151"/>
      <c r="M22" s="151"/>
      <c r="N22" s="151"/>
      <c r="O22" s="151"/>
      <c r="P22" s="151"/>
      <c r="Q22" s="151"/>
      <c r="R22" s="151"/>
    </row>
    <row r="23" spans="1:18" ht="14.25" customHeight="1">
      <c r="A23" s="868"/>
      <c r="B23" s="438" t="s">
        <v>623</v>
      </c>
      <c r="C23" s="676"/>
      <c r="D23" s="151"/>
      <c r="E23" s="151"/>
      <c r="F23" s="151"/>
      <c r="G23" s="151"/>
      <c r="H23" s="151"/>
      <c r="I23" s="151"/>
      <c r="J23" s="151"/>
      <c r="K23" s="151"/>
      <c r="L23" s="151"/>
      <c r="M23" s="151"/>
      <c r="N23" s="151"/>
      <c r="O23" s="151"/>
      <c r="P23" s="151"/>
      <c r="Q23" s="151"/>
      <c r="R23" s="151"/>
    </row>
    <row r="24" spans="1:18" ht="14.25" customHeight="1">
      <c r="A24" s="868"/>
      <c r="B24" s="438" t="s">
        <v>624</v>
      </c>
      <c r="C24" s="676"/>
      <c r="D24" s="151"/>
      <c r="E24" s="151"/>
      <c r="F24" s="151"/>
      <c r="G24" s="151"/>
      <c r="H24" s="151"/>
      <c r="I24" s="151"/>
      <c r="J24" s="151"/>
      <c r="K24" s="151"/>
      <c r="L24" s="151"/>
      <c r="M24" s="151"/>
      <c r="N24" s="151"/>
      <c r="O24" s="151"/>
      <c r="P24" s="151"/>
      <c r="Q24" s="151"/>
      <c r="R24" s="151"/>
    </row>
    <row r="25" spans="1:18" ht="14.25" customHeight="1">
      <c r="A25" s="868"/>
      <c r="B25" s="438" t="s">
        <v>625</v>
      </c>
      <c r="C25" s="676"/>
      <c r="D25" s="560"/>
      <c r="E25" s="151"/>
      <c r="F25" s="151"/>
      <c r="G25" s="151"/>
      <c r="H25" s="151"/>
      <c r="I25" s="151"/>
      <c r="J25" s="151"/>
      <c r="K25" s="151"/>
      <c r="L25" s="151"/>
      <c r="M25" s="151"/>
      <c r="N25" s="151"/>
      <c r="O25" s="151"/>
      <c r="P25" s="151"/>
      <c r="Q25" s="151"/>
      <c r="R25" s="151"/>
    </row>
    <row r="26" spans="1:18" ht="14.25" customHeight="1">
      <c r="A26" s="868"/>
      <c r="B26" s="438" t="s">
        <v>626</v>
      </c>
      <c r="C26" s="676"/>
      <c r="D26" s="560"/>
      <c r="E26" s="151"/>
      <c r="F26" s="151"/>
      <c r="G26" s="151"/>
      <c r="H26" s="151"/>
      <c r="I26" s="151"/>
      <c r="J26" s="151"/>
      <c r="K26" s="151"/>
      <c r="L26" s="151"/>
      <c r="M26" s="151"/>
      <c r="N26" s="151"/>
      <c r="O26" s="151"/>
      <c r="P26" s="151"/>
      <c r="Q26" s="151"/>
      <c r="R26" s="151"/>
    </row>
    <row r="27" spans="1:18" ht="14.25" customHeight="1">
      <c r="A27" s="868"/>
      <c r="B27" s="438" t="s">
        <v>627</v>
      </c>
      <c r="C27" s="676"/>
      <c r="D27" s="151"/>
      <c r="E27" s="151"/>
      <c r="F27" s="151"/>
      <c r="G27" s="151"/>
      <c r="H27" s="151"/>
      <c r="I27" s="151"/>
      <c r="J27" s="151"/>
      <c r="K27" s="151"/>
      <c r="L27" s="151"/>
      <c r="M27" s="151"/>
      <c r="N27" s="151"/>
      <c r="O27" s="151"/>
      <c r="P27" s="151"/>
      <c r="Q27" s="151"/>
      <c r="R27" s="151"/>
    </row>
    <row r="28" spans="1:18" ht="15" customHeight="1">
      <c r="A28" s="869"/>
      <c r="B28" s="855" t="s">
        <v>628</v>
      </c>
      <c r="C28" s="676"/>
      <c r="D28" s="151"/>
      <c r="E28" s="151"/>
      <c r="F28" s="151"/>
      <c r="G28" s="151"/>
      <c r="H28" s="151"/>
      <c r="I28" s="151"/>
      <c r="J28" s="151"/>
      <c r="K28" s="151"/>
      <c r="L28" s="151"/>
      <c r="M28" s="151"/>
      <c r="N28" s="151"/>
      <c r="O28" s="151"/>
      <c r="P28" s="151"/>
      <c r="Q28" s="151"/>
      <c r="R28" s="151"/>
    </row>
    <row r="29" spans="1:18" ht="48" customHeight="1">
      <c r="A29" s="481">
        <v>11</v>
      </c>
      <c r="B29" s="675" t="s">
        <v>599</v>
      </c>
      <c r="C29" s="676"/>
      <c r="D29" s="151"/>
      <c r="E29" s="151"/>
      <c r="F29" s="151"/>
      <c r="G29" s="151"/>
      <c r="H29" s="151"/>
      <c r="I29" s="151"/>
      <c r="J29" s="151"/>
      <c r="K29" s="151"/>
      <c r="L29" s="151"/>
      <c r="M29" s="151"/>
      <c r="N29" s="151"/>
      <c r="O29" s="151"/>
      <c r="P29" s="151"/>
      <c r="Q29" s="151"/>
      <c r="R29" s="151"/>
    </row>
    <row r="30" spans="1:18" ht="16.5" customHeight="1">
      <c r="A30" s="816"/>
      <c r="B30" s="603"/>
      <c r="C30" s="151"/>
      <c r="D30" s="151"/>
      <c r="E30" s="151"/>
      <c r="F30" s="151"/>
      <c r="G30" s="151"/>
      <c r="H30" s="151"/>
      <c r="I30" s="151"/>
      <c r="J30" s="151"/>
      <c r="K30" s="151"/>
      <c r="L30" s="151"/>
      <c r="M30" s="151"/>
      <c r="N30" s="151"/>
      <c r="O30" s="151"/>
      <c r="P30" s="151"/>
      <c r="Q30" s="151"/>
      <c r="R30" s="151"/>
    </row>
    <row r="31" spans="1:18" ht="24" customHeight="1">
      <c r="A31" s="16"/>
      <c r="B31" s="1" t="s">
        <v>600</v>
      </c>
      <c r="C31" s="676"/>
      <c r="D31" s="151"/>
      <c r="E31" s="151"/>
      <c r="F31" s="151"/>
      <c r="G31" s="151"/>
      <c r="H31" s="151"/>
      <c r="I31" s="151"/>
      <c r="J31" s="151"/>
      <c r="K31" s="151"/>
      <c r="L31" s="151"/>
      <c r="M31" s="151"/>
      <c r="N31" s="151"/>
      <c r="O31" s="151"/>
      <c r="P31" s="151"/>
      <c r="Q31" s="151"/>
      <c r="R31" s="151"/>
    </row>
    <row r="32" spans="1:18" ht="25.5" customHeight="1">
      <c r="A32" s="16"/>
      <c r="B32" s="1" t="s">
        <v>601</v>
      </c>
      <c r="C32" s="676"/>
      <c r="D32" s="151"/>
      <c r="E32" s="151"/>
      <c r="F32" s="151"/>
      <c r="G32" s="151"/>
      <c r="H32" s="151"/>
      <c r="I32" s="151"/>
      <c r="J32" s="151"/>
      <c r="K32" s="151"/>
      <c r="L32" s="151"/>
      <c r="M32" s="151"/>
      <c r="N32" s="151"/>
      <c r="O32" s="151"/>
      <c r="P32" s="151"/>
      <c r="Q32" s="151"/>
      <c r="R32" s="151"/>
    </row>
    <row r="33" spans="1:18" ht="117" customHeight="1">
      <c r="A33" s="585"/>
      <c r="B33" s="23" t="s">
        <v>602</v>
      </c>
      <c r="C33" s="676"/>
      <c r="D33" s="151"/>
      <c r="E33" s="151"/>
      <c r="F33" s="151"/>
      <c r="G33" s="151"/>
      <c r="H33" s="151"/>
      <c r="I33" s="151"/>
      <c r="J33" s="151"/>
      <c r="K33" s="151"/>
      <c r="L33" s="151"/>
      <c r="M33" s="151"/>
      <c r="N33" s="151"/>
      <c r="O33" s="151"/>
      <c r="P33" s="151"/>
      <c r="Q33" s="151"/>
      <c r="R33" s="151"/>
    </row>
    <row r="34" spans="1:18" ht="6.75" customHeight="1">
      <c r="A34" s="721"/>
      <c r="B34" s="438"/>
      <c r="C34" s="676"/>
      <c r="D34" s="151"/>
      <c r="E34" s="151"/>
      <c r="F34" s="151"/>
      <c r="G34" s="151"/>
      <c r="H34" s="151"/>
      <c r="I34" s="151"/>
      <c r="J34" s="151"/>
      <c r="K34" s="151"/>
      <c r="L34" s="151"/>
      <c r="M34" s="151"/>
      <c r="N34" s="151"/>
      <c r="O34" s="151"/>
      <c r="P34" s="151"/>
      <c r="Q34" s="151"/>
      <c r="R34" s="151"/>
    </row>
    <row r="35" spans="1:18" ht="48" customHeight="1">
      <c r="A35" s="358">
        <v>1</v>
      </c>
      <c r="B35" s="844" t="s">
        <v>603</v>
      </c>
      <c r="C35" s="676"/>
      <c r="D35" s="151"/>
      <c r="E35" s="151"/>
      <c r="F35" s="151"/>
      <c r="G35" s="151"/>
      <c r="H35" s="151"/>
      <c r="I35" s="151"/>
      <c r="J35" s="151"/>
      <c r="K35" s="151"/>
      <c r="L35" s="151"/>
      <c r="M35" s="151"/>
      <c r="N35" s="151"/>
      <c r="O35" s="151"/>
      <c r="P35" s="151"/>
      <c r="Q35" s="151"/>
      <c r="R35" s="151"/>
    </row>
    <row r="36" spans="1:18" ht="28.5" customHeight="1">
      <c r="A36" s="16"/>
      <c r="B36" s="1" t="s">
        <v>604</v>
      </c>
      <c r="C36" s="676"/>
      <c r="D36" s="151"/>
      <c r="E36" s="151"/>
      <c r="F36" s="151"/>
      <c r="G36" s="151"/>
      <c r="H36" s="151"/>
      <c r="I36" s="151"/>
      <c r="J36" s="151"/>
      <c r="K36" s="151"/>
      <c r="L36" s="151"/>
      <c r="M36" s="151"/>
      <c r="N36" s="151"/>
      <c r="O36" s="151"/>
      <c r="P36" s="151"/>
      <c r="Q36" s="151"/>
      <c r="R36" s="151"/>
    </row>
    <row r="37" spans="1:18" ht="191.25" customHeight="1">
      <c r="A37" s="585"/>
      <c r="B37" s="23" t="s">
        <v>592</v>
      </c>
      <c r="C37" s="676"/>
      <c r="D37" s="151"/>
      <c r="E37" s="151"/>
      <c r="F37" s="151"/>
      <c r="G37" s="151"/>
      <c r="H37" s="151"/>
      <c r="I37" s="151"/>
      <c r="J37" s="151"/>
      <c r="K37" s="151"/>
      <c r="L37" s="151"/>
      <c r="M37" s="151"/>
      <c r="N37" s="151"/>
      <c r="O37" s="151"/>
      <c r="P37" s="151"/>
      <c r="Q37" s="151"/>
      <c r="R37" s="151"/>
    </row>
    <row r="38" spans="1:18" ht="9" customHeight="1">
      <c r="A38" s="721"/>
      <c r="B38" s="717"/>
      <c r="C38" s="676"/>
      <c r="D38" s="151"/>
      <c r="E38" s="151"/>
      <c r="F38" s="151"/>
      <c r="G38" s="151"/>
      <c r="H38" s="151"/>
      <c r="I38" s="151"/>
      <c r="J38" s="151"/>
      <c r="K38" s="151"/>
      <c r="L38" s="151"/>
      <c r="M38" s="151"/>
      <c r="N38" s="151"/>
      <c r="O38" s="151"/>
      <c r="P38" s="151"/>
      <c r="Q38" s="151"/>
      <c r="R38" s="151"/>
    </row>
    <row r="39" spans="1:18" ht="32.25" customHeight="1">
      <c r="A39" s="721"/>
      <c r="B39" s="717" t="s">
        <v>593</v>
      </c>
      <c r="C39" s="676"/>
      <c r="D39" s="151"/>
      <c r="E39" s="151"/>
      <c r="F39" s="151"/>
      <c r="G39" s="151"/>
      <c r="H39" s="151"/>
      <c r="I39" s="151"/>
      <c r="J39" s="151"/>
      <c r="K39" s="151"/>
      <c r="L39" s="151"/>
      <c r="M39" s="151"/>
      <c r="N39" s="151"/>
      <c r="O39" s="151"/>
      <c r="P39" s="151"/>
      <c r="Q39" s="151"/>
      <c r="R39" s="151"/>
    </row>
    <row r="40" spans="1:18" ht="15" customHeight="1">
      <c r="A40" s="721"/>
      <c r="B40" s="717" t="s">
        <v>594</v>
      </c>
      <c r="C40" s="676"/>
      <c r="D40" s="151"/>
      <c r="E40" s="151"/>
      <c r="F40" s="151"/>
      <c r="G40" s="151"/>
      <c r="H40" s="151"/>
      <c r="I40" s="151"/>
      <c r="J40" s="151"/>
      <c r="K40" s="151"/>
      <c r="L40" s="151"/>
      <c r="M40" s="151"/>
      <c r="N40" s="151"/>
      <c r="O40" s="151"/>
      <c r="P40" s="151"/>
      <c r="Q40" s="151"/>
      <c r="R40" s="151"/>
    </row>
    <row r="41" spans="1:18" ht="15" customHeight="1">
      <c r="A41" s="721"/>
      <c r="B41" s="717" t="s">
        <v>595</v>
      </c>
      <c r="C41" s="676"/>
      <c r="D41" s="151"/>
      <c r="E41" s="151"/>
      <c r="F41" s="151"/>
      <c r="G41" s="151"/>
      <c r="H41" s="151"/>
      <c r="I41" s="151"/>
      <c r="J41" s="151"/>
      <c r="K41" s="151"/>
      <c r="L41" s="151"/>
      <c r="M41" s="151"/>
      <c r="N41" s="151"/>
      <c r="O41" s="151"/>
      <c r="P41" s="151"/>
      <c r="Q41" s="151"/>
      <c r="R41" s="151"/>
    </row>
    <row r="42" spans="1:18" ht="15" customHeight="1">
      <c r="A42" s="721"/>
      <c r="B42" s="717" t="s">
        <v>596</v>
      </c>
      <c r="C42" s="676"/>
      <c r="D42" s="151"/>
      <c r="E42" s="151"/>
      <c r="F42" s="151"/>
      <c r="G42" s="151"/>
      <c r="H42" s="151"/>
      <c r="I42" s="151"/>
      <c r="J42" s="151"/>
      <c r="K42" s="151"/>
      <c r="L42" s="151"/>
      <c r="M42" s="151"/>
      <c r="N42" s="151"/>
      <c r="O42" s="151"/>
      <c r="P42" s="151"/>
      <c r="Q42" s="151"/>
      <c r="R42" s="151"/>
    </row>
    <row r="43" spans="1:18" ht="15" customHeight="1">
      <c r="A43" s="721"/>
      <c r="B43" s="717" t="s">
        <v>597</v>
      </c>
      <c r="C43" s="676"/>
      <c r="D43" s="151"/>
      <c r="E43" s="151"/>
      <c r="F43" s="151"/>
      <c r="G43" s="151"/>
      <c r="H43" s="151"/>
      <c r="I43" s="151"/>
      <c r="J43" s="151"/>
      <c r="K43" s="151"/>
      <c r="L43" s="151"/>
      <c r="M43" s="151"/>
      <c r="N43" s="151"/>
      <c r="O43" s="151"/>
      <c r="P43" s="151"/>
      <c r="Q43" s="151"/>
      <c r="R43" s="151"/>
    </row>
    <row r="44" spans="1:18" ht="15" customHeight="1">
      <c r="A44" s="721"/>
      <c r="B44" s="717" t="s">
        <v>598</v>
      </c>
      <c r="C44" s="676"/>
      <c r="D44" s="151"/>
      <c r="E44" s="151"/>
      <c r="F44" s="151"/>
      <c r="G44" s="151"/>
      <c r="H44" s="151"/>
      <c r="I44" s="151"/>
      <c r="J44" s="151"/>
      <c r="K44" s="151"/>
      <c r="L44" s="151"/>
      <c r="M44" s="151"/>
      <c r="N44" s="151"/>
      <c r="O44" s="151"/>
      <c r="P44" s="151"/>
      <c r="Q44" s="151"/>
      <c r="R44" s="151"/>
    </row>
    <row r="45" spans="1:18" ht="15" customHeight="1">
      <c r="A45" s="721"/>
      <c r="B45" s="717" t="s">
        <v>588</v>
      </c>
      <c r="C45" s="676"/>
      <c r="D45" s="151"/>
      <c r="E45" s="151"/>
      <c r="F45" s="151"/>
      <c r="G45" s="151"/>
      <c r="H45" s="151"/>
      <c r="I45" s="151"/>
      <c r="J45" s="151"/>
      <c r="K45" s="151"/>
      <c r="L45" s="151"/>
      <c r="M45" s="151"/>
      <c r="N45" s="151"/>
      <c r="O45" s="151"/>
      <c r="P45" s="151"/>
      <c r="Q45" s="151"/>
      <c r="R45" s="151"/>
    </row>
    <row r="46" spans="1:18" ht="6.75" customHeight="1">
      <c r="A46" s="721"/>
      <c r="B46" s="717"/>
      <c r="C46" s="676"/>
      <c r="D46" s="151"/>
      <c r="E46" s="151"/>
      <c r="F46" s="151"/>
      <c r="G46" s="151"/>
      <c r="H46" s="151"/>
      <c r="I46" s="151"/>
      <c r="J46" s="151"/>
      <c r="K46" s="151"/>
      <c r="L46" s="151"/>
      <c r="M46" s="151"/>
      <c r="N46" s="151"/>
      <c r="O46" s="151"/>
      <c r="P46" s="151"/>
      <c r="Q46" s="151"/>
      <c r="R46" s="151"/>
    </row>
    <row r="47" spans="1:18" ht="58.5" customHeight="1">
      <c r="A47" s="721"/>
      <c r="B47" s="717" t="s">
        <v>589</v>
      </c>
      <c r="C47" s="676"/>
      <c r="D47" s="151"/>
      <c r="E47" s="151"/>
      <c r="F47" s="151"/>
      <c r="G47" s="151"/>
      <c r="H47" s="151"/>
      <c r="I47" s="151"/>
      <c r="J47" s="151"/>
      <c r="K47" s="151"/>
      <c r="L47" s="151"/>
      <c r="M47" s="151"/>
      <c r="N47" s="151"/>
      <c r="O47" s="151"/>
      <c r="P47" s="151"/>
      <c r="Q47" s="151"/>
      <c r="R47" s="151"/>
    </row>
    <row r="48" spans="1:18" ht="6.75" customHeight="1">
      <c r="A48" s="721"/>
      <c r="B48" s="717"/>
      <c r="C48" s="676"/>
      <c r="D48" s="151"/>
      <c r="E48" s="151"/>
      <c r="F48" s="151"/>
      <c r="G48" s="151"/>
      <c r="H48" s="151"/>
      <c r="I48" s="151"/>
      <c r="J48" s="151"/>
      <c r="K48" s="151"/>
      <c r="L48" s="151"/>
      <c r="M48" s="151"/>
      <c r="N48" s="151"/>
      <c r="O48" s="151"/>
      <c r="P48" s="151"/>
      <c r="Q48" s="151"/>
      <c r="R48" s="151"/>
    </row>
    <row r="49" spans="1:18" ht="80.25" customHeight="1">
      <c r="A49" s="358">
        <v>2</v>
      </c>
      <c r="B49" s="135" t="s">
        <v>590</v>
      </c>
      <c r="C49" s="676"/>
      <c r="D49" s="151"/>
      <c r="E49" s="151"/>
      <c r="F49" s="151"/>
      <c r="G49" s="151"/>
      <c r="H49" s="151"/>
      <c r="I49" s="151"/>
      <c r="J49" s="151"/>
      <c r="K49" s="151"/>
      <c r="L49" s="151"/>
      <c r="M49" s="151"/>
      <c r="N49" s="151"/>
      <c r="O49" s="151"/>
      <c r="P49" s="151"/>
      <c r="Q49" s="151"/>
      <c r="R49" s="151"/>
    </row>
    <row r="50" spans="1:18" ht="141" customHeight="1">
      <c r="A50" s="481">
        <v>3</v>
      </c>
      <c r="B50" s="666" t="s">
        <v>591</v>
      </c>
      <c r="C50" s="676"/>
      <c r="D50" s="151"/>
      <c r="E50" s="151"/>
      <c r="F50" s="151"/>
      <c r="G50" s="151"/>
      <c r="H50" s="151"/>
      <c r="I50" s="151"/>
      <c r="J50" s="151"/>
      <c r="K50" s="151"/>
      <c r="L50" s="151"/>
      <c r="M50" s="151"/>
      <c r="N50" s="151"/>
      <c r="O50" s="151"/>
      <c r="P50" s="151"/>
      <c r="Q50" s="151"/>
      <c r="R50" s="151"/>
    </row>
    <row r="51" spans="1:18" ht="155.25" customHeight="1">
      <c r="A51" s="481">
        <v>4</v>
      </c>
      <c r="B51" s="666" t="s">
        <v>584</v>
      </c>
      <c r="C51" s="676"/>
      <c r="D51" s="151"/>
      <c r="E51" s="151"/>
      <c r="F51" s="151"/>
      <c r="G51" s="151"/>
      <c r="H51" s="151"/>
      <c r="I51" s="151"/>
      <c r="J51" s="151"/>
      <c r="K51" s="151"/>
      <c r="L51" s="151"/>
      <c r="M51" s="151"/>
      <c r="N51" s="151"/>
      <c r="O51" s="151"/>
      <c r="P51" s="151"/>
      <c r="Q51" s="151"/>
      <c r="R51" s="151"/>
    </row>
    <row r="52" spans="1:18" ht="44.25" customHeight="1">
      <c r="A52" s="481">
        <v>5</v>
      </c>
      <c r="B52" s="320" t="s">
        <v>585</v>
      </c>
      <c r="C52" s="676"/>
      <c r="D52" s="151"/>
      <c r="E52" s="151"/>
      <c r="F52" s="151"/>
      <c r="G52" s="151"/>
      <c r="H52" s="151"/>
      <c r="I52" s="151"/>
      <c r="J52" s="151"/>
      <c r="K52" s="151"/>
      <c r="L52" s="151"/>
      <c r="M52" s="151"/>
      <c r="N52" s="151"/>
      <c r="O52" s="151"/>
      <c r="P52" s="151"/>
      <c r="Q52" s="151"/>
      <c r="R52" s="151"/>
    </row>
    <row r="53" spans="1:18" ht="89.25" customHeight="1">
      <c r="A53" s="481">
        <v>6</v>
      </c>
      <c r="B53" s="316" t="s">
        <v>586</v>
      </c>
      <c r="C53" s="676"/>
      <c r="D53" s="151"/>
      <c r="E53" s="151"/>
      <c r="F53" s="151"/>
      <c r="G53" s="151"/>
      <c r="H53" s="151"/>
      <c r="I53" s="151"/>
      <c r="J53" s="151"/>
      <c r="K53" s="151"/>
      <c r="L53" s="151"/>
      <c r="M53" s="151"/>
      <c r="N53" s="151"/>
      <c r="O53" s="151"/>
      <c r="P53" s="151"/>
      <c r="Q53" s="151"/>
      <c r="R53" s="151"/>
    </row>
    <row r="54" spans="1:18" ht="59.25" customHeight="1">
      <c r="A54" s="481">
        <v>7</v>
      </c>
      <c r="B54" s="316" t="s">
        <v>587</v>
      </c>
      <c r="C54" s="676"/>
      <c r="D54" s="151"/>
      <c r="E54" s="151"/>
      <c r="F54" s="151"/>
      <c r="G54" s="151"/>
      <c r="H54" s="151"/>
      <c r="I54" s="151"/>
      <c r="J54" s="151"/>
      <c r="K54" s="151"/>
      <c r="L54" s="151"/>
      <c r="M54" s="151"/>
      <c r="N54" s="151"/>
      <c r="O54" s="151"/>
      <c r="P54" s="151"/>
      <c r="Q54" s="151"/>
      <c r="R54" s="151"/>
    </row>
    <row r="55" spans="1:18" ht="45" customHeight="1">
      <c r="A55" s="481">
        <v>8</v>
      </c>
      <c r="B55" s="316" t="s">
        <v>576</v>
      </c>
      <c r="C55" s="676"/>
      <c r="D55" s="151"/>
      <c r="E55" s="151"/>
      <c r="F55" s="151"/>
      <c r="G55" s="151"/>
      <c r="H55" s="151"/>
      <c r="I55" s="151"/>
      <c r="J55" s="151"/>
      <c r="K55" s="151"/>
      <c r="L55" s="151"/>
      <c r="M55" s="151"/>
      <c r="N55" s="151"/>
      <c r="O55" s="151"/>
      <c r="P55" s="151"/>
      <c r="Q55" s="151"/>
      <c r="R55" s="151"/>
    </row>
    <row r="56" spans="1:18" ht="37.5" customHeight="1">
      <c r="A56" s="481">
        <v>9</v>
      </c>
      <c r="B56" s="316" t="s">
        <v>577</v>
      </c>
      <c r="C56" s="676"/>
      <c r="D56" s="151"/>
      <c r="E56" s="151"/>
      <c r="F56" s="151"/>
      <c r="G56" s="151"/>
      <c r="H56" s="151"/>
      <c r="I56" s="151"/>
      <c r="J56" s="151"/>
      <c r="K56" s="151"/>
      <c r="L56" s="151"/>
      <c r="M56" s="151"/>
      <c r="N56" s="151"/>
      <c r="O56" s="151"/>
      <c r="P56" s="151"/>
      <c r="Q56" s="151"/>
      <c r="R56" s="151"/>
    </row>
    <row r="57" spans="1:18" ht="30" customHeight="1">
      <c r="A57" s="481">
        <v>10</v>
      </c>
      <c r="B57" s="316" t="s">
        <v>578</v>
      </c>
      <c r="C57" s="676"/>
      <c r="D57" s="151"/>
      <c r="E57" s="151"/>
      <c r="F57" s="151"/>
      <c r="G57" s="151"/>
      <c r="H57" s="151"/>
      <c r="I57" s="151"/>
      <c r="J57" s="151"/>
      <c r="K57" s="151"/>
      <c r="L57" s="151"/>
      <c r="M57" s="151"/>
      <c r="N57" s="151"/>
      <c r="O57" s="151"/>
      <c r="P57" s="151"/>
      <c r="Q57" s="151"/>
      <c r="R57" s="151"/>
    </row>
    <row r="58" spans="1:18" ht="48" customHeight="1">
      <c r="A58" s="481">
        <v>11</v>
      </c>
      <c r="B58" s="528" t="s">
        <v>579</v>
      </c>
      <c r="C58" s="676"/>
      <c r="D58" s="151"/>
      <c r="E58" s="151"/>
      <c r="F58" s="151"/>
      <c r="G58" s="151"/>
      <c r="H58" s="151"/>
      <c r="I58" s="151"/>
      <c r="J58" s="151"/>
      <c r="K58" s="151"/>
      <c r="L58" s="151"/>
      <c r="M58" s="151"/>
      <c r="N58" s="151"/>
      <c r="O58" s="151"/>
      <c r="P58" s="151"/>
      <c r="Q58" s="151"/>
      <c r="R58" s="151"/>
    </row>
    <row r="59" spans="1:18" ht="21" customHeight="1">
      <c r="A59" s="481">
        <v>12</v>
      </c>
      <c r="B59" s="320" t="s">
        <v>580</v>
      </c>
      <c r="C59" s="676"/>
      <c r="D59" s="151"/>
      <c r="E59" s="151"/>
      <c r="F59" s="151"/>
      <c r="G59" s="151"/>
      <c r="H59" s="151"/>
      <c r="I59" s="151"/>
      <c r="J59" s="151"/>
      <c r="K59" s="151"/>
      <c r="L59" s="151"/>
      <c r="M59" s="151"/>
      <c r="N59" s="151"/>
      <c r="O59" s="151"/>
      <c r="P59" s="151"/>
      <c r="Q59" s="151"/>
      <c r="R59" s="151"/>
    </row>
    <row r="60" spans="1:18" ht="93.75" customHeight="1">
      <c r="A60" s="481">
        <v>13</v>
      </c>
      <c r="B60" s="320" t="s">
        <v>581</v>
      </c>
      <c r="C60" s="676"/>
      <c r="D60" s="151"/>
      <c r="E60" s="151"/>
      <c r="F60" s="151"/>
      <c r="G60" s="151"/>
      <c r="H60" s="151"/>
      <c r="I60" s="151"/>
      <c r="J60" s="151"/>
      <c r="K60" s="151"/>
      <c r="L60" s="151"/>
      <c r="M60" s="151"/>
      <c r="N60" s="151"/>
      <c r="O60" s="151"/>
      <c r="P60" s="151"/>
      <c r="Q60" s="151"/>
      <c r="R60" s="151"/>
    </row>
    <row r="61" spans="1:18" ht="90.75" customHeight="1">
      <c r="A61" s="481">
        <v>14</v>
      </c>
      <c r="B61" s="182" t="s">
        <v>582</v>
      </c>
      <c r="C61" s="676"/>
      <c r="D61" s="151"/>
      <c r="E61" s="151"/>
      <c r="F61" s="151"/>
      <c r="G61" s="151"/>
      <c r="H61" s="151"/>
      <c r="I61" s="151"/>
      <c r="J61" s="151"/>
      <c r="K61" s="151"/>
      <c r="L61" s="151"/>
      <c r="M61" s="151"/>
      <c r="N61" s="151"/>
      <c r="O61" s="151"/>
      <c r="P61" s="151"/>
      <c r="Q61" s="151"/>
      <c r="R61" s="151"/>
    </row>
    <row r="62" spans="1:18" ht="60.75" customHeight="1">
      <c r="A62" s="481">
        <v>15</v>
      </c>
      <c r="B62" s="666" t="s">
        <v>583</v>
      </c>
      <c r="C62" s="676"/>
      <c r="D62" s="151"/>
      <c r="E62" s="151"/>
      <c r="F62" s="151"/>
      <c r="G62" s="151"/>
      <c r="H62" s="151"/>
      <c r="I62" s="151"/>
      <c r="J62" s="151"/>
      <c r="K62" s="151"/>
      <c r="L62" s="151"/>
      <c r="M62" s="151"/>
      <c r="N62" s="151"/>
      <c r="O62" s="151"/>
      <c r="P62" s="151"/>
      <c r="Q62" s="151"/>
      <c r="R62" s="151"/>
    </row>
    <row r="63" spans="1:18" ht="45.75" customHeight="1">
      <c r="A63" s="481">
        <v>16</v>
      </c>
      <c r="B63" s="666" t="s">
        <v>565</v>
      </c>
      <c r="C63" s="676"/>
      <c r="D63" s="151"/>
      <c r="E63" s="151"/>
      <c r="F63" s="151"/>
      <c r="G63" s="151"/>
      <c r="H63" s="151"/>
      <c r="I63" s="151"/>
      <c r="J63" s="151"/>
      <c r="K63" s="151"/>
      <c r="L63" s="151"/>
      <c r="M63" s="151"/>
      <c r="N63" s="151"/>
      <c r="O63" s="151"/>
      <c r="P63" s="151"/>
      <c r="Q63" s="151"/>
      <c r="R63" s="151"/>
    </row>
    <row r="64" spans="1:18" ht="122.25" customHeight="1">
      <c r="A64" s="481">
        <v>17</v>
      </c>
      <c r="B64" s="320" t="s">
        <v>566</v>
      </c>
      <c r="C64" s="676"/>
      <c r="D64" s="151"/>
      <c r="E64" s="151"/>
      <c r="F64" s="151"/>
      <c r="G64" s="151"/>
      <c r="H64" s="151"/>
      <c r="I64" s="151"/>
      <c r="J64" s="151"/>
      <c r="K64" s="151"/>
      <c r="L64" s="151"/>
      <c r="M64" s="151"/>
      <c r="N64" s="151"/>
      <c r="O64" s="151"/>
      <c r="P64" s="151"/>
      <c r="Q64" s="151"/>
      <c r="R64" s="151"/>
    </row>
    <row r="65" spans="1:8" s="151" customFormat="1" ht="34.5" customHeight="1">
      <c r="A65" s="816"/>
      <c r="B65" s="142"/>
    </row>
    <row r="66" spans="1:8" s="151" customFormat="1" ht="24.75" customHeight="1">
      <c r="A66" s="16"/>
      <c r="B66" s="1" t="s">
        <v>567</v>
      </c>
      <c r="C66" s="676"/>
    </row>
    <row r="67" spans="1:8" s="151" customFormat="1" ht="24.75" customHeight="1">
      <c r="A67" s="16"/>
      <c r="B67" s="1" t="s">
        <v>601</v>
      </c>
      <c r="C67" s="676"/>
    </row>
    <row r="68" spans="1:8" s="151" customFormat="1" ht="60.75" customHeight="1">
      <c r="A68" s="481">
        <v>1</v>
      </c>
      <c r="B68" s="320" t="s">
        <v>568</v>
      </c>
      <c r="C68" s="676"/>
    </row>
    <row r="69" spans="1:8" s="151" customFormat="1" ht="30.75" customHeight="1">
      <c r="A69" s="16"/>
      <c r="B69" s="12" t="s">
        <v>569</v>
      </c>
      <c r="C69" s="676"/>
    </row>
    <row r="70" spans="1:8" s="151" customFormat="1" ht="15.75" customHeight="1">
      <c r="A70" s="585"/>
      <c r="B70" s="23" t="s">
        <v>570</v>
      </c>
      <c r="C70" s="676"/>
    </row>
    <row r="71" spans="1:8" s="151" customFormat="1" ht="30.75" customHeight="1">
      <c r="A71" s="721"/>
      <c r="B71" s="438" t="s">
        <v>571</v>
      </c>
      <c r="C71" s="676"/>
    </row>
    <row r="72" spans="1:8" s="151" customFormat="1" ht="29.25" customHeight="1">
      <c r="A72" s="721"/>
      <c r="B72" s="438" t="s">
        <v>572</v>
      </c>
      <c r="C72" s="676"/>
    </row>
    <row r="73" spans="1:8" s="151" customFormat="1" ht="28.5" customHeight="1">
      <c r="A73" s="721"/>
      <c r="B73" s="438" t="s">
        <v>573</v>
      </c>
      <c r="C73" s="676"/>
    </row>
    <row r="74" spans="1:8" s="151" customFormat="1" ht="14.25" customHeight="1">
      <c r="A74" s="721"/>
      <c r="B74" s="438" t="s">
        <v>574</v>
      </c>
      <c r="C74" s="676"/>
    </row>
    <row r="75" spans="1:8" s="151" customFormat="1" ht="14.25" customHeight="1">
      <c r="A75" s="721"/>
      <c r="B75" s="438" t="s">
        <v>575</v>
      </c>
      <c r="C75" s="676"/>
    </row>
    <row r="76" spans="1:8" s="151" customFormat="1" ht="71.25" customHeight="1">
      <c r="A76" s="721"/>
      <c r="B76" s="438" t="s">
        <v>555</v>
      </c>
      <c r="C76" s="676"/>
    </row>
    <row r="77" spans="1:8" s="151" customFormat="1" ht="14.25" customHeight="1">
      <c r="A77" s="721"/>
      <c r="B77" s="438" t="s">
        <v>556</v>
      </c>
      <c r="C77" s="676"/>
    </row>
    <row r="78" spans="1:8" s="151" customFormat="1" ht="9.75" customHeight="1">
      <c r="A78" s="721"/>
      <c r="B78" s="438"/>
      <c r="C78" s="676"/>
    </row>
    <row r="79" spans="1:8" s="151" customFormat="1" ht="56.25" customHeight="1">
      <c r="A79" s="721"/>
      <c r="B79" s="438" t="s">
        <v>557</v>
      </c>
      <c r="C79" s="676"/>
      <c r="H79" s="151" t="s">
        <v>558</v>
      </c>
    </row>
    <row r="80" spans="1:8" s="151" customFormat="1" ht="6" customHeight="1">
      <c r="A80" s="721"/>
      <c r="B80" s="438"/>
      <c r="C80" s="676"/>
    </row>
    <row r="81" spans="1:3" s="151" customFormat="1" ht="47.25" customHeight="1">
      <c r="A81" s="721"/>
      <c r="B81" s="438" t="s">
        <v>559</v>
      </c>
      <c r="C81" s="676"/>
    </row>
    <row r="82" spans="1:3" s="151" customFormat="1" ht="5.25" customHeight="1">
      <c r="A82" s="721"/>
      <c r="B82" s="438"/>
      <c r="C82" s="676"/>
    </row>
    <row r="83" spans="1:3" s="151" customFormat="1" ht="74.25" customHeight="1">
      <c r="A83" s="721"/>
      <c r="B83" s="438" t="s">
        <v>560</v>
      </c>
      <c r="C83" s="676"/>
    </row>
    <row r="84" spans="1:3" s="151" customFormat="1" ht="14.25" customHeight="1">
      <c r="A84" s="721"/>
      <c r="B84" s="438"/>
      <c r="C84" s="676"/>
    </row>
    <row r="85" spans="1:3" s="151" customFormat="1" ht="29.25" customHeight="1">
      <c r="A85" s="358">
        <v>2</v>
      </c>
      <c r="B85" s="855" t="s">
        <v>561</v>
      </c>
      <c r="C85" s="676"/>
    </row>
    <row r="86" spans="1:3" s="151" customFormat="1" ht="27" customHeight="1">
      <c r="A86" s="16"/>
      <c r="B86" s="621" t="s">
        <v>562</v>
      </c>
      <c r="C86" s="676"/>
    </row>
    <row r="87" spans="1:3" s="151" customFormat="1" ht="52.5" customHeight="1">
      <c r="A87" s="481">
        <v>3</v>
      </c>
      <c r="B87" s="320" t="s">
        <v>563</v>
      </c>
      <c r="C87" s="676"/>
    </row>
    <row r="88" spans="1:3" s="151" customFormat="1" ht="27" customHeight="1">
      <c r="A88" s="16"/>
      <c r="B88" s="12" t="s">
        <v>564</v>
      </c>
      <c r="C88" s="676"/>
    </row>
    <row r="89" spans="1:3" s="151" customFormat="1" ht="184.5" customHeight="1">
      <c r="A89" s="481">
        <v>4</v>
      </c>
      <c r="B89" s="320" t="s">
        <v>552</v>
      </c>
      <c r="C89" s="676"/>
    </row>
    <row r="90" spans="1:3" s="151" customFormat="1" ht="33.75" customHeight="1">
      <c r="A90" s="16"/>
      <c r="B90" s="12" t="s">
        <v>553</v>
      </c>
      <c r="C90" s="676"/>
    </row>
    <row r="91" spans="1:3" s="151" customFormat="1" ht="45.75" customHeight="1">
      <c r="A91" s="481">
        <v>5</v>
      </c>
      <c r="B91" s="320" t="s">
        <v>554</v>
      </c>
      <c r="C91" s="676"/>
    </row>
    <row r="92" spans="1:3" s="151" customFormat="1" ht="4.5" customHeight="1">
      <c r="A92" s="585"/>
      <c r="B92" s="23"/>
      <c r="C92" s="676"/>
    </row>
    <row r="93" spans="1:3" s="151" customFormat="1" ht="45" customHeight="1">
      <c r="A93" s="721"/>
      <c r="B93" s="717" t="s">
        <v>540</v>
      </c>
      <c r="C93" s="676"/>
    </row>
    <row r="94" spans="1:3" s="151" customFormat="1" ht="3" customHeight="1">
      <c r="A94" s="721"/>
      <c r="B94" s="717"/>
      <c r="C94" s="676"/>
    </row>
    <row r="95" spans="1:3" s="151" customFormat="1" ht="44.25" customHeight="1">
      <c r="A95" s="721"/>
      <c r="B95" s="717" t="s">
        <v>541</v>
      </c>
      <c r="C95" s="676"/>
    </row>
    <row r="96" spans="1:3" s="151" customFormat="1" ht="3.75" customHeight="1">
      <c r="A96" s="721"/>
      <c r="B96" s="717"/>
      <c r="C96" s="676"/>
    </row>
    <row r="97" spans="1:4" s="151" customFormat="1" ht="61.5" customHeight="1">
      <c r="A97" s="721"/>
      <c r="B97" s="717" t="s">
        <v>542</v>
      </c>
      <c r="C97" s="676"/>
    </row>
    <row r="98" spans="1:4" s="151" customFormat="1" ht="3.75" customHeight="1">
      <c r="A98" s="721"/>
      <c r="B98" s="717"/>
      <c r="C98" s="676"/>
    </row>
    <row r="99" spans="1:4" s="151" customFormat="1" ht="46.5" customHeight="1">
      <c r="A99" s="358">
        <v>6</v>
      </c>
      <c r="B99" s="844" t="s">
        <v>543</v>
      </c>
      <c r="C99" s="676"/>
    </row>
    <row r="100" spans="1:4" s="151" customFormat="1" ht="8.25" customHeight="1">
      <c r="A100" s="585"/>
      <c r="B100" s="23"/>
      <c r="C100" s="676"/>
    </row>
    <row r="101" spans="1:4" s="151" customFormat="1" ht="30" customHeight="1">
      <c r="A101" s="721"/>
      <c r="B101" s="836" t="s">
        <v>544</v>
      </c>
      <c r="C101" s="676"/>
    </row>
    <row r="102" spans="1:4" s="151" customFormat="1" ht="17.25" customHeight="1">
      <c r="A102" s="721"/>
      <c r="B102" s="717" t="s">
        <v>545</v>
      </c>
      <c r="C102" s="676"/>
    </row>
    <row r="103" spans="1:4" s="151" customFormat="1" ht="17.25" customHeight="1">
      <c r="A103" s="721"/>
      <c r="B103" s="717" t="s">
        <v>546</v>
      </c>
      <c r="C103" s="676"/>
    </row>
    <row r="104" spans="1:4" s="151" customFormat="1" ht="17.25" customHeight="1">
      <c r="A104" s="721"/>
      <c r="B104" s="717" t="s">
        <v>547</v>
      </c>
      <c r="C104" s="676"/>
    </row>
    <row r="105" spans="1:4" s="151" customFormat="1" ht="5.25" customHeight="1">
      <c r="A105" s="721"/>
      <c r="B105" s="717"/>
      <c r="C105" s="676"/>
    </row>
    <row r="106" spans="1:4" s="151" customFormat="1" ht="63.75" customHeight="1">
      <c r="A106" s="358">
        <v>7</v>
      </c>
      <c r="B106" s="39" t="s">
        <v>548</v>
      </c>
      <c r="C106" s="676"/>
    </row>
    <row r="107" spans="1:4" s="151" customFormat="1" ht="27" customHeight="1">
      <c r="A107" s="16"/>
      <c r="B107" s="621" t="s">
        <v>549</v>
      </c>
      <c r="C107" s="676"/>
    </row>
    <row r="108" spans="1:4" s="151" customFormat="1" ht="50.25" customHeight="1">
      <c r="A108" s="481">
        <v>8</v>
      </c>
      <c r="B108" s="320" t="s">
        <v>550</v>
      </c>
      <c r="C108" s="676"/>
    </row>
    <row r="109" spans="1:4" s="151" customFormat="1" ht="25.5" customHeight="1">
      <c r="A109" s="16"/>
      <c r="B109" s="12" t="s">
        <v>551</v>
      </c>
      <c r="C109" s="676"/>
      <c r="D109" s="560"/>
    </row>
    <row r="110" spans="1:4" s="151" customFormat="1" ht="354" customHeight="1">
      <c r="A110" s="481">
        <v>9</v>
      </c>
      <c r="B110" s="316" t="s">
        <v>539</v>
      </c>
      <c r="C110" s="676"/>
    </row>
    <row r="111" spans="1:4" s="151" customFormat="1" ht="14.25" customHeight="1">
      <c r="A111" s="585"/>
      <c r="B111" s="618"/>
      <c r="C111" s="676"/>
    </row>
    <row r="112" spans="1:4" s="151" customFormat="1" ht="103.5" customHeight="1">
      <c r="A112" s="358">
        <v>10</v>
      </c>
      <c r="B112" s="39" t="s">
        <v>530</v>
      </c>
      <c r="C112" s="676"/>
    </row>
    <row r="113" spans="1:18" s="151" customFormat="1" ht="45" customHeight="1">
      <c r="A113" s="481">
        <v>11</v>
      </c>
      <c r="B113" s="320" t="s">
        <v>531</v>
      </c>
      <c r="C113" s="676"/>
    </row>
    <row r="114" spans="1:18" s="151" customFormat="1">
      <c r="A114" s="784"/>
      <c r="B114" s="846"/>
    </row>
    <row r="115" spans="1:18" s="151" customFormat="1" ht="14.25" customHeight="1">
      <c r="A115" s="232"/>
      <c r="B115" s="560"/>
    </row>
    <row r="116" spans="1:18" s="151" customFormat="1" ht="13.5" customHeight="1">
      <c r="A116" s="734"/>
      <c r="B116" s="310"/>
    </row>
    <row r="117" spans="1:18" s="151" customFormat="1" ht="24" customHeight="1">
      <c r="A117" s="16"/>
      <c r="B117" s="1" t="s">
        <v>532</v>
      </c>
      <c r="C117" s="676"/>
    </row>
    <row r="118" spans="1:18" s="151" customFormat="1" ht="30" customHeight="1">
      <c r="A118" s="585"/>
      <c r="B118" s="342" t="s">
        <v>533</v>
      </c>
      <c r="C118" s="676"/>
    </row>
    <row r="119" spans="1:18" s="151" customFormat="1" ht="15" customHeight="1">
      <c r="A119" s="721"/>
      <c r="B119" s="438" t="s">
        <v>534</v>
      </c>
      <c r="C119" s="676"/>
    </row>
    <row r="120" spans="1:18" s="151" customFormat="1" ht="15" customHeight="1">
      <c r="A120" s="721"/>
      <c r="B120" s="438" t="s">
        <v>535</v>
      </c>
      <c r="C120" s="676"/>
    </row>
    <row r="121" spans="1:18" s="151" customFormat="1" ht="15" customHeight="1">
      <c r="A121" s="721"/>
      <c r="B121" s="438" t="s">
        <v>536</v>
      </c>
      <c r="C121" s="676"/>
    </row>
    <row r="122" spans="1:18" s="151" customFormat="1" ht="15" customHeight="1">
      <c r="A122" s="721"/>
      <c r="B122" s="438" t="s">
        <v>537</v>
      </c>
      <c r="C122" s="676"/>
    </row>
    <row r="123" spans="1:18" s="151" customFormat="1" ht="15" customHeight="1">
      <c r="A123" s="358">
        <v>1</v>
      </c>
      <c r="B123" s="855" t="s">
        <v>538</v>
      </c>
      <c r="C123" s="676"/>
    </row>
    <row r="124" spans="1:18" s="151" customFormat="1" ht="183" customHeight="1">
      <c r="A124" s="481">
        <v>2</v>
      </c>
      <c r="B124" s="320" t="s">
        <v>527</v>
      </c>
      <c r="C124" s="676"/>
    </row>
    <row r="125" spans="1:18" ht="103.5" customHeight="1">
      <c r="A125" s="585"/>
      <c r="B125" s="18" t="s">
        <v>528</v>
      </c>
      <c r="C125" s="676"/>
      <c r="D125" s="151"/>
      <c r="E125" s="151"/>
      <c r="F125" s="151"/>
      <c r="G125" s="151"/>
      <c r="H125" s="151"/>
      <c r="I125" s="151"/>
      <c r="J125" s="151"/>
      <c r="K125" s="151"/>
      <c r="L125" s="151"/>
      <c r="M125" s="151"/>
      <c r="N125" s="151"/>
      <c r="O125" s="151"/>
      <c r="P125" s="151"/>
      <c r="Q125" s="151"/>
      <c r="R125" s="151"/>
    </row>
    <row r="126" spans="1:18" ht="8.25" customHeight="1">
      <c r="A126" s="721"/>
      <c r="B126" s="540"/>
      <c r="C126" s="676"/>
      <c r="D126" s="151"/>
      <c r="E126" s="151"/>
      <c r="F126" s="151"/>
      <c r="G126" s="151"/>
      <c r="H126" s="151"/>
      <c r="I126" s="151"/>
      <c r="J126" s="151"/>
      <c r="K126" s="151"/>
      <c r="L126" s="151"/>
      <c r="M126" s="151"/>
      <c r="N126" s="151"/>
      <c r="O126" s="151"/>
      <c r="P126" s="151"/>
      <c r="Q126" s="151"/>
      <c r="R126" s="151"/>
    </row>
    <row r="127" spans="1:18" ht="63" customHeight="1">
      <c r="A127" s="721"/>
      <c r="B127" s="540" t="s">
        <v>529</v>
      </c>
      <c r="C127" s="676"/>
      <c r="D127" s="151"/>
      <c r="E127" s="151"/>
      <c r="F127" s="151"/>
      <c r="G127" s="151"/>
      <c r="H127" s="151"/>
      <c r="I127" s="151"/>
      <c r="J127" s="151"/>
      <c r="K127" s="151"/>
      <c r="L127" s="151"/>
      <c r="M127" s="151"/>
      <c r="N127" s="151"/>
      <c r="O127" s="151"/>
      <c r="P127" s="151"/>
      <c r="Q127" s="151"/>
      <c r="R127" s="151"/>
    </row>
    <row r="128" spans="1:18" ht="8.25" customHeight="1">
      <c r="A128" s="721"/>
      <c r="B128" s="540"/>
      <c r="C128" s="676"/>
      <c r="D128" s="151"/>
      <c r="E128" s="151"/>
      <c r="F128" s="151"/>
      <c r="G128" s="151"/>
      <c r="H128" s="151"/>
      <c r="I128" s="151"/>
      <c r="J128" s="151"/>
      <c r="K128" s="151"/>
      <c r="L128" s="151"/>
      <c r="M128" s="151"/>
      <c r="N128" s="151"/>
      <c r="O128" s="151"/>
      <c r="P128" s="151"/>
      <c r="Q128" s="151"/>
      <c r="R128" s="151"/>
    </row>
    <row r="129" spans="1:18" ht="60.75" customHeight="1">
      <c r="A129" s="358">
        <v>3</v>
      </c>
      <c r="B129" s="24" t="s">
        <v>523</v>
      </c>
      <c r="C129" s="676"/>
      <c r="D129" s="151"/>
      <c r="E129" s="151"/>
      <c r="F129" s="151"/>
      <c r="G129" s="151"/>
      <c r="H129" s="151"/>
      <c r="I129" s="151"/>
      <c r="J129" s="151"/>
      <c r="K129" s="151"/>
      <c r="L129" s="151"/>
      <c r="M129" s="151"/>
      <c r="N129" s="151"/>
      <c r="O129" s="151"/>
      <c r="P129" s="151"/>
      <c r="Q129" s="151"/>
      <c r="R129" s="151"/>
    </row>
    <row r="130" spans="1:18" ht="60.75" customHeight="1">
      <c r="A130" s="481">
        <v>4</v>
      </c>
      <c r="B130" s="569" t="s">
        <v>524</v>
      </c>
      <c r="C130" s="676"/>
      <c r="D130" s="151"/>
      <c r="E130" s="151"/>
      <c r="F130" s="151"/>
      <c r="G130" s="151"/>
      <c r="H130" s="151"/>
      <c r="I130" s="151"/>
      <c r="J130" s="151"/>
      <c r="K130" s="151"/>
      <c r="L130" s="151"/>
      <c r="M130" s="151"/>
      <c r="N130" s="151"/>
      <c r="O130" s="151"/>
      <c r="P130" s="151"/>
      <c r="Q130" s="151"/>
      <c r="R130" s="151"/>
    </row>
    <row r="131" spans="1:18" ht="95.25" customHeight="1">
      <c r="A131" s="585">
        <v>5</v>
      </c>
      <c r="B131" s="23" t="s">
        <v>525</v>
      </c>
      <c r="C131" s="676"/>
      <c r="D131" s="151"/>
      <c r="E131" s="151"/>
      <c r="F131" s="151"/>
      <c r="G131" s="151"/>
      <c r="H131" s="151"/>
      <c r="I131" s="151"/>
      <c r="J131" s="151"/>
      <c r="K131" s="151"/>
      <c r="L131" s="151"/>
      <c r="M131" s="151"/>
      <c r="N131" s="151"/>
      <c r="O131" s="151"/>
      <c r="P131" s="151"/>
      <c r="Q131" s="151"/>
      <c r="R131" s="151"/>
    </row>
    <row r="132" spans="1:18" ht="6" customHeight="1">
      <c r="A132" s="721"/>
      <c r="B132" s="332"/>
      <c r="C132" s="151"/>
      <c r="D132" s="151"/>
      <c r="E132" s="151"/>
      <c r="F132" s="151"/>
      <c r="G132" s="151"/>
      <c r="H132" s="151"/>
      <c r="I132" s="151"/>
      <c r="J132" s="151"/>
      <c r="K132" s="151"/>
      <c r="L132" s="151"/>
      <c r="M132" s="151"/>
      <c r="N132" s="151"/>
      <c r="O132" s="151"/>
      <c r="P132" s="151"/>
      <c r="Q132" s="151"/>
      <c r="R132" s="151"/>
    </row>
    <row r="133" spans="1:18" ht="149.25" customHeight="1">
      <c r="A133" s="358">
        <v>6</v>
      </c>
      <c r="B133" s="39" t="s">
        <v>526</v>
      </c>
      <c r="C133" s="676"/>
      <c r="D133" s="151"/>
      <c r="E133" s="151"/>
      <c r="F133" s="151"/>
      <c r="G133" s="151"/>
      <c r="H133" s="151"/>
      <c r="I133" s="151"/>
      <c r="J133" s="151"/>
      <c r="K133" s="151"/>
      <c r="L133" s="151"/>
      <c r="M133" s="151"/>
      <c r="N133" s="151"/>
      <c r="O133" s="151"/>
      <c r="P133" s="151"/>
      <c r="Q133" s="151"/>
      <c r="R133" s="151"/>
    </row>
    <row r="134" spans="1:18" ht="104.25" customHeight="1">
      <c r="A134" s="481">
        <v>7</v>
      </c>
      <c r="B134" s="569" t="s">
        <v>517</v>
      </c>
      <c r="C134" s="676"/>
      <c r="D134" s="151"/>
      <c r="E134" s="151"/>
      <c r="F134" s="151"/>
      <c r="G134" s="151"/>
      <c r="H134" s="151"/>
      <c r="I134" s="151"/>
      <c r="J134" s="151"/>
      <c r="K134" s="151"/>
      <c r="L134" s="151"/>
      <c r="M134" s="151"/>
      <c r="N134" s="151"/>
      <c r="O134" s="151"/>
      <c r="P134" s="151"/>
      <c r="Q134" s="151"/>
      <c r="R134" s="151"/>
    </row>
    <row r="135" spans="1:18" ht="45" customHeight="1">
      <c r="A135" s="481">
        <v>8</v>
      </c>
      <c r="B135" s="590" t="s">
        <v>518</v>
      </c>
      <c r="C135" s="676"/>
      <c r="D135" s="151"/>
      <c r="E135" s="151"/>
      <c r="F135" s="151"/>
      <c r="G135" s="151"/>
      <c r="H135" s="151"/>
      <c r="I135" s="151"/>
      <c r="J135" s="151"/>
      <c r="K135" s="151"/>
      <c r="L135" s="151"/>
      <c r="M135" s="151"/>
      <c r="N135" s="151"/>
      <c r="O135" s="151"/>
      <c r="P135" s="151"/>
      <c r="Q135" s="151"/>
      <c r="R135" s="151"/>
    </row>
    <row r="136" spans="1:18" ht="14.25" customHeight="1">
      <c r="A136" s="784"/>
      <c r="B136" s="435"/>
      <c r="C136" s="151"/>
      <c r="D136" s="151"/>
      <c r="E136" s="151"/>
      <c r="F136" s="151"/>
      <c r="G136" s="151"/>
      <c r="H136" s="151"/>
      <c r="I136" s="151"/>
      <c r="J136" s="151"/>
      <c r="K136" s="151"/>
      <c r="L136" s="151"/>
      <c r="M136" s="151"/>
      <c r="N136" s="151"/>
      <c r="O136" s="151"/>
      <c r="P136" s="151"/>
      <c r="Q136" s="151"/>
      <c r="R136" s="151"/>
    </row>
    <row r="137" spans="1:18" ht="14.25" customHeight="1">
      <c r="B137" s="560"/>
      <c r="C137" s="151"/>
      <c r="D137" s="151"/>
      <c r="E137" s="151"/>
      <c r="F137" s="151"/>
      <c r="G137" s="151"/>
      <c r="H137" s="151"/>
      <c r="I137" s="151"/>
      <c r="J137" s="151"/>
      <c r="K137" s="151"/>
      <c r="L137" s="151"/>
      <c r="M137" s="151"/>
      <c r="N137" s="151"/>
      <c r="O137" s="151"/>
      <c r="P137" s="151"/>
      <c r="Q137" s="151"/>
      <c r="R137" s="151"/>
    </row>
    <row r="138" spans="1:18" ht="15" customHeight="1">
      <c r="A138" s="734"/>
      <c r="B138" s="669"/>
      <c r="C138" s="151"/>
      <c r="D138" s="151"/>
      <c r="E138" s="151"/>
      <c r="F138" s="151"/>
      <c r="G138" s="151"/>
      <c r="H138" s="151"/>
      <c r="I138" s="151"/>
      <c r="J138" s="151"/>
      <c r="K138" s="151"/>
      <c r="L138" s="151"/>
      <c r="M138" s="151"/>
      <c r="N138" s="151"/>
      <c r="O138" s="151"/>
      <c r="P138" s="151"/>
      <c r="Q138" s="151"/>
      <c r="R138" s="151"/>
    </row>
    <row r="139" spans="1:18" ht="24" customHeight="1">
      <c r="A139" s="16"/>
      <c r="B139" s="1" t="s">
        <v>519</v>
      </c>
      <c r="C139" s="676"/>
      <c r="D139" s="151"/>
      <c r="E139" s="151"/>
      <c r="F139" s="151"/>
      <c r="G139" s="151"/>
      <c r="H139" s="151"/>
      <c r="I139" s="151"/>
      <c r="J139" s="151"/>
      <c r="K139" s="151"/>
      <c r="L139" s="151"/>
      <c r="M139" s="151"/>
      <c r="N139" s="151"/>
      <c r="O139" s="151"/>
      <c r="P139" s="151"/>
      <c r="Q139" s="151"/>
      <c r="R139" s="151"/>
    </row>
    <row r="140" spans="1:18" ht="24" customHeight="1">
      <c r="A140" s="16"/>
      <c r="B140" s="1" t="s">
        <v>601</v>
      </c>
      <c r="C140" s="676"/>
      <c r="D140" s="151"/>
      <c r="E140" s="151"/>
      <c r="F140" s="151"/>
      <c r="G140" s="151"/>
      <c r="H140" s="151"/>
      <c r="I140" s="151"/>
      <c r="J140" s="151"/>
      <c r="K140" s="151"/>
      <c r="L140" s="151"/>
      <c r="M140" s="151"/>
      <c r="N140" s="151"/>
      <c r="O140" s="151"/>
      <c r="P140" s="151"/>
      <c r="Q140" s="151"/>
      <c r="R140" s="151"/>
    </row>
    <row r="141" spans="1:18" s="518" customFormat="1" ht="18" customHeight="1">
      <c r="A141" s="238">
        <v>1</v>
      </c>
      <c r="B141" s="166" t="s">
        <v>520</v>
      </c>
      <c r="C141" s="525"/>
    </row>
    <row r="142" spans="1:18" s="518" customFormat="1" ht="48" customHeight="1">
      <c r="A142" s="238">
        <v>2</v>
      </c>
      <c r="B142" s="166" t="s">
        <v>521</v>
      </c>
      <c r="C142" s="525"/>
    </row>
    <row r="143" spans="1:18" s="518" customFormat="1" ht="47.25" customHeight="1">
      <c r="A143" s="238">
        <v>3</v>
      </c>
      <c r="B143" s="166" t="s">
        <v>522</v>
      </c>
      <c r="C143" s="525"/>
    </row>
    <row r="144" spans="1:18" s="518" customFormat="1" ht="133.5" customHeight="1">
      <c r="A144" s="238">
        <v>4</v>
      </c>
      <c r="B144" s="166" t="s">
        <v>513</v>
      </c>
      <c r="C144" s="525"/>
    </row>
    <row r="145" spans="1:18" s="518" customFormat="1" ht="36.75" customHeight="1">
      <c r="A145" s="238">
        <v>5</v>
      </c>
      <c r="B145" s="166" t="s">
        <v>514</v>
      </c>
      <c r="C145" s="525"/>
    </row>
    <row r="146" spans="1:18" s="518" customFormat="1" ht="34.5" customHeight="1">
      <c r="A146" s="238">
        <v>6</v>
      </c>
      <c r="B146" s="166" t="s">
        <v>515</v>
      </c>
      <c r="C146" s="525"/>
    </row>
    <row r="147" spans="1:18" ht="48.75" customHeight="1">
      <c r="A147" s="238">
        <v>7</v>
      </c>
      <c r="B147" s="416" t="s">
        <v>516</v>
      </c>
      <c r="C147" s="676"/>
      <c r="D147" s="151"/>
      <c r="E147" s="151"/>
      <c r="F147" s="151"/>
      <c r="G147" s="151"/>
      <c r="H147" s="151"/>
      <c r="I147" s="151"/>
      <c r="J147" s="151"/>
      <c r="K147" s="151"/>
      <c r="L147" s="151"/>
      <c r="M147" s="151"/>
      <c r="N147" s="151"/>
      <c r="O147" s="151"/>
      <c r="P147" s="151"/>
      <c r="Q147" s="151"/>
      <c r="R147" s="151"/>
    </row>
    <row r="148" spans="1:18" ht="34.5" customHeight="1">
      <c r="A148" s="238">
        <v>8</v>
      </c>
      <c r="B148" s="351" t="s">
        <v>504</v>
      </c>
      <c r="C148" s="676"/>
      <c r="D148" s="151"/>
      <c r="E148" s="151"/>
      <c r="F148" s="151"/>
      <c r="G148" s="151"/>
      <c r="H148" s="151"/>
      <c r="I148" s="151"/>
      <c r="J148" s="151"/>
      <c r="K148" s="151"/>
      <c r="L148" s="151"/>
      <c r="M148" s="151"/>
      <c r="N148" s="151"/>
      <c r="O148" s="151"/>
      <c r="P148" s="151"/>
      <c r="Q148" s="151"/>
      <c r="R148" s="151"/>
    </row>
    <row r="149" spans="1:18" ht="36.75" customHeight="1">
      <c r="A149" s="238">
        <v>9</v>
      </c>
      <c r="B149" s="49" t="s">
        <v>505</v>
      </c>
      <c r="C149" s="676"/>
      <c r="D149" s="151"/>
      <c r="E149" s="151"/>
      <c r="F149" s="151"/>
      <c r="G149" s="151"/>
      <c r="H149" s="151"/>
      <c r="I149" s="151"/>
      <c r="J149" s="151"/>
      <c r="K149" s="151"/>
      <c r="L149" s="151"/>
      <c r="M149" s="151"/>
      <c r="N149" s="151"/>
      <c r="O149" s="151"/>
      <c r="P149" s="151"/>
      <c r="Q149" s="151"/>
      <c r="R149" s="151"/>
    </row>
    <row r="150" spans="1:18" ht="30" customHeight="1">
      <c r="A150" s="238">
        <v>10</v>
      </c>
      <c r="B150" s="351" t="s">
        <v>506</v>
      </c>
      <c r="C150" s="676"/>
      <c r="D150" s="151"/>
      <c r="E150" s="151"/>
      <c r="F150" s="151"/>
      <c r="G150" s="151"/>
      <c r="H150" s="151"/>
      <c r="I150" s="151"/>
      <c r="J150" s="151"/>
      <c r="K150" s="151"/>
      <c r="L150" s="151"/>
      <c r="M150" s="151"/>
      <c r="N150" s="151"/>
      <c r="O150" s="151"/>
      <c r="P150" s="151"/>
      <c r="Q150" s="151"/>
      <c r="R150" s="151"/>
    </row>
    <row r="151" spans="1:18" ht="36" customHeight="1">
      <c r="A151" s="238">
        <v>11</v>
      </c>
      <c r="B151" s="327" t="s">
        <v>507</v>
      </c>
      <c r="C151" s="676"/>
      <c r="D151" s="151"/>
      <c r="E151" s="151"/>
      <c r="F151" s="151"/>
      <c r="G151" s="151"/>
      <c r="H151" s="151"/>
      <c r="I151" s="151"/>
      <c r="J151" s="151"/>
      <c r="K151" s="151"/>
      <c r="L151" s="151"/>
      <c r="M151" s="151"/>
      <c r="N151" s="151"/>
      <c r="O151" s="151"/>
      <c r="P151" s="151"/>
      <c r="Q151" s="151"/>
      <c r="R151" s="151"/>
    </row>
    <row r="152" spans="1:18" ht="17.25" customHeight="1">
      <c r="A152" s="238">
        <v>12</v>
      </c>
      <c r="B152" s="320" t="s">
        <v>508</v>
      </c>
      <c r="C152" s="676"/>
      <c r="D152" s="151"/>
      <c r="E152" s="151"/>
      <c r="F152" s="151"/>
      <c r="G152" s="151"/>
      <c r="H152" s="151"/>
      <c r="I152" s="151"/>
      <c r="J152" s="151"/>
      <c r="K152" s="151"/>
      <c r="L152" s="151"/>
      <c r="M152" s="151"/>
      <c r="N152" s="151"/>
      <c r="O152" s="151"/>
      <c r="P152" s="151"/>
      <c r="Q152" s="151"/>
      <c r="R152" s="151"/>
    </row>
    <row r="153" spans="1:18" ht="58.5" customHeight="1">
      <c r="A153" s="238">
        <v>13</v>
      </c>
      <c r="B153" s="166" t="s">
        <v>509</v>
      </c>
      <c r="C153" s="676"/>
      <c r="D153" s="151"/>
      <c r="E153" s="151"/>
      <c r="F153" s="151"/>
      <c r="G153" s="151"/>
      <c r="H153" s="151"/>
      <c r="I153" s="151"/>
      <c r="J153" s="151"/>
      <c r="K153" s="151"/>
      <c r="L153" s="151"/>
      <c r="M153" s="151"/>
      <c r="N153" s="151"/>
      <c r="O153" s="151"/>
      <c r="P153" s="151"/>
      <c r="Q153" s="151"/>
      <c r="R153" s="151"/>
    </row>
    <row r="154" spans="1:18" ht="24.75" customHeight="1">
      <c r="A154" s="356"/>
      <c r="B154" s="797" t="s">
        <v>510</v>
      </c>
      <c r="C154" s="676"/>
      <c r="D154" s="151"/>
      <c r="E154" s="151"/>
      <c r="F154" s="151"/>
      <c r="G154" s="151"/>
      <c r="H154" s="151"/>
      <c r="I154" s="151"/>
      <c r="J154" s="151"/>
      <c r="K154" s="151"/>
      <c r="L154" s="151"/>
      <c r="M154" s="151"/>
      <c r="N154" s="151"/>
      <c r="O154" s="151"/>
      <c r="P154" s="151"/>
      <c r="Q154" s="151"/>
      <c r="R154" s="151"/>
    </row>
    <row r="155" spans="1:18" ht="65.25" customHeight="1">
      <c r="A155" s="481">
        <v>14</v>
      </c>
      <c r="B155" s="569" t="s">
        <v>511</v>
      </c>
      <c r="C155" s="676"/>
      <c r="D155" s="151"/>
      <c r="E155" s="151"/>
      <c r="F155" s="151"/>
      <c r="G155" s="151"/>
      <c r="H155" s="151"/>
      <c r="I155" s="151"/>
      <c r="J155" s="151"/>
      <c r="K155" s="151"/>
      <c r="L155" s="151"/>
      <c r="M155" s="151"/>
      <c r="N155" s="151"/>
      <c r="O155" s="151"/>
      <c r="P155" s="151"/>
      <c r="Q155" s="151"/>
      <c r="R155" s="151"/>
    </row>
    <row r="156" spans="1:18" ht="0.75" hidden="1" customHeight="1">
      <c r="A156" s="481">
        <v>2</v>
      </c>
      <c r="B156" s="590"/>
      <c r="C156" s="676"/>
      <c r="D156" s="151"/>
      <c r="E156" s="151"/>
      <c r="F156" s="151"/>
      <c r="G156" s="151"/>
      <c r="H156" s="151"/>
      <c r="I156" s="151"/>
      <c r="J156" s="151"/>
      <c r="K156" s="151"/>
      <c r="L156" s="151"/>
      <c r="M156" s="151"/>
      <c r="N156" s="151"/>
      <c r="O156" s="151"/>
      <c r="P156" s="151"/>
      <c r="Q156" s="151"/>
      <c r="R156" s="151"/>
    </row>
    <row r="157" spans="1:18" ht="34.5" customHeight="1">
      <c r="A157" s="481">
        <v>15</v>
      </c>
      <c r="B157" s="316" t="s">
        <v>512</v>
      </c>
      <c r="C157" s="676"/>
      <c r="D157" s="151"/>
      <c r="E157" s="151"/>
      <c r="F157" s="151"/>
      <c r="G157" s="151"/>
      <c r="H157" s="151"/>
      <c r="I157" s="151"/>
      <c r="J157" s="151"/>
      <c r="K157" s="151"/>
      <c r="L157" s="151"/>
      <c r="M157" s="151"/>
      <c r="N157" s="151"/>
      <c r="O157" s="151"/>
      <c r="P157" s="151"/>
      <c r="Q157" s="151"/>
      <c r="R157" s="151"/>
    </row>
    <row r="158" spans="1:18" ht="91.5" customHeight="1">
      <c r="A158" s="481">
        <v>16</v>
      </c>
      <c r="B158" s="590" t="s">
        <v>492</v>
      </c>
      <c r="C158" s="676"/>
      <c r="D158" s="151"/>
      <c r="E158" s="151"/>
      <c r="F158" s="151"/>
      <c r="G158" s="151"/>
      <c r="H158" s="151"/>
      <c r="I158" s="151"/>
      <c r="J158" s="151"/>
      <c r="K158" s="151"/>
      <c r="L158" s="151"/>
      <c r="M158" s="151"/>
      <c r="N158" s="151"/>
      <c r="O158" s="151"/>
      <c r="P158" s="151"/>
      <c r="Q158" s="151"/>
      <c r="R158" s="151"/>
    </row>
    <row r="159" spans="1:18" ht="62.25" customHeight="1">
      <c r="A159" s="585"/>
      <c r="B159" s="23" t="s">
        <v>493</v>
      </c>
      <c r="C159" s="676"/>
      <c r="D159" s="151"/>
      <c r="E159" s="151"/>
      <c r="F159" s="151"/>
      <c r="G159" s="151"/>
      <c r="H159" s="151"/>
      <c r="I159" s="151"/>
      <c r="J159" s="151"/>
      <c r="K159" s="151"/>
      <c r="L159" s="151"/>
      <c r="M159" s="151"/>
      <c r="N159" s="151"/>
      <c r="O159" s="151"/>
      <c r="P159" s="151"/>
      <c r="Q159" s="151"/>
      <c r="R159" s="151"/>
    </row>
    <row r="160" spans="1:18" ht="14">
      <c r="A160" s="721"/>
      <c r="B160" s="170" t="s">
        <v>494</v>
      </c>
      <c r="C160" s="676"/>
      <c r="D160" s="870"/>
      <c r="E160" s="871"/>
      <c r="F160" s="871"/>
      <c r="G160" s="871"/>
      <c r="H160" s="871"/>
      <c r="I160" s="871"/>
      <c r="J160" s="871"/>
      <c r="K160" s="871"/>
      <c r="L160" s="871"/>
      <c r="M160" s="871"/>
      <c r="N160" s="871"/>
      <c r="O160" s="871"/>
      <c r="P160" s="151"/>
      <c r="Q160" s="151"/>
      <c r="R160" s="151"/>
    </row>
    <row r="161" spans="1:18" ht="14">
      <c r="A161" s="721"/>
      <c r="B161" s="170" t="s">
        <v>495</v>
      </c>
      <c r="C161" s="676"/>
      <c r="D161" s="82"/>
      <c r="E161" s="322"/>
      <c r="F161" s="322"/>
      <c r="G161" s="322"/>
      <c r="H161" s="322"/>
      <c r="I161" s="322"/>
      <c r="J161" s="322"/>
      <c r="K161" s="322"/>
      <c r="L161" s="322"/>
      <c r="M161" s="322"/>
      <c r="N161" s="322"/>
      <c r="O161" s="322"/>
      <c r="P161" s="151"/>
      <c r="Q161" s="151"/>
      <c r="R161" s="151"/>
    </row>
    <row r="162" spans="1:18" ht="14">
      <c r="A162" s="721"/>
      <c r="B162" s="170" t="s">
        <v>496</v>
      </c>
      <c r="C162" s="676"/>
      <c r="D162" s="82"/>
      <c r="E162" s="322"/>
      <c r="F162" s="322"/>
      <c r="G162" s="322"/>
      <c r="H162" s="322"/>
      <c r="I162" s="322"/>
      <c r="J162" s="322"/>
      <c r="K162" s="322"/>
      <c r="L162" s="322"/>
      <c r="M162" s="322"/>
      <c r="N162" s="322"/>
      <c r="O162" s="322"/>
      <c r="P162" s="151"/>
      <c r="Q162" s="151"/>
      <c r="R162" s="151"/>
    </row>
    <row r="163" spans="1:18" ht="14">
      <c r="A163" s="721"/>
      <c r="B163" s="170" t="s">
        <v>497</v>
      </c>
      <c r="C163" s="676"/>
      <c r="D163" s="82"/>
      <c r="E163" s="322"/>
      <c r="F163" s="322"/>
      <c r="G163" s="322"/>
      <c r="H163" s="322"/>
      <c r="I163" s="322"/>
      <c r="J163" s="322"/>
      <c r="K163" s="322"/>
      <c r="L163" s="322"/>
      <c r="M163" s="322"/>
      <c r="N163" s="322"/>
      <c r="O163" s="322"/>
      <c r="P163" s="151"/>
      <c r="Q163" s="151"/>
      <c r="R163" s="151"/>
    </row>
    <row r="164" spans="1:18" ht="14">
      <c r="A164" s="721"/>
      <c r="B164" s="170" t="s">
        <v>498</v>
      </c>
      <c r="C164" s="676"/>
      <c r="D164" s="82"/>
      <c r="E164" s="322"/>
      <c r="F164" s="322"/>
      <c r="G164" s="322"/>
      <c r="H164" s="322"/>
      <c r="I164" s="322"/>
      <c r="J164" s="322"/>
      <c r="K164" s="322"/>
      <c r="L164" s="322"/>
      <c r="M164" s="322"/>
      <c r="N164" s="322"/>
      <c r="O164" s="322"/>
      <c r="P164" s="151"/>
      <c r="Q164" s="151"/>
      <c r="R164" s="151"/>
    </row>
    <row r="165" spans="1:18" ht="48" customHeight="1">
      <c r="A165" s="721"/>
      <c r="B165" s="717" t="s">
        <v>499</v>
      </c>
      <c r="C165" s="676"/>
      <c r="D165" s="82"/>
      <c r="E165" s="322"/>
      <c r="F165" s="322"/>
      <c r="G165" s="322"/>
      <c r="H165" s="322"/>
      <c r="I165" s="322"/>
      <c r="J165" s="322"/>
      <c r="K165" s="322"/>
      <c r="L165" s="322"/>
      <c r="M165" s="322"/>
      <c r="N165" s="322"/>
      <c r="O165" s="322"/>
      <c r="P165" s="151"/>
      <c r="Q165" s="151"/>
      <c r="R165" s="151"/>
    </row>
    <row r="166" spans="1:18" ht="37.5" customHeight="1">
      <c r="A166" s="721"/>
      <c r="B166" s="717" t="s">
        <v>500</v>
      </c>
      <c r="C166" s="676"/>
      <c r="D166" s="82"/>
      <c r="E166" s="322"/>
      <c r="F166" s="322"/>
      <c r="G166" s="322"/>
      <c r="H166" s="322"/>
      <c r="I166" s="322"/>
      <c r="J166" s="322"/>
      <c r="K166" s="322"/>
      <c r="L166" s="322"/>
      <c r="M166" s="322"/>
      <c r="N166" s="322"/>
      <c r="O166" s="322"/>
      <c r="P166" s="151"/>
      <c r="Q166" s="151"/>
      <c r="R166" s="151"/>
    </row>
    <row r="167" spans="1:18" ht="30.75" customHeight="1">
      <c r="A167" s="721"/>
      <c r="B167" s="717" t="s">
        <v>501</v>
      </c>
      <c r="C167" s="676"/>
      <c r="D167" s="82"/>
      <c r="E167" s="322"/>
      <c r="F167" s="322"/>
      <c r="G167" s="322"/>
      <c r="H167" s="322"/>
      <c r="I167" s="322"/>
      <c r="J167" s="322"/>
      <c r="K167" s="322"/>
      <c r="L167" s="322"/>
      <c r="M167" s="322"/>
      <c r="N167" s="322"/>
      <c r="O167" s="322"/>
      <c r="P167" s="151"/>
      <c r="Q167" s="151"/>
      <c r="R167" s="151"/>
    </row>
    <row r="168" spans="1:18" ht="74.25" customHeight="1">
      <c r="A168" s="721"/>
      <c r="B168" s="836" t="s">
        <v>502</v>
      </c>
      <c r="C168" s="676"/>
      <c r="D168" s="82"/>
      <c r="E168" s="322"/>
      <c r="F168" s="322"/>
      <c r="G168" s="322"/>
      <c r="H168" s="322"/>
      <c r="I168" s="322"/>
      <c r="J168" s="322"/>
      <c r="K168" s="322"/>
      <c r="L168" s="322"/>
      <c r="M168" s="322"/>
      <c r="N168" s="322"/>
      <c r="O168" s="322"/>
      <c r="P168" s="151"/>
      <c r="Q168" s="151"/>
      <c r="R168" s="151"/>
    </row>
    <row r="169" spans="1:18" ht="35.25" customHeight="1">
      <c r="A169" s="721"/>
      <c r="B169" s="717" t="s">
        <v>503</v>
      </c>
      <c r="C169" s="676"/>
      <c r="D169" s="82"/>
      <c r="E169" s="322"/>
      <c r="F169" s="322"/>
      <c r="G169" s="322"/>
      <c r="H169" s="322"/>
      <c r="I169" s="322"/>
      <c r="J169" s="322"/>
      <c r="K169" s="322"/>
      <c r="L169" s="322"/>
      <c r="M169" s="322"/>
      <c r="N169" s="322"/>
      <c r="O169" s="322"/>
      <c r="P169" s="151"/>
      <c r="Q169" s="151"/>
      <c r="R169" s="151"/>
    </row>
    <row r="170" spans="1:18" ht="63.75" customHeight="1">
      <c r="A170" s="358">
        <v>17</v>
      </c>
      <c r="B170" s="39" t="s">
        <v>469</v>
      </c>
      <c r="C170" s="676"/>
      <c r="D170" s="82"/>
      <c r="E170" s="322"/>
      <c r="F170" s="322"/>
      <c r="G170" s="322"/>
      <c r="H170" s="322"/>
      <c r="I170" s="322"/>
      <c r="J170" s="322"/>
      <c r="K170" s="322"/>
      <c r="L170" s="322"/>
      <c r="M170" s="322"/>
      <c r="N170" s="322"/>
      <c r="O170" s="322"/>
      <c r="P170" s="151"/>
      <c r="Q170" s="151"/>
      <c r="R170" s="151"/>
    </row>
    <row r="171" spans="1:18" ht="20.25" customHeight="1">
      <c r="A171" s="816"/>
      <c r="B171" s="27"/>
      <c r="C171" s="151"/>
      <c r="D171" s="82"/>
      <c r="E171" s="322"/>
      <c r="F171" s="322"/>
      <c r="G171" s="322"/>
      <c r="H171" s="322"/>
      <c r="I171" s="322"/>
      <c r="J171" s="322"/>
      <c r="K171" s="322"/>
      <c r="L171" s="322"/>
      <c r="M171" s="322"/>
      <c r="N171" s="322"/>
      <c r="O171" s="322"/>
      <c r="P171" s="151"/>
      <c r="Q171" s="151"/>
      <c r="R171" s="151"/>
    </row>
    <row r="172" spans="1:18" ht="20.25" customHeight="1">
      <c r="A172" s="16"/>
      <c r="B172" s="1" t="s">
        <v>470</v>
      </c>
      <c r="C172" s="676"/>
      <c r="D172" s="82"/>
      <c r="E172" s="322"/>
      <c r="F172" s="322"/>
      <c r="G172" s="322"/>
      <c r="H172" s="322"/>
      <c r="I172" s="322"/>
      <c r="J172" s="322"/>
      <c r="K172" s="322"/>
      <c r="L172" s="322"/>
      <c r="M172" s="322"/>
      <c r="N172" s="322"/>
      <c r="O172" s="322"/>
      <c r="P172" s="151"/>
      <c r="Q172" s="151"/>
      <c r="R172" s="151"/>
    </row>
    <row r="173" spans="1:18" ht="46.5" customHeight="1">
      <c r="A173" s="481">
        <v>1</v>
      </c>
      <c r="B173" s="320" t="s">
        <v>471</v>
      </c>
      <c r="C173" s="676"/>
      <c r="D173" s="151"/>
      <c r="E173" s="151"/>
      <c r="F173" s="151"/>
      <c r="G173" s="151"/>
      <c r="H173" s="151"/>
      <c r="I173" s="151"/>
      <c r="J173" s="151"/>
      <c r="K173" s="151"/>
      <c r="L173" s="151"/>
      <c r="M173" s="151"/>
      <c r="N173" s="151"/>
      <c r="O173" s="151"/>
      <c r="P173" s="151"/>
      <c r="Q173" s="151"/>
      <c r="R173" s="151"/>
    </row>
    <row r="174" spans="1:18" ht="26.25" customHeight="1">
      <c r="A174" s="816"/>
      <c r="B174" s="577"/>
      <c r="C174" s="151"/>
      <c r="D174" s="151"/>
      <c r="E174" s="151"/>
      <c r="F174" s="151"/>
      <c r="G174" s="151"/>
      <c r="H174" s="151"/>
      <c r="I174" s="151"/>
      <c r="J174" s="151"/>
      <c r="K174" s="151"/>
      <c r="L174" s="151"/>
      <c r="M174" s="151"/>
      <c r="N174" s="151"/>
      <c r="O174" s="151"/>
      <c r="P174" s="151"/>
      <c r="Q174" s="151"/>
      <c r="R174" s="151"/>
    </row>
    <row r="175" spans="1:18" ht="24" customHeight="1">
      <c r="A175" s="16"/>
      <c r="B175" s="609" t="s">
        <v>472</v>
      </c>
      <c r="C175" s="676"/>
      <c r="D175" s="151"/>
      <c r="E175" s="151"/>
      <c r="F175" s="151"/>
      <c r="G175" s="151"/>
      <c r="H175" s="151"/>
      <c r="I175" s="151"/>
      <c r="J175" s="151"/>
      <c r="K175" s="151"/>
      <c r="L175" s="151"/>
      <c r="M175" s="151"/>
      <c r="N175" s="151"/>
      <c r="O175" s="151"/>
      <c r="P175" s="151"/>
      <c r="Q175" s="151"/>
      <c r="R175" s="151"/>
    </row>
    <row r="176" spans="1:18" ht="34.5" customHeight="1">
      <c r="A176" s="624">
        <v>1</v>
      </c>
      <c r="B176" s="388" t="s">
        <v>473</v>
      </c>
      <c r="C176" s="676"/>
      <c r="D176" s="151"/>
      <c r="E176" s="151"/>
      <c r="F176" s="151"/>
      <c r="G176" s="151"/>
      <c r="H176" s="151"/>
      <c r="I176" s="151"/>
      <c r="J176" s="151"/>
      <c r="K176" s="151"/>
      <c r="L176" s="151"/>
      <c r="M176" s="151"/>
      <c r="N176" s="151"/>
      <c r="O176" s="151"/>
      <c r="P176" s="151"/>
      <c r="Q176" s="151"/>
      <c r="R176" s="151"/>
    </row>
    <row r="177" spans="1:18" ht="21" customHeight="1">
      <c r="A177" s="80" t="s">
        <v>474</v>
      </c>
      <c r="B177" s="388" t="s">
        <v>475</v>
      </c>
      <c r="C177" s="676"/>
      <c r="D177" s="151"/>
      <c r="E177" s="151"/>
      <c r="F177" s="151"/>
      <c r="G177" s="151"/>
      <c r="H177" s="151"/>
      <c r="I177" s="151"/>
      <c r="J177" s="151"/>
      <c r="K177" s="151"/>
      <c r="L177" s="151"/>
      <c r="M177" s="151"/>
      <c r="N177" s="151"/>
      <c r="O177" s="151"/>
      <c r="P177" s="151"/>
      <c r="Q177" s="151"/>
      <c r="R177" s="151"/>
    </row>
    <row r="178" spans="1:18" ht="21.75" customHeight="1">
      <c r="A178" s="624">
        <v>3</v>
      </c>
      <c r="B178" s="388" t="s">
        <v>476</v>
      </c>
      <c r="C178" s="676"/>
      <c r="D178" s="151"/>
      <c r="E178" s="151"/>
      <c r="F178" s="151"/>
      <c r="G178" s="151"/>
      <c r="H178" s="151"/>
      <c r="I178" s="151"/>
      <c r="J178" s="151"/>
      <c r="K178" s="151"/>
      <c r="L178" s="151"/>
      <c r="M178" s="151"/>
      <c r="N178" s="151"/>
      <c r="O178" s="151"/>
      <c r="P178" s="151"/>
      <c r="Q178" s="151"/>
      <c r="R178" s="151"/>
    </row>
    <row r="179" spans="1:18" s="151" customFormat="1" ht="24" customHeight="1">
      <c r="A179" s="624">
        <v>4</v>
      </c>
      <c r="B179" s="388" t="s">
        <v>477</v>
      </c>
      <c r="C179" s="676"/>
    </row>
    <row r="180" spans="1:18" ht="61.5" customHeight="1">
      <c r="A180" s="624">
        <v>5</v>
      </c>
      <c r="B180" s="388" t="s">
        <v>478</v>
      </c>
      <c r="C180" s="676"/>
      <c r="D180" s="151"/>
      <c r="E180" s="151"/>
      <c r="F180" s="151"/>
      <c r="G180" s="151"/>
      <c r="H180" s="151"/>
      <c r="I180" s="151"/>
      <c r="J180" s="151"/>
      <c r="K180" s="151"/>
      <c r="L180" s="151"/>
      <c r="M180" s="151"/>
      <c r="N180" s="151"/>
      <c r="O180" s="151"/>
      <c r="P180" s="151"/>
      <c r="Q180" s="151"/>
      <c r="R180" s="151"/>
    </row>
    <row r="181" spans="1:18" ht="14.25" customHeight="1">
      <c r="A181" s="784"/>
      <c r="B181" s="435"/>
      <c r="C181" s="151"/>
      <c r="D181" s="151"/>
      <c r="E181" s="151"/>
      <c r="F181" s="151"/>
      <c r="G181" s="151"/>
      <c r="H181" s="151"/>
      <c r="I181" s="151"/>
      <c r="J181" s="151"/>
      <c r="K181" s="151"/>
      <c r="L181" s="151"/>
      <c r="M181" s="151"/>
      <c r="N181" s="151"/>
      <c r="O181" s="151"/>
      <c r="P181" s="151"/>
      <c r="Q181" s="151"/>
      <c r="R181" s="151"/>
    </row>
    <row r="182" spans="1:18" ht="15" customHeight="1">
      <c r="A182" s="734"/>
      <c r="B182" s="249"/>
      <c r="C182" s="151"/>
      <c r="D182" s="151"/>
      <c r="E182" s="151"/>
      <c r="F182" s="151"/>
      <c r="G182" s="151"/>
      <c r="H182" s="151"/>
      <c r="I182" s="151"/>
      <c r="J182" s="151"/>
      <c r="K182" s="151"/>
      <c r="L182" s="151"/>
      <c r="M182" s="151"/>
      <c r="N182" s="151"/>
      <c r="O182" s="151"/>
      <c r="P182" s="151"/>
      <c r="Q182" s="151"/>
      <c r="R182" s="151"/>
    </row>
    <row r="183" spans="1:18" ht="24" customHeight="1">
      <c r="A183" s="16"/>
      <c r="B183" s="1" t="s">
        <v>479</v>
      </c>
      <c r="C183" s="676"/>
      <c r="D183" s="151"/>
      <c r="E183" s="151"/>
      <c r="F183" s="151"/>
      <c r="G183" s="151"/>
      <c r="H183" s="151"/>
      <c r="I183" s="151"/>
      <c r="J183" s="151"/>
      <c r="K183" s="151"/>
      <c r="L183" s="151"/>
      <c r="M183" s="151"/>
      <c r="N183" s="151"/>
      <c r="O183" s="151"/>
      <c r="P183" s="151"/>
      <c r="Q183" s="151"/>
      <c r="R183" s="151"/>
    </row>
    <row r="184" spans="1:18" ht="45" customHeight="1">
      <c r="A184" s="481">
        <v>1</v>
      </c>
      <c r="B184" s="590" t="s">
        <v>480</v>
      </c>
      <c r="C184" s="676"/>
      <c r="D184" s="151"/>
      <c r="E184" s="151"/>
      <c r="F184" s="151"/>
      <c r="G184" s="151"/>
      <c r="H184" s="151"/>
      <c r="I184" s="151"/>
      <c r="J184" s="151"/>
      <c r="K184" s="151"/>
      <c r="L184" s="151"/>
      <c r="M184" s="151"/>
      <c r="N184" s="151"/>
      <c r="O184" s="151"/>
      <c r="P184" s="151"/>
      <c r="Q184" s="151"/>
      <c r="R184" s="151"/>
    </row>
    <row r="185" spans="1:18" ht="14.25" customHeight="1">
      <c r="A185" s="784"/>
      <c r="B185" s="435"/>
      <c r="C185" s="151"/>
      <c r="D185" s="151"/>
      <c r="E185" s="151"/>
      <c r="F185" s="151"/>
      <c r="G185" s="151"/>
      <c r="H185" s="151"/>
      <c r="I185" s="151"/>
      <c r="J185" s="151"/>
      <c r="K185" s="151"/>
      <c r="L185" s="151"/>
      <c r="M185" s="151"/>
      <c r="N185" s="151"/>
      <c r="O185" s="151"/>
      <c r="P185" s="151"/>
      <c r="Q185" s="151"/>
      <c r="R185" s="151"/>
    </row>
    <row r="186" spans="1:18" ht="15" customHeight="1">
      <c r="A186" s="734"/>
      <c r="B186" s="249"/>
      <c r="C186" s="151"/>
      <c r="D186" s="151"/>
      <c r="E186" s="151"/>
      <c r="F186" s="151"/>
      <c r="G186" s="151"/>
      <c r="H186" s="151"/>
      <c r="I186" s="151"/>
      <c r="J186" s="151"/>
      <c r="K186" s="151"/>
      <c r="L186" s="151"/>
      <c r="M186" s="151"/>
      <c r="N186" s="151"/>
      <c r="O186" s="151"/>
      <c r="P186" s="151"/>
      <c r="Q186" s="151"/>
      <c r="R186" s="151"/>
    </row>
    <row r="187" spans="1:18" ht="24" customHeight="1">
      <c r="A187" s="16"/>
      <c r="B187" s="1" t="s">
        <v>481</v>
      </c>
      <c r="C187" s="676"/>
      <c r="D187" s="151"/>
      <c r="E187" s="151"/>
      <c r="F187" s="151"/>
      <c r="G187" s="151"/>
      <c r="H187" s="151"/>
      <c r="I187" s="151"/>
      <c r="J187" s="151"/>
      <c r="K187" s="151"/>
      <c r="L187" s="151"/>
      <c r="M187" s="151"/>
      <c r="N187" s="151"/>
      <c r="O187" s="151"/>
      <c r="P187" s="151"/>
      <c r="Q187" s="151"/>
      <c r="R187" s="151"/>
    </row>
    <row r="188" spans="1:18" ht="18" customHeight="1">
      <c r="A188" s="481">
        <v>1</v>
      </c>
      <c r="B188" s="590" t="s">
        <v>482</v>
      </c>
      <c r="C188" s="676"/>
      <c r="D188" s="151"/>
      <c r="E188" s="151"/>
      <c r="F188" s="151"/>
      <c r="G188" s="151"/>
      <c r="H188" s="151"/>
      <c r="I188" s="151"/>
      <c r="J188" s="151"/>
      <c r="K188" s="151"/>
      <c r="L188" s="151"/>
      <c r="M188" s="151"/>
      <c r="N188" s="151"/>
      <c r="O188" s="151"/>
      <c r="P188" s="151"/>
      <c r="Q188" s="151"/>
      <c r="R188" s="151"/>
    </row>
    <row r="189" spans="1:18" ht="14.25" customHeight="1">
      <c r="A189" s="784"/>
      <c r="B189" s="435"/>
      <c r="C189" s="151"/>
      <c r="D189" s="151"/>
      <c r="E189" s="151"/>
      <c r="F189" s="151"/>
      <c r="G189" s="151"/>
      <c r="H189" s="151"/>
      <c r="I189" s="151"/>
      <c r="J189" s="151"/>
      <c r="K189" s="151"/>
      <c r="L189" s="151"/>
      <c r="M189" s="151"/>
      <c r="N189" s="151"/>
      <c r="O189" s="151"/>
      <c r="P189" s="151"/>
      <c r="Q189" s="151"/>
      <c r="R189" s="151"/>
    </row>
  </sheetData>
  <mergeCells count="2">
    <mergeCell ref="A19:A28"/>
    <mergeCell ref="D160:O160"/>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20"/>
  <sheetViews>
    <sheetView workbookViewId="0"/>
  </sheetViews>
  <sheetFormatPr baseColWidth="10" defaultColWidth="8.6640625" defaultRowHeight="12.75" customHeight="1"/>
  <cols>
    <col min="1" max="1" width="26.5" customWidth="1"/>
    <col min="2" max="2" width="8.6640625" style="136"/>
  </cols>
  <sheetData>
    <row r="1" spans="1:6" ht="12.75" customHeight="1">
      <c r="A1" s="151" t="s">
        <v>186</v>
      </c>
      <c r="B1" s="136">
        <v>0.84</v>
      </c>
      <c r="C1" s="151"/>
      <c r="D1" s="151"/>
      <c r="E1" s="151"/>
      <c r="F1" s="151"/>
    </row>
    <row r="2" spans="1:6" ht="12.75" customHeight="1">
      <c r="A2" s="151" t="s">
        <v>187</v>
      </c>
      <c r="B2" s="136">
        <v>0.94</v>
      </c>
      <c r="C2" s="151"/>
      <c r="D2" s="151"/>
      <c r="E2" s="151"/>
      <c r="F2" s="151"/>
    </row>
    <row r="3" spans="1:6" ht="12.75" customHeight="1">
      <c r="A3" s="151" t="s">
        <v>188</v>
      </c>
      <c r="B3" s="136">
        <v>0.89</v>
      </c>
      <c r="C3" s="151"/>
      <c r="D3" s="151"/>
      <c r="E3" s="151"/>
      <c r="F3" s="151"/>
    </row>
    <row r="4" spans="1:6" ht="12.75" customHeight="1">
      <c r="A4" s="151" t="s">
        <v>189</v>
      </c>
      <c r="B4" s="136">
        <v>0.93</v>
      </c>
      <c r="C4" s="151"/>
      <c r="D4" s="151"/>
      <c r="E4" s="151"/>
      <c r="F4" s="151"/>
    </row>
    <row r="5" spans="1:6" ht="12.75" customHeight="1">
      <c r="A5" s="151" t="s">
        <v>190</v>
      </c>
      <c r="B5" s="136">
        <v>0.88</v>
      </c>
      <c r="C5" s="151"/>
      <c r="D5" s="151"/>
      <c r="E5" s="151"/>
      <c r="F5" s="151"/>
    </row>
    <row r="6" spans="1:6" ht="12.75" customHeight="1">
      <c r="A6" s="151" t="s">
        <v>221</v>
      </c>
      <c r="B6" s="136">
        <v>0.92</v>
      </c>
      <c r="C6" s="151"/>
      <c r="D6" s="151"/>
      <c r="E6" s="151"/>
      <c r="F6" s="151"/>
    </row>
    <row r="7" spans="1:6" ht="12.75" customHeight="1">
      <c r="A7" s="151" t="s">
        <v>191</v>
      </c>
      <c r="B7" s="136">
        <v>0.93</v>
      </c>
      <c r="C7" s="151"/>
      <c r="D7" s="151"/>
      <c r="E7" s="151"/>
      <c r="F7" s="151"/>
    </row>
    <row r="8" spans="1:6" ht="12.75" customHeight="1">
      <c r="A8" s="151" t="s">
        <v>192</v>
      </c>
      <c r="B8" s="136">
        <v>0.91</v>
      </c>
      <c r="C8" s="151"/>
      <c r="D8" s="151"/>
      <c r="E8" s="151"/>
      <c r="F8" s="151"/>
    </row>
    <row r="9" spans="1:6" ht="12.75" customHeight="1">
      <c r="A9" s="151" t="s">
        <v>193</v>
      </c>
      <c r="B9" s="136">
        <v>0.72</v>
      </c>
      <c r="C9" s="151"/>
      <c r="D9" s="151"/>
      <c r="E9" s="151"/>
      <c r="F9" s="151"/>
    </row>
    <row r="10" spans="1:6" ht="12.75" customHeight="1">
      <c r="A10" s="151" t="s">
        <v>194</v>
      </c>
      <c r="B10" s="136">
        <v>0.86</v>
      </c>
      <c r="C10" s="151"/>
      <c r="D10" s="151"/>
      <c r="E10" s="151"/>
      <c r="F10" s="151"/>
    </row>
    <row r="11" spans="1:6" ht="12.75" customHeight="1">
      <c r="A11" s="151" t="s">
        <v>195</v>
      </c>
      <c r="B11" s="136">
        <v>0.54</v>
      </c>
      <c r="C11" s="151"/>
      <c r="D11" s="151"/>
      <c r="E11" s="151"/>
      <c r="F11" s="151"/>
    </row>
    <row r="12" spans="1:6" ht="12.75" customHeight="1">
      <c r="A12" s="151" t="s">
        <v>196</v>
      </c>
      <c r="B12" s="136">
        <v>0.44</v>
      </c>
      <c r="C12" s="151"/>
      <c r="D12" s="151"/>
      <c r="E12" s="151"/>
      <c r="F12" s="151"/>
    </row>
    <row r="13" spans="1:6" ht="12.75" customHeight="1">
      <c r="A13" s="151" t="s">
        <v>197</v>
      </c>
      <c r="B13" s="136">
        <v>0.78</v>
      </c>
      <c r="C13" s="151"/>
      <c r="D13" s="151"/>
      <c r="E13" s="151"/>
      <c r="F13" s="151"/>
    </row>
    <row r="14" spans="1:6" ht="12.75" customHeight="1">
      <c r="A14" s="151" t="s">
        <v>198</v>
      </c>
      <c r="B14" s="136">
        <v>0.72</v>
      </c>
      <c r="C14" s="151"/>
      <c r="D14" s="151"/>
      <c r="E14" s="151"/>
      <c r="F14" s="151"/>
    </row>
    <row r="15" spans="1:6" ht="12.75" customHeight="1">
      <c r="A15" s="151" t="s">
        <v>199</v>
      </c>
      <c r="B15" s="136">
        <v>0.93</v>
      </c>
      <c r="C15" s="151"/>
      <c r="D15" s="151"/>
      <c r="E15" s="151"/>
      <c r="F15" s="151"/>
    </row>
    <row r="16" spans="1:6" ht="12.75" customHeight="1">
      <c r="A16" s="151" t="s">
        <v>200</v>
      </c>
      <c r="B16" s="136">
        <v>0.94</v>
      </c>
      <c r="C16" s="151"/>
      <c r="D16" s="151"/>
      <c r="E16" s="151"/>
      <c r="F16" s="151"/>
    </row>
    <row r="17" spans="1:6" ht="12.75" customHeight="1">
      <c r="A17" s="151" t="s">
        <v>201</v>
      </c>
      <c r="B17" s="136">
        <v>0.66</v>
      </c>
      <c r="C17" s="151"/>
      <c r="D17" s="151"/>
      <c r="E17" s="151"/>
      <c r="F17" s="151"/>
    </row>
    <row r="18" spans="1:6" ht="12.75" customHeight="1">
      <c r="A18" s="151" t="s">
        <v>202</v>
      </c>
      <c r="B18" s="136">
        <v>0.44</v>
      </c>
      <c r="C18" s="151"/>
      <c r="D18" s="151"/>
      <c r="E18" s="151"/>
      <c r="F18" s="151"/>
    </row>
    <row r="19" spans="1:6" ht="12.75" customHeight="1">
      <c r="A19" s="151" t="s">
        <v>203</v>
      </c>
      <c r="B19" s="136">
        <v>0.83</v>
      </c>
      <c r="C19" s="151"/>
      <c r="D19" s="151"/>
      <c r="E19" s="151"/>
      <c r="F19" s="151"/>
    </row>
    <row r="20" spans="1:6" ht="12.75" customHeight="1">
      <c r="A20" s="151"/>
      <c r="B20" s="151"/>
      <c r="C20" s="151"/>
      <c r="D20" s="151"/>
      <c r="E20" s="151"/>
      <c r="F20" s="151"/>
    </row>
  </sheetData>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20"/>
  <sheetViews>
    <sheetView workbookViewId="0"/>
  </sheetViews>
  <sheetFormatPr baseColWidth="10" defaultColWidth="8.6640625" defaultRowHeight="12.75" customHeight="1"/>
  <sheetData>
    <row r="1" spans="1:6" ht="12.75" customHeight="1">
      <c r="A1" s="151"/>
      <c r="B1" s="151"/>
      <c r="C1" s="151"/>
      <c r="D1" s="151"/>
      <c r="E1" s="151"/>
      <c r="F1" s="151"/>
    </row>
    <row r="2" spans="1:6" ht="12.75" customHeight="1">
      <c r="A2" s="151"/>
      <c r="B2" s="151"/>
      <c r="C2" s="151"/>
      <c r="D2" s="151"/>
      <c r="E2" s="151"/>
      <c r="F2" s="151"/>
    </row>
    <row r="3" spans="1:6" ht="12.75" customHeight="1">
      <c r="A3" s="151"/>
      <c r="B3" s="151"/>
      <c r="C3" s="151"/>
      <c r="D3" s="151"/>
      <c r="E3" s="151"/>
      <c r="F3" s="151"/>
    </row>
    <row r="4" spans="1:6" ht="12.75" customHeight="1">
      <c r="A4" s="151"/>
      <c r="B4" s="151"/>
      <c r="C4" s="151"/>
      <c r="D4" s="151"/>
      <c r="E4" s="151"/>
      <c r="F4" s="151"/>
    </row>
    <row r="5" spans="1:6" ht="12.75" customHeight="1">
      <c r="A5" s="151"/>
      <c r="B5" s="151"/>
      <c r="C5" s="151"/>
      <c r="D5" s="151"/>
      <c r="E5" s="151"/>
      <c r="F5" s="151"/>
    </row>
    <row r="6" spans="1:6" ht="12.75" customHeight="1">
      <c r="A6" s="151"/>
      <c r="B6" s="151"/>
      <c r="C6" s="151"/>
      <c r="D6" s="151"/>
      <c r="E6" s="151"/>
      <c r="F6" s="151"/>
    </row>
    <row r="7" spans="1:6" ht="12.75" customHeight="1">
      <c r="A7" s="151"/>
      <c r="B7" s="151"/>
      <c r="C7" s="151"/>
      <c r="D7" s="151"/>
      <c r="E7" s="151"/>
      <c r="F7" s="151"/>
    </row>
    <row r="8" spans="1:6" ht="12.75" customHeight="1">
      <c r="A8" s="151"/>
      <c r="B8" s="151"/>
      <c r="C8" s="151"/>
      <c r="D8" s="151"/>
      <c r="E8" s="151"/>
      <c r="F8" s="151"/>
    </row>
    <row r="9" spans="1:6" ht="12.75" customHeight="1">
      <c r="A9" s="151"/>
      <c r="B9" s="151"/>
      <c r="C9" s="151"/>
      <c r="D9" s="151"/>
      <c r="E9" s="151"/>
      <c r="F9" s="151"/>
    </row>
    <row r="10" spans="1:6" ht="12.75" customHeight="1">
      <c r="A10" s="151"/>
      <c r="B10" s="151"/>
      <c r="C10" s="151"/>
      <c r="D10" s="151"/>
      <c r="E10" s="151"/>
      <c r="F10" s="151"/>
    </row>
    <row r="11" spans="1:6" ht="12.75" customHeight="1">
      <c r="A11" s="151"/>
      <c r="B11" s="151"/>
      <c r="C11" s="151"/>
      <c r="D11" s="151"/>
      <c r="E11" s="151"/>
      <c r="F11" s="151"/>
    </row>
    <row r="12" spans="1:6" ht="12.75" customHeight="1">
      <c r="A12" s="151"/>
      <c r="B12" s="151"/>
      <c r="C12" s="151"/>
      <c r="D12" s="151"/>
      <c r="E12" s="151"/>
      <c r="F12" s="151"/>
    </row>
    <row r="13" spans="1:6" ht="12.75" customHeight="1">
      <c r="A13" s="151"/>
      <c r="B13" s="151"/>
      <c r="C13" s="151"/>
      <c r="D13" s="151"/>
      <c r="E13" s="151"/>
      <c r="F13" s="151"/>
    </row>
    <row r="14" spans="1:6" ht="12.75" customHeight="1">
      <c r="A14" s="151"/>
      <c r="B14" s="151"/>
      <c r="C14" s="151"/>
      <c r="D14" s="151"/>
      <c r="E14" s="151"/>
      <c r="F14" s="151"/>
    </row>
    <row r="15" spans="1:6" ht="12.75" customHeight="1">
      <c r="A15" s="151"/>
      <c r="B15" s="151"/>
      <c r="C15" s="151"/>
      <c r="D15" s="151"/>
      <c r="E15" s="151"/>
      <c r="F15" s="151"/>
    </row>
    <row r="16" spans="1:6" ht="12.75" customHeight="1">
      <c r="A16" s="151"/>
      <c r="B16" s="151"/>
      <c r="C16" s="151"/>
      <c r="D16" s="151"/>
      <c r="E16" s="151"/>
      <c r="F16" s="151"/>
    </row>
    <row r="17" spans="1:6" ht="12.75" customHeight="1">
      <c r="A17" s="151"/>
      <c r="B17" s="151"/>
      <c r="C17" s="151"/>
      <c r="D17" s="151"/>
      <c r="E17" s="151"/>
      <c r="F17" s="151"/>
    </row>
    <row r="18" spans="1:6" ht="12.75" customHeight="1">
      <c r="A18" s="151"/>
      <c r="B18" s="151"/>
      <c r="C18" s="151"/>
      <c r="D18" s="151"/>
      <c r="E18" s="151"/>
      <c r="F18" s="151"/>
    </row>
    <row r="19" spans="1:6" ht="12.75" customHeight="1">
      <c r="A19" s="151"/>
      <c r="B19" s="151"/>
      <c r="C19" s="151"/>
      <c r="D19" s="151"/>
      <c r="E19" s="151"/>
      <c r="F19" s="151"/>
    </row>
    <row r="20" spans="1:6" ht="12.75" customHeight="1">
      <c r="A20" s="151"/>
      <c r="B20" s="151"/>
      <c r="C20" s="151"/>
      <c r="D20" s="151"/>
      <c r="E20" s="151"/>
      <c r="F20" s="151"/>
    </row>
  </sheetData>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20"/>
  <sheetViews>
    <sheetView workbookViewId="0"/>
  </sheetViews>
  <sheetFormatPr baseColWidth="10" defaultColWidth="8.6640625" defaultRowHeight="12.75" customHeight="1"/>
  <sheetData>
    <row r="1" spans="1:6" ht="12.75" customHeight="1">
      <c r="A1" s="151"/>
      <c r="B1" s="151"/>
      <c r="C1" s="151"/>
      <c r="D1" s="151"/>
      <c r="E1" s="151"/>
      <c r="F1" s="151"/>
    </row>
    <row r="2" spans="1:6" ht="12.75" customHeight="1">
      <c r="A2" s="151"/>
      <c r="B2" s="151"/>
      <c r="C2" s="151"/>
      <c r="D2" s="151"/>
      <c r="E2" s="151"/>
      <c r="F2" s="151"/>
    </row>
    <row r="3" spans="1:6" ht="12.75" customHeight="1">
      <c r="A3" s="151"/>
      <c r="B3" s="151"/>
      <c r="C3" s="151"/>
      <c r="D3" s="151"/>
      <c r="E3" s="151"/>
      <c r="F3" s="151"/>
    </row>
    <row r="4" spans="1:6" ht="12.75" customHeight="1">
      <c r="A4" s="151"/>
      <c r="B4" s="151"/>
      <c r="C4" s="151"/>
      <c r="D4" s="151"/>
      <c r="E4" s="151"/>
      <c r="F4" s="151"/>
    </row>
    <row r="5" spans="1:6" ht="12.75" customHeight="1">
      <c r="A5" s="151"/>
      <c r="B5" s="151"/>
      <c r="C5" s="151"/>
      <c r="D5" s="151"/>
      <c r="E5" s="151"/>
      <c r="F5" s="151"/>
    </row>
    <row r="6" spans="1:6" ht="12.75" customHeight="1">
      <c r="A6" s="151"/>
      <c r="B6" s="151"/>
      <c r="C6" s="151"/>
      <c r="D6" s="151"/>
      <c r="E6" s="151"/>
      <c r="F6" s="151"/>
    </row>
    <row r="7" spans="1:6" ht="12.75" customHeight="1">
      <c r="A7" s="151"/>
      <c r="B7" s="151"/>
      <c r="C7" s="151"/>
      <c r="D7" s="151"/>
      <c r="E7" s="151"/>
      <c r="F7" s="151"/>
    </row>
    <row r="8" spans="1:6" ht="12.75" customHeight="1">
      <c r="A8" s="151"/>
      <c r="B8" s="151"/>
      <c r="C8" s="151"/>
      <c r="D8" s="151"/>
      <c r="E8" s="151"/>
      <c r="F8" s="151"/>
    </row>
    <row r="9" spans="1:6" ht="12.75" customHeight="1">
      <c r="A9" s="151"/>
      <c r="B9" s="151"/>
      <c r="C9" s="151"/>
      <c r="D9" s="151"/>
      <c r="E9" s="151"/>
      <c r="F9" s="151"/>
    </row>
    <row r="10" spans="1:6" ht="12.75" customHeight="1">
      <c r="A10" s="151"/>
      <c r="B10" s="151"/>
      <c r="C10" s="151"/>
      <c r="D10" s="151"/>
      <c r="E10" s="151"/>
      <c r="F10" s="151"/>
    </row>
    <row r="11" spans="1:6" ht="12.75" customHeight="1">
      <c r="A11" s="151"/>
      <c r="B11" s="151"/>
      <c r="C11" s="151"/>
      <c r="D11" s="151"/>
      <c r="E11" s="151"/>
      <c r="F11" s="151"/>
    </row>
    <row r="12" spans="1:6" ht="12.75" customHeight="1">
      <c r="A12" s="151"/>
      <c r="B12" s="151"/>
      <c r="C12" s="151"/>
      <c r="D12" s="151"/>
      <c r="E12" s="151"/>
      <c r="F12" s="151"/>
    </row>
    <row r="13" spans="1:6" ht="12.75" customHeight="1">
      <c r="A13" s="151"/>
      <c r="B13" s="151"/>
      <c r="C13" s="151"/>
      <c r="D13" s="151"/>
      <c r="E13" s="151"/>
      <c r="F13" s="151"/>
    </row>
    <row r="14" spans="1:6" ht="12.75" customHeight="1">
      <c r="A14" s="151"/>
      <c r="B14" s="151"/>
      <c r="C14" s="151"/>
      <c r="D14" s="151"/>
      <c r="E14" s="151"/>
      <c r="F14" s="151"/>
    </row>
    <row r="15" spans="1:6" ht="12.75" customHeight="1">
      <c r="A15" s="151"/>
      <c r="B15" s="151"/>
      <c r="C15" s="151"/>
      <c r="D15" s="151"/>
      <c r="E15" s="151"/>
      <c r="F15" s="151"/>
    </row>
    <row r="16" spans="1:6" ht="12.75" customHeight="1">
      <c r="A16" s="151"/>
      <c r="B16" s="151"/>
      <c r="C16" s="151"/>
      <c r="D16" s="151"/>
      <c r="E16" s="151"/>
      <c r="F16" s="151"/>
    </row>
    <row r="17" spans="1:6" ht="12.75" customHeight="1">
      <c r="A17" s="151"/>
      <c r="B17" s="151"/>
      <c r="C17" s="151"/>
      <c r="D17" s="151"/>
      <c r="E17" s="151"/>
      <c r="F17" s="151"/>
    </row>
    <row r="18" spans="1:6" ht="12.75" customHeight="1">
      <c r="A18" s="151"/>
      <c r="B18" s="151"/>
      <c r="C18" s="151"/>
      <c r="D18" s="151"/>
      <c r="E18" s="151"/>
      <c r="F18" s="151"/>
    </row>
    <row r="19" spans="1:6" ht="12.75" customHeight="1">
      <c r="A19" s="151"/>
      <c r="B19" s="151"/>
      <c r="C19" s="151"/>
      <c r="D19" s="151"/>
      <c r="E19" s="151"/>
      <c r="F19" s="151"/>
    </row>
    <row r="20" spans="1:6" ht="12.75" customHeight="1">
      <c r="A20" s="151"/>
      <c r="B20" s="151"/>
      <c r="C20" s="151"/>
      <c r="D20" s="151"/>
      <c r="E20" s="151"/>
      <c r="F20" s="151"/>
    </row>
  </sheetData>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224"/>
  <sheetViews>
    <sheetView topLeftCell="A79" workbookViewId="0">
      <selection activeCell="G147" sqref="G147"/>
    </sheetView>
  </sheetViews>
  <sheetFormatPr baseColWidth="10" defaultColWidth="8.6640625" defaultRowHeight="12.75" customHeight="1"/>
  <cols>
    <col min="1" max="1" width="79" customWidth="1"/>
    <col min="2" max="2" width="17.6640625" customWidth="1"/>
    <col min="3" max="3" width="12.6640625" hidden="1" customWidth="1"/>
    <col min="4" max="4" width="1.5" customWidth="1"/>
    <col min="5" max="5" width="15.6640625" customWidth="1"/>
    <col min="6" max="6" width="1.5" customWidth="1"/>
    <col min="7" max="7" width="15.6640625" customWidth="1"/>
    <col min="8" max="8" width="1.33203125" customWidth="1"/>
    <col min="9" max="9" width="15.6640625" customWidth="1"/>
    <col min="10" max="10" width="1.5" customWidth="1"/>
    <col min="11" max="11" width="15.6640625" customWidth="1"/>
    <col min="12" max="12" width="1.5" customWidth="1"/>
    <col min="13" max="13" width="15.6640625" customWidth="1"/>
    <col min="14" max="14" width="1.5" customWidth="1"/>
    <col min="15" max="15" width="15.6640625" customWidth="1"/>
    <col min="16" max="21" width="8.6640625" style="151"/>
  </cols>
  <sheetData>
    <row r="1" spans="1:16" ht="18.75" customHeight="1">
      <c r="A1" s="875" t="str">
        <f>'Budget with Assumptions'!$A$2</f>
        <v>Horizon Science Academy South Chicago</v>
      </c>
      <c r="B1" s="876"/>
      <c r="C1" s="409"/>
      <c r="D1" s="553"/>
      <c r="E1" s="553"/>
      <c r="F1" s="553"/>
      <c r="G1" s="396"/>
      <c r="H1" s="396"/>
      <c r="I1" s="396"/>
      <c r="J1" s="396"/>
      <c r="K1" s="847"/>
      <c r="L1" s="847"/>
      <c r="M1" s="847"/>
      <c r="N1" s="847"/>
      <c r="O1" s="847"/>
    </row>
    <row r="2" spans="1:16" ht="19.5" customHeight="1">
      <c r="A2" s="364"/>
      <c r="B2" s="391"/>
      <c r="C2" s="151"/>
      <c r="D2" s="151"/>
      <c r="E2" s="151"/>
      <c r="F2" s="151"/>
      <c r="G2" s="151"/>
      <c r="H2" s="151"/>
      <c r="I2" s="151"/>
      <c r="J2" s="151"/>
      <c r="K2" s="151"/>
      <c r="L2" s="151"/>
      <c r="M2" s="151"/>
      <c r="N2" s="151"/>
      <c r="O2" s="151"/>
    </row>
    <row r="3" spans="1:16" ht="13.5" customHeight="1">
      <c r="A3" s="418"/>
      <c r="B3" s="203"/>
      <c r="C3" s="203"/>
      <c r="D3" s="203"/>
      <c r="E3" s="203"/>
      <c r="F3" s="203"/>
      <c r="G3" s="203"/>
      <c r="H3" s="203"/>
      <c r="I3" s="203"/>
      <c r="J3" s="203"/>
      <c r="K3" s="203"/>
      <c r="L3" s="203"/>
      <c r="M3" s="203"/>
      <c r="N3" s="203"/>
      <c r="O3" s="203"/>
    </row>
    <row r="4" spans="1:16" ht="19.5" customHeight="1">
      <c r="A4" s="824"/>
      <c r="B4" s="872" t="s">
        <v>483</v>
      </c>
      <c r="C4" s="873"/>
      <c r="D4" s="873"/>
      <c r="E4" s="873"/>
      <c r="F4" s="873"/>
      <c r="G4" s="873"/>
      <c r="H4" s="873"/>
      <c r="I4" s="873"/>
      <c r="J4" s="873"/>
      <c r="K4" s="873"/>
      <c r="L4" s="873"/>
      <c r="M4" s="873"/>
      <c r="N4" s="873"/>
      <c r="O4" s="874"/>
      <c r="P4" s="676"/>
    </row>
    <row r="5" spans="1:16" ht="32.25" customHeight="1">
      <c r="A5" s="814"/>
      <c r="B5" s="32"/>
      <c r="C5" s="710"/>
      <c r="D5" s="872" t="s">
        <v>484</v>
      </c>
      <c r="E5" s="873"/>
      <c r="F5" s="873"/>
      <c r="G5" s="873"/>
      <c r="H5" s="873"/>
      <c r="I5" s="873"/>
      <c r="J5" s="873"/>
      <c r="K5" s="873"/>
      <c r="L5" s="873"/>
      <c r="M5" s="873"/>
      <c r="N5" s="873"/>
      <c r="O5" s="874"/>
      <c r="P5" s="676"/>
    </row>
    <row r="6" spans="1:16" ht="40.5" customHeight="1">
      <c r="A6" s="768" t="s">
        <v>485</v>
      </c>
      <c r="B6" s="384"/>
      <c r="C6" s="565"/>
      <c r="D6" s="84"/>
      <c r="E6" s="10" t="s">
        <v>486</v>
      </c>
      <c r="F6" s="10"/>
      <c r="G6" s="407">
        <f>'Budget with Assumptions'!L9</f>
        <v>1</v>
      </c>
      <c r="H6" s="407"/>
      <c r="I6" s="407">
        <f>'Budget with Assumptions'!N9</f>
        <v>2</v>
      </c>
      <c r="J6" s="407"/>
      <c r="K6" s="407">
        <f>'Budget with Assumptions'!P9</f>
        <v>3</v>
      </c>
      <c r="L6" s="407"/>
      <c r="M6" s="407">
        <f>'Budget with Assumptions'!R9</f>
        <v>4</v>
      </c>
      <c r="N6" s="407"/>
      <c r="O6" s="407">
        <f>'Budget with Assumptions'!T9</f>
        <v>5</v>
      </c>
      <c r="P6" s="676"/>
    </row>
    <row r="7" spans="1:16">
      <c r="A7" s="551" t="s">
        <v>487</v>
      </c>
      <c r="B7" s="395" t="s">
        <v>488</v>
      </c>
      <c r="C7" s="276"/>
      <c r="D7" s="823"/>
      <c r="E7" s="260">
        <v>0</v>
      </c>
      <c r="F7" s="823"/>
      <c r="G7" s="823">
        <v>29</v>
      </c>
      <c r="H7" s="823"/>
      <c r="I7" s="823">
        <v>35</v>
      </c>
      <c r="J7" s="823"/>
      <c r="K7" s="823">
        <v>38</v>
      </c>
      <c r="L7" s="823"/>
      <c r="M7" s="823">
        <v>41</v>
      </c>
      <c r="N7" s="823"/>
      <c r="O7" s="823">
        <v>45</v>
      </c>
      <c r="P7" s="85"/>
    </row>
    <row r="8" spans="1:16">
      <c r="A8" s="267" t="s">
        <v>489</v>
      </c>
      <c r="B8" s="208" t="s">
        <v>488</v>
      </c>
      <c r="C8" s="276"/>
      <c r="D8" s="268"/>
      <c r="E8" s="326">
        <v>0</v>
      </c>
      <c r="F8" s="268"/>
      <c r="G8" s="268">
        <v>3</v>
      </c>
      <c r="H8" s="268"/>
      <c r="I8" s="268">
        <v>3</v>
      </c>
      <c r="J8" s="268"/>
      <c r="K8" s="268">
        <v>4</v>
      </c>
      <c r="L8" s="268"/>
      <c r="M8" s="268">
        <v>4</v>
      </c>
      <c r="N8" s="268"/>
      <c r="O8" s="268">
        <v>5</v>
      </c>
      <c r="P8" s="85"/>
    </row>
    <row r="9" spans="1:16">
      <c r="A9" s="267" t="s">
        <v>490</v>
      </c>
      <c r="B9" s="208" t="s">
        <v>488</v>
      </c>
      <c r="C9" s="598"/>
      <c r="D9" s="268"/>
      <c r="E9" s="326">
        <v>0</v>
      </c>
      <c r="F9" s="268"/>
      <c r="G9" s="268"/>
      <c r="H9" s="268"/>
      <c r="I9" s="268"/>
      <c r="J9" s="268"/>
      <c r="K9" s="268"/>
      <c r="L9" s="268"/>
      <c r="M9" s="268"/>
      <c r="N9" s="268"/>
      <c r="O9" s="268"/>
      <c r="P9" s="85"/>
    </row>
    <row r="10" spans="1:16">
      <c r="A10" s="267" t="s">
        <v>491</v>
      </c>
      <c r="B10" s="208" t="s">
        <v>488</v>
      </c>
      <c r="C10" s="276"/>
      <c r="D10" s="268"/>
      <c r="E10" s="326">
        <v>0</v>
      </c>
      <c r="F10" s="268"/>
      <c r="G10" s="268"/>
      <c r="H10" s="268"/>
      <c r="I10" s="268"/>
      <c r="J10" s="268"/>
      <c r="K10" s="268"/>
      <c r="L10" s="268"/>
      <c r="M10" s="268"/>
      <c r="N10" s="268"/>
      <c r="O10" s="268"/>
      <c r="P10" s="85"/>
    </row>
    <row r="11" spans="1:16">
      <c r="A11" s="267" t="s">
        <v>409</v>
      </c>
      <c r="B11" s="208" t="s">
        <v>488</v>
      </c>
      <c r="C11" s="276"/>
      <c r="D11" s="268"/>
      <c r="E11" s="326">
        <v>0</v>
      </c>
      <c r="F11" s="268"/>
      <c r="G11" s="268">
        <v>0.5</v>
      </c>
      <c r="H11" s="268">
        <v>0.5</v>
      </c>
      <c r="I11" s="268">
        <v>0.5</v>
      </c>
      <c r="J11" s="268">
        <v>0.5</v>
      </c>
      <c r="K11" s="268">
        <v>0.5</v>
      </c>
      <c r="L11" s="268">
        <v>1</v>
      </c>
      <c r="M11" s="268">
        <v>1</v>
      </c>
      <c r="N11" s="268">
        <v>1</v>
      </c>
      <c r="O11" s="268">
        <v>1</v>
      </c>
      <c r="P11" s="85"/>
    </row>
    <row r="12" spans="1:16">
      <c r="A12" s="267" t="s">
        <v>410</v>
      </c>
      <c r="B12" s="208" t="s">
        <v>488</v>
      </c>
      <c r="C12" s="276"/>
      <c r="D12" s="268"/>
      <c r="E12" s="326">
        <v>0</v>
      </c>
      <c r="F12" s="268"/>
      <c r="G12" s="268"/>
      <c r="H12" s="268"/>
      <c r="I12" s="268"/>
      <c r="J12" s="268"/>
      <c r="K12" s="268"/>
      <c r="L12" s="268"/>
      <c r="M12" s="268"/>
      <c r="N12" s="268"/>
      <c r="O12" s="268"/>
      <c r="P12" s="85"/>
    </row>
    <row r="13" spans="1:16">
      <c r="A13" s="267" t="s">
        <v>411</v>
      </c>
      <c r="B13" s="208" t="s">
        <v>488</v>
      </c>
      <c r="C13" s="276"/>
      <c r="D13" s="268"/>
      <c r="E13" s="326">
        <v>0</v>
      </c>
      <c r="F13" s="268"/>
      <c r="G13" s="268"/>
      <c r="H13" s="268"/>
      <c r="I13" s="268"/>
      <c r="J13" s="268"/>
      <c r="K13" s="268"/>
      <c r="L13" s="268"/>
      <c r="M13" s="268"/>
      <c r="N13" s="268"/>
      <c r="O13" s="268"/>
      <c r="P13" s="85"/>
    </row>
    <row r="14" spans="1:16">
      <c r="A14" s="267" t="s">
        <v>412</v>
      </c>
      <c r="B14" s="208" t="s">
        <v>488</v>
      </c>
      <c r="C14" s="276"/>
      <c r="D14" s="268"/>
      <c r="E14" s="326">
        <v>0</v>
      </c>
      <c r="F14" s="268"/>
      <c r="G14" s="268"/>
      <c r="H14" s="268"/>
      <c r="I14" s="268"/>
      <c r="J14" s="268"/>
      <c r="K14" s="268"/>
      <c r="L14" s="268"/>
      <c r="M14" s="268"/>
      <c r="N14" s="268"/>
      <c r="O14" s="268"/>
      <c r="P14" s="85"/>
    </row>
    <row r="15" spans="1:16">
      <c r="A15" s="267" t="s">
        <v>413</v>
      </c>
      <c r="B15" s="208" t="s">
        <v>488</v>
      </c>
      <c r="C15" s="276"/>
      <c r="D15" s="268"/>
      <c r="E15" s="326">
        <v>0</v>
      </c>
      <c r="F15" s="268"/>
      <c r="G15" s="268"/>
      <c r="H15" s="268"/>
      <c r="I15" s="268"/>
      <c r="J15" s="268"/>
      <c r="K15" s="268"/>
      <c r="L15" s="268"/>
      <c r="M15" s="268"/>
      <c r="N15" s="268"/>
      <c r="O15" s="268"/>
      <c r="P15" s="85"/>
    </row>
    <row r="16" spans="1:16">
      <c r="A16" s="386" t="s">
        <v>414</v>
      </c>
      <c r="B16" s="208" t="s">
        <v>488</v>
      </c>
      <c r="C16" s="276"/>
      <c r="D16" s="268"/>
      <c r="E16" s="326">
        <v>0</v>
      </c>
      <c r="F16" s="268"/>
      <c r="G16" s="268"/>
      <c r="H16" s="268"/>
      <c r="I16" s="268"/>
      <c r="J16" s="268"/>
      <c r="K16" s="268"/>
      <c r="L16" s="268"/>
      <c r="M16" s="268"/>
      <c r="N16" s="268"/>
      <c r="O16" s="268"/>
      <c r="P16" s="85"/>
    </row>
    <row r="17" spans="1:16">
      <c r="A17" s="386" t="s">
        <v>415</v>
      </c>
      <c r="B17" s="208" t="s">
        <v>488</v>
      </c>
      <c r="C17" s="276"/>
      <c r="D17" s="268"/>
      <c r="E17" s="326">
        <v>0</v>
      </c>
      <c r="F17" s="268"/>
      <c r="G17" s="268"/>
      <c r="H17" s="268"/>
      <c r="I17" s="268"/>
      <c r="J17" s="268"/>
      <c r="K17" s="268"/>
      <c r="L17" s="268"/>
      <c r="M17" s="268"/>
      <c r="N17" s="268"/>
      <c r="O17" s="268"/>
      <c r="P17" s="85"/>
    </row>
    <row r="18" spans="1:16">
      <c r="A18" s="386" t="s">
        <v>416</v>
      </c>
      <c r="B18" s="208" t="s">
        <v>488</v>
      </c>
      <c r="C18" s="276"/>
      <c r="D18" s="268"/>
      <c r="E18" s="326">
        <v>0</v>
      </c>
      <c r="F18" s="268"/>
      <c r="G18" s="268"/>
      <c r="H18" s="268"/>
      <c r="I18" s="268"/>
      <c r="J18" s="268"/>
      <c r="K18" s="268"/>
      <c r="L18" s="268"/>
      <c r="M18" s="268"/>
      <c r="N18" s="268"/>
      <c r="O18" s="268"/>
      <c r="P18" s="85"/>
    </row>
    <row r="19" spans="1:16">
      <c r="A19" s="386" t="s">
        <v>417</v>
      </c>
      <c r="B19" s="208" t="s">
        <v>488</v>
      </c>
      <c r="C19" s="276"/>
      <c r="D19" s="268"/>
      <c r="E19" s="326">
        <v>0</v>
      </c>
      <c r="F19" s="268"/>
      <c r="G19" s="268"/>
      <c r="H19" s="268"/>
      <c r="I19" s="268"/>
      <c r="J19" s="268"/>
      <c r="K19" s="268"/>
      <c r="L19" s="268"/>
      <c r="M19" s="268"/>
      <c r="N19" s="268"/>
      <c r="O19" s="268"/>
      <c r="P19" s="85"/>
    </row>
    <row r="20" spans="1:16">
      <c r="A20" s="386" t="s">
        <v>418</v>
      </c>
      <c r="B20" s="208" t="s">
        <v>488</v>
      </c>
      <c r="C20" s="276"/>
      <c r="D20" s="268"/>
      <c r="E20" s="326">
        <v>0</v>
      </c>
      <c r="F20" s="268"/>
      <c r="G20" s="268"/>
      <c r="H20" s="268"/>
      <c r="I20" s="268"/>
      <c r="J20" s="268"/>
      <c r="K20" s="268"/>
      <c r="L20" s="268"/>
      <c r="M20" s="268"/>
      <c r="N20" s="268"/>
      <c r="O20" s="268"/>
      <c r="P20" s="85"/>
    </row>
    <row r="21" spans="1:16">
      <c r="A21" s="386" t="s">
        <v>419</v>
      </c>
      <c r="B21" s="208" t="s">
        <v>488</v>
      </c>
      <c r="C21" s="598"/>
      <c r="D21" s="268"/>
      <c r="E21" s="326">
        <v>0</v>
      </c>
      <c r="F21" s="268"/>
      <c r="G21" s="268"/>
      <c r="H21" s="268"/>
      <c r="I21" s="268"/>
      <c r="J21" s="268"/>
      <c r="K21" s="268"/>
      <c r="L21" s="268"/>
      <c r="M21" s="268"/>
      <c r="N21" s="268"/>
      <c r="O21" s="268"/>
      <c r="P21" s="85"/>
    </row>
    <row r="22" spans="1:16">
      <c r="A22" s="499"/>
      <c r="B22" s="208" t="s">
        <v>488</v>
      </c>
      <c r="C22" s="598"/>
      <c r="D22" s="268"/>
      <c r="E22" s="326">
        <v>0</v>
      </c>
      <c r="F22" s="268"/>
      <c r="G22" s="268"/>
      <c r="H22" s="268"/>
      <c r="I22" s="268"/>
      <c r="J22" s="268"/>
      <c r="K22" s="268"/>
      <c r="L22" s="268"/>
      <c r="M22" s="268"/>
      <c r="N22" s="268"/>
      <c r="O22" s="268"/>
      <c r="P22" s="85"/>
    </row>
    <row r="23" spans="1:16">
      <c r="A23" s="386" t="s">
        <v>420</v>
      </c>
      <c r="B23" s="208" t="s">
        <v>488</v>
      </c>
      <c r="C23" s="598"/>
      <c r="D23" s="268"/>
      <c r="E23" s="326">
        <v>0</v>
      </c>
      <c r="F23" s="268"/>
      <c r="G23" s="268"/>
      <c r="H23" s="268"/>
      <c r="I23" s="268"/>
      <c r="J23" s="268"/>
      <c r="K23" s="268"/>
      <c r="L23" s="268"/>
      <c r="M23" s="268"/>
      <c r="N23" s="268"/>
      <c r="O23" s="268"/>
      <c r="P23" s="85"/>
    </row>
    <row r="24" spans="1:16">
      <c r="A24" s="386" t="s">
        <v>421</v>
      </c>
      <c r="B24" s="208" t="s">
        <v>488</v>
      </c>
      <c r="C24" s="598"/>
      <c r="D24" s="268"/>
      <c r="E24" s="326">
        <v>0</v>
      </c>
      <c r="F24" s="268"/>
      <c r="G24" s="268"/>
      <c r="H24" s="268"/>
      <c r="I24" s="268"/>
      <c r="J24" s="268"/>
      <c r="K24" s="268"/>
      <c r="L24" s="268"/>
      <c r="M24" s="268"/>
      <c r="N24" s="268"/>
      <c r="O24" s="268"/>
      <c r="P24" s="85"/>
    </row>
    <row r="25" spans="1:16">
      <c r="A25" s="386" t="s">
        <v>422</v>
      </c>
      <c r="B25" s="208" t="s">
        <v>488</v>
      </c>
      <c r="C25" s="598"/>
      <c r="D25" s="268"/>
      <c r="E25" s="326">
        <v>0</v>
      </c>
      <c r="F25" s="268"/>
      <c r="G25" s="268"/>
      <c r="H25" s="268"/>
      <c r="I25" s="268"/>
      <c r="J25" s="268"/>
      <c r="K25" s="268"/>
      <c r="L25" s="268"/>
      <c r="M25" s="268"/>
      <c r="N25" s="268"/>
      <c r="O25" s="268"/>
      <c r="P25" s="85"/>
    </row>
    <row r="26" spans="1:16">
      <c r="A26" s="386" t="s">
        <v>423</v>
      </c>
      <c r="B26" s="208" t="s">
        <v>488</v>
      </c>
      <c r="C26" s="598"/>
      <c r="D26" s="268"/>
      <c r="E26" s="326">
        <v>0</v>
      </c>
      <c r="F26" s="268"/>
      <c r="G26" s="268"/>
      <c r="H26" s="268"/>
      <c r="I26" s="268"/>
      <c r="J26" s="268"/>
      <c r="K26" s="268"/>
      <c r="L26" s="268"/>
      <c r="M26" s="268"/>
      <c r="N26" s="268"/>
      <c r="O26" s="268"/>
      <c r="P26" s="85"/>
    </row>
    <row r="27" spans="1:16">
      <c r="A27" s="386" t="s">
        <v>424</v>
      </c>
      <c r="B27" s="208" t="s">
        <v>488</v>
      </c>
      <c r="C27" s="598"/>
      <c r="D27" s="268"/>
      <c r="E27" s="326">
        <v>0</v>
      </c>
      <c r="F27" s="268"/>
      <c r="G27" s="268"/>
      <c r="H27" s="268"/>
      <c r="I27" s="268"/>
      <c r="J27" s="268"/>
      <c r="K27" s="268"/>
      <c r="L27" s="268"/>
      <c r="M27" s="268"/>
      <c r="N27" s="268"/>
      <c r="O27" s="268"/>
      <c r="P27" s="85"/>
    </row>
    <row r="28" spans="1:16">
      <c r="A28" s="386" t="s">
        <v>425</v>
      </c>
      <c r="B28" s="208" t="s">
        <v>488</v>
      </c>
      <c r="C28" s="276"/>
      <c r="D28" s="268"/>
      <c r="E28" s="326">
        <v>0</v>
      </c>
      <c r="F28" s="268"/>
      <c r="G28" s="268"/>
      <c r="H28" s="268"/>
      <c r="I28" s="268"/>
      <c r="J28" s="268"/>
      <c r="K28" s="268"/>
      <c r="L28" s="268"/>
      <c r="M28" s="268"/>
      <c r="N28" s="268"/>
      <c r="O28" s="268"/>
      <c r="P28" s="85"/>
    </row>
    <row r="29" spans="1:16" ht="13.5" customHeight="1">
      <c r="A29" s="386" t="s">
        <v>426</v>
      </c>
      <c r="B29" s="208" t="s">
        <v>488</v>
      </c>
      <c r="C29" s="843"/>
      <c r="D29" s="112"/>
      <c r="E29" s="326">
        <v>0</v>
      </c>
      <c r="F29" s="112"/>
      <c r="G29" s="315"/>
      <c r="H29" s="315"/>
      <c r="I29" s="268"/>
      <c r="J29" s="315"/>
      <c r="K29" s="268"/>
      <c r="L29" s="315"/>
      <c r="M29" s="268"/>
      <c r="N29" s="315"/>
      <c r="O29" s="268"/>
      <c r="P29" s="85"/>
    </row>
    <row r="30" spans="1:16" ht="40.5" customHeight="1">
      <c r="A30" s="113" t="s">
        <v>427</v>
      </c>
      <c r="B30" s="664"/>
      <c r="C30" s="295"/>
      <c r="D30" s="295"/>
      <c r="E30" s="225"/>
      <c r="F30" s="295"/>
      <c r="G30" s="295"/>
      <c r="H30" s="295"/>
      <c r="I30" s="225"/>
      <c r="J30" s="295"/>
      <c r="K30" s="225"/>
      <c r="L30" s="295"/>
      <c r="M30" s="225"/>
      <c r="N30" s="295"/>
      <c r="O30" s="677"/>
      <c r="P30" s="676"/>
    </row>
    <row r="31" spans="1:16">
      <c r="A31" s="108" t="s">
        <v>428</v>
      </c>
      <c r="B31" s="395" t="s">
        <v>488</v>
      </c>
      <c r="C31" s="562"/>
      <c r="D31" s="823"/>
      <c r="E31" s="823"/>
      <c r="F31" s="823"/>
      <c r="G31" s="823"/>
      <c r="H31" s="823"/>
      <c r="I31" s="823"/>
      <c r="J31" s="823"/>
      <c r="K31" s="823"/>
      <c r="L31" s="823"/>
      <c r="M31" s="823"/>
      <c r="N31" s="823"/>
      <c r="O31" s="823"/>
      <c r="P31" s="85"/>
    </row>
    <row r="32" spans="1:16">
      <c r="A32" s="444" t="s">
        <v>429</v>
      </c>
      <c r="B32" s="208" t="s">
        <v>488</v>
      </c>
      <c r="C32" s="276"/>
      <c r="D32" s="138"/>
      <c r="E32" s="138"/>
      <c r="F32" s="138"/>
      <c r="G32" s="138"/>
      <c r="H32" s="138"/>
      <c r="I32" s="138"/>
      <c r="J32" s="138"/>
      <c r="K32" s="138"/>
      <c r="L32" s="138"/>
      <c r="M32" s="138"/>
      <c r="N32" s="138"/>
      <c r="O32" s="138"/>
      <c r="P32" s="85"/>
    </row>
    <row r="33" spans="1:16">
      <c r="A33" s="444" t="s">
        <v>430</v>
      </c>
      <c r="B33" s="208" t="s">
        <v>488</v>
      </c>
      <c r="C33" s="276"/>
      <c r="D33" s="138"/>
      <c r="E33" s="138"/>
      <c r="F33" s="138"/>
      <c r="G33" s="138"/>
      <c r="H33" s="138"/>
      <c r="I33" s="138">
        <v>1</v>
      </c>
      <c r="J33" s="138">
        <v>1</v>
      </c>
      <c r="K33" s="138">
        <v>1</v>
      </c>
      <c r="L33" s="138">
        <v>1</v>
      </c>
      <c r="M33" s="138">
        <v>1</v>
      </c>
      <c r="N33" s="138"/>
      <c r="O33" s="138">
        <v>2</v>
      </c>
      <c r="P33" s="85"/>
    </row>
    <row r="34" spans="1:16">
      <c r="A34" s="444" t="s">
        <v>491</v>
      </c>
      <c r="B34" s="208" t="s">
        <v>488</v>
      </c>
      <c r="C34" s="276"/>
      <c r="D34" s="138"/>
      <c r="E34" s="138"/>
      <c r="F34" s="138"/>
      <c r="G34" s="138"/>
      <c r="H34" s="138"/>
      <c r="I34" s="138"/>
      <c r="J34" s="138"/>
      <c r="K34" s="138"/>
      <c r="L34" s="138"/>
      <c r="M34" s="138"/>
      <c r="N34" s="138"/>
      <c r="O34" s="138"/>
      <c r="P34" s="85"/>
    </row>
    <row r="35" spans="1:16">
      <c r="A35" s="444" t="s">
        <v>409</v>
      </c>
      <c r="B35" s="208" t="s">
        <v>488</v>
      </c>
      <c r="C35" s="276"/>
      <c r="D35" s="138"/>
      <c r="E35" s="138"/>
      <c r="F35" s="138"/>
      <c r="G35" s="138"/>
      <c r="H35" s="138"/>
      <c r="I35" s="138"/>
      <c r="J35" s="138"/>
      <c r="K35" s="138"/>
      <c r="L35" s="138"/>
      <c r="M35" s="138"/>
      <c r="N35" s="138"/>
      <c r="O35" s="138"/>
      <c r="P35" s="85"/>
    </row>
    <row r="36" spans="1:16">
      <c r="A36" s="444" t="s">
        <v>410</v>
      </c>
      <c r="B36" s="208" t="s">
        <v>488</v>
      </c>
      <c r="C36" s="276"/>
      <c r="D36" s="138"/>
      <c r="E36" s="138"/>
      <c r="F36" s="138"/>
      <c r="G36" s="138"/>
      <c r="H36" s="138"/>
      <c r="I36" s="138"/>
      <c r="J36" s="138"/>
      <c r="K36" s="138"/>
      <c r="L36" s="138"/>
      <c r="M36" s="138"/>
      <c r="N36" s="138"/>
      <c r="O36" s="138"/>
      <c r="P36" s="85"/>
    </row>
    <row r="37" spans="1:16">
      <c r="A37" s="444" t="s">
        <v>411</v>
      </c>
      <c r="B37" s="208" t="s">
        <v>488</v>
      </c>
      <c r="C37" s="276"/>
      <c r="D37" s="138"/>
      <c r="E37" s="138"/>
      <c r="F37" s="138"/>
      <c r="G37" s="138"/>
      <c r="H37" s="138"/>
      <c r="I37" s="138"/>
      <c r="J37" s="138"/>
      <c r="K37" s="138"/>
      <c r="L37" s="138"/>
      <c r="M37" s="138"/>
      <c r="N37" s="138"/>
      <c r="O37" s="138"/>
      <c r="P37" s="85"/>
    </row>
    <row r="38" spans="1:16">
      <c r="A38" s="444" t="s">
        <v>412</v>
      </c>
      <c r="B38" s="208" t="s">
        <v>488</v>
      </c>
      <c r="C38" s="276"/>
      <c r="D38" s="138"/>
      <c r="E38" s="138"/>
      <c r="F38" s="138"/>
      <c r="G38" s="138"/>
      <c r="H38" s="138"/>
      <c r="I38" s="138"/>
      <c r="J38" s="138"/>
      <c r="K38" s="138"/>
      <c r="L38" s="138"/>
      <c r="M38" s="138"/>
      <c r="N38" s="138"/>
      <c r="O38" s="138"/>
      <c r="P38" s="85"/>
    </row>
    <row r="39" spans="1:16">
      <c r="A39" s="444" t="s">
        <v>413</v>
      </c>
      <c r="B39" s="208" t="s">
        <v>488</v>
      </c>
      <c r="C39" s="276"/>
      <c r="D39" s="138"/>
      <c r="E39" s="138"/>
      <c r="F39" s="138"/>
      <c r="G39" s="138"/>
      <c r="H39" s="138"/>
      <c r="I39" s="138"/>
      <c r="J39" s="138"/>
      <c r="K39" s="138"/>
      <c r="L39" s="138"/>
      <c r="M39" s="138"/>
      <c r="N39" s="138"/>
      <c r="O39" s="138"/>
      <c r="P39" s="85"/>
    </row>
    <row r="40" spans="1:16">
      <c r="A40" s="665" t="s">
        <v>431</v>
      </c>
      <c r="B40" s="208" t="s">
        <v>488</v>
      </c>
      <c r="C40" s="276"/>
      <c r="D40" s="138"/>
      <c r="E40" s="138"/>
      <c r="F40" s="138"/>
      <c r="G40" s="138">
        <v>2</v>
      </c>
      <c r="H40" s="138">
        <v>2</v>
      </c>
      <c r="I40" s="138">
        <v>2</v>
      </c>
      <c r="J40" s="138">
        <v>2</v>
      </c>
      <c r="K40" s="138">
        <v>2</v>
      </c>
      <c r="L40" s="138">
        <v>2</v>
      </c>
      <c r="M40" s="138">
        <v>2</v>
      </c>
      <c r="N40" s="138">
        <v>2</v>
      </c>
      <c r="O40" s="138">
        <v>2</v>
      </c>
      <c r="P40" s="85"/>
    </row>
    <row r="41" spans="1:16">
      <c r="A41" s="665" t="s">
        <v>432</v>
      </c>
      <c r="B41" s="208" t="s">
        <v>488</v>
      </c>
      <c r="C41" s="276"/>
      <c r="D41" s="138"/>
      <c r="E41" s="138"/>
      <c r="F41" s="138"/>
      <c r="G41" s="138"/>
      <c r="H41" s="138"/>
      <c r="I41" s="138"/>
      <c r="J41" s="138"/>
      <c r="K41" s="138">
        <v>1</v>
      </c>
      <c r="L41" s="138">
        <v>1</v>
      </c>
      <c r="M41" s="138">
        <v>1</v>
      </c>
      <c r="N41" s="138"/>
      <c r="O41" s="138">
        <v>2</v>
      </c>
      <c r="P41" s="85"/>
    </row>
    <row r="42" spans="1:16">
      <c r="A42" s="665" t="s">
        <v>433</v>
      </c>
      <c r="B42" s="208" t="s">
        <v>488</v>
      </c>
      <c r="C42" s="276"/>
      <c r="D42" s="138"/>
      <c r="E42" s="138"/>
      <c r="F42" s="138"/>
      <c r="G42" s="138">
        <v>1</v>
      </c>
      <c r="H42" s="138">
        <v>1</v>
      </c>
      <c r="I42" s="138">
        <v>1</v>
      </c>
      <c r="J42" s="138">
        <v>1</v>
      </c>
      <c r="K42" s="138">
        <v>1</v>
      </c>
      <c r="L42" s="138">
        <v>1</v>
      </c>
      <c r="M42" s="138">
        <v>1</v>
      </c>
      <c r="N42" s="138">
        <v>1</v>
      </c>
      <c r="O42" s="138">
        <v>1</v>
      </c>
      <c r="P42" s="85"/>
    </row>
    <row r="43" spans="1:16">
      <c r="A43" s="665" t="s">
        <v>418</v>
      </c>
      <c r="B43" s="208" t="s">
        <v>488</v>
      </c>
      <c r="C43" s="276"/>
      <c r="D43" s="138"/>
      <c r="E43" s="138">
        <v>0.25</v>
      </c>
      <c r="F43" s="138"/>
      <c r="G43" s="138">
        <v>1</v>
      </c>
      <c r="H43" s="138">
        <v>1</v>
      </c>
      <c r="I43" s="138">
        <v>1</v>
      </c>
      <c r="J43" s="138">
        <v>1</v>
      </c>
      <c r="K43" s="138">
        <v>1</v>
      </c>
      <c r="L43" s="138">
        <v>1</v>
      </c>
      <c r="M43" s="138">
        <v>1</v>
      </c>
      <c r="N43" s="138">
        <v>1</v>
      </c>
      <c r="O43" s="138">
        <v>1</v>
      </c>
      <c r="P43" s="85"/>
    </row>
    <row r="44" spans="1:16">
      <c r="A44" s="665" t="s">
        <v>417</v>
      </c>
      <c r="B44" s="208" t="s">
        <v>488</v>
      </c>
      <c r="C44" s="276"/>
      <c r="D44" s="138"/>
      <c r="E44" s="138">
        <v>0.17</v>
      </c>
      <c r="F44" s="138"/>
      <c r="G44" s="138">
        <v>1</v>
      </c>
      <c r="H44" s="138">
        <v>1</v>
      </c>
      <c r="I44" s="138">
        <v>1</v>
      </c>
      <c r="J44" s="138">
        <v>2</v>
      </c>
      <c r="K44" s="138">
        <v>1</v>
      </c>
      <c r="L44" s="138">
        <v>2</v>
      </c>
      <c r="M44" s="138">
        <v>2</v>
      </c>
      <c r="N44" s="138">
        <v>2</v>
      </c>
      <c r="O44" s="138">
        <v>2</v>
      </c>
      <c r="P44" s="85"/>
    </row>
    <row r="45" spans="1:16">
      <c r="A45" s="665" t="s">
        <v>434</v>
      </c>
      <c r="B45" s="208" t="s">
        <v>488</v>
      </c>
      <c r="C45" s="276"/>
      <c r="D45" s="138"/>
      <c r="E45" s="138">
        <v>0.17</v>
      </c>
      <c r="F45" s="138"/>
      <c r="G45" s="138">
        <v>1</v>
      </c>
      <c r="H45" s="138">
        <v>1</v>
      </c>
      <c r="I45" s="138">
        <v>1</v>
      </c>
      <c r="J45" s="138">
        <v>1</v>
      </c>
      <c r="K45" s="138">
        <v>1</v>
      </c>
      <c r="L45" s="138">
        <v>1</v>
      </c>
      <c r="M45" s="138">
        <v>1</v>
      </c>
      <c r="N45" s="138">
        <v>1</v>
      </c>
      <c r="O45" s="138">
        <v>2</v>
      </c>
      <c r="P45" s="85"/>
    </row>
    <row r="46" spans="1:16">
      <c r="A46" s="393" t="s">
        <v>435</v>
      </c>
      <c r="B46" s="208" t="s">
        <v>488</v>
      </c>
      <c r="C46" s="276"/>
      <c r="D46" s="138"/>
      <c r="E46" s="138"/>
      <c r="F46" s="138"/>
      <c r="G46" s="138">
        <v>1</v>
      </c>
      <c r="H46" s="138"/>
      <c r="I46" s="138">
        <v>1</v>
      </c>
      <c r="J46" s="138">
        <v>1</v>
      </c>
      <c r="K46" s="138">
        <v>1</v>
      </c>
      <c r="L46" s="138">
        <v>1</v>
      </c>
      <c r="M46" s="138">
        <v>1</v>
      </c>
      <c r="N46" s="138">
        <v>1</v>
      </c>
      <c r="O46" s="138">
        <v>1</v>
      </c>
      <c r="P46" s="85"/>
    </row>
    <row r="47" spans="1:16">
      <c r="A47" s="393" t="s">
        <v>436</v>
      </c>
      <c r="B47" s="208" t="s">
        <v>488</v>
      </c>
      <c r="C47" s="276"/>
      <c r="D47" s="138"/>
      <c r="E47" s="138"/>
      <c r="F47" s="138"/>
      <c r="G47" s="138">
        <v>0</v>
      </c>
      <c r="H47" s="138"/>
      <c r="I47" s="138">
        <v>1</v>
      </c>
      <c r="J47" s="138">
        <v>1</v>
      </c>
      <c r="K47" s="138">
        <v>1</v>
      </c>
      <c r="L47" s="138"/>
      <c r="M47" s="138">
        <v>1</v>
      </c>
      <c r="N47" s="138"/>
      <c r="O47" s="138">
        <v>1</v>
      </c>
      <c r="P47" s="85"/>
    </row>
    <row r="48" spans="1:16">
      <c r="A48" s="393" t="s">
        <v>437</v>
      </c>
      <c r="B48" s="208" t="s">
        <v>488</v>
      </c>
      <c r="C48" s="276"/>
      <c r="D48" s="138"/>
      <c r="E48" s="138">
        <v>0.17</v>
      </c>
      <c r="F48" s="138"/>
      <c r="G48" s="138">
        <v>2</v>
      </c>
      <c r="H48" s="138">
        <v>2</v>
      </c>
      <c r="I48" s="138">
        <v>2</v>
      </c>
      <c r="J48" s="138">
        <v>2</v>
      </c>
      <c r="K48" s="138">
        <v>2</v>
      </c>
      <c r="L48" s="138">
        <v>2</v>
      </c>
      <c r="M48" s="138">
        <v>2</v>
      </c>
      <c r="N48" s="138">
        <v>3</v>
      </c>
      <c r="O48" s="138">
        <v>2</v>
      </c>
      <c r="P48" s="85"/>
    </row>
    <row r="49" spans="1:16">
      <c r="A49" s="393" t="s">
        <v>438</v>
      </c>
      <c r="B49" s="208" t="s">
        <v>488</v>
      </c>
      <c r="C49" s="276"/>
      <c r="D49" s="138"/>
      <c r="E49" s="138"/>
      <c r="F49" s="138"/>
      <c r="G49" s="138">
        <v>1</v>
      </c>
      <c r="H49" s="138">
        <v>1</v>
      </c>
      <c r="I49" s="138">
        <v>1</v>
      </c>
      <c r="J49" s="138">
        <v>1</v>
      </c>
      <c r="K49" s="138">
        <v>1</v>
      </c>
      <c r="L49" s="138">
        <v>1</v>
      </c>
      <c r="M49" s="138">
        <v>2</v>
      </c>
      <c r="N49" s="138">
        <v>2</v>
      </c>
      <c r="O49" s="138">
        <v>2</v>
      </c>
      <c r="P49" s="85"/>
    </row>
    <row r="50" spans="1:16">
      <c r="A50" s="393" t="s">
        <v>439</v>
      </c>
      <c r="B50" s="208" t="s">
        <v>488</v>
      </c>
      <c r="C50" s="276"/>
      <c r="D50" s="138"/>
      <c r="E50" s="138">
        <v>0.25</v>
      </c>
      <c r="F50" s="138"/>
      <c r="G50" s="138">
        <v>1</v>
      </c>
      <c r="H50" s="138">
        <v>1</v>
      </c>
      <c r="I50" s="138">
        <v>1</v>
      </c>
      <c r="J50" s="138">
        <v>1</v>
      </c>
      <c r="K50" s="138">
        <v>1</v>
      </c>
      <c r="L50" s="138">
        <v>1</v>
      </c>
      <c r="M50" s="138">
        <v>1</v>
      </c>
      <c r="N50" s="138">
        <v>1</v>
      </c>
      <c r="O50" s="138">
        <v>1</v>
      </c>
      <c r="P50" s="85"/>
    </row>
    <row r="51" spans="1:16">
      <c r="A51" s="393" t="s">
        <v>440</v>
      </c>
      <c r="B51" s="208" t="s">
        <v>488</v>
      </c>
      <c r="C51" s="276"/>
      <c r="D51" s="138"/>
      <c r="E51" s="138"/>
      <c r="F51" s="138"/>
      <c r="G51" s="138">
        <v>1</v>
      </c>
      <c r="H51" s="138">
        <v>1</v>
      </c>
      <c r="I51" s="138">
        <v>1</v>
      </c>
      <c r="J51" s="138">
        <v>1</v>
      </c>
      <c r="K51" s="138">
        <v>1</v>
      </c>
      <c r="L51" s="138">
        <v>1</v>
      </c>
      <c r="M51" s="138">
        <v>1</v>
      </c>
      <c r="N51" s="138">
        <v>1</v>
      </c>
      <c r="O51" s="138">
        <v>1</v>
      </c>
      <c r="P51" s="85"/>
    </row>
    <row r="52" spans="1:16">
      <c r="A52" s="393" t="s">
        <v>441</v>
      </c>
      <c r="B52" s="208" t="s">
        <v>488</v>
      </c>
      <c r="C52" s="276"/>
      <c r="D52" s="138"/>
      <c r="E52" s="138"/>
      <c r="F52" s="138"/>
      <c r="G52" s="138"/>
      <c r="H52" s="138"/>
      <c r="I52" s="138">
        <v>0</v>
      </c>
      <c r="J52" s="138">
        <v>1</v>
      </c>
      <c r="K52" s="138">
        <v>1</v>
      </c>
      <c r="L52" s="138">
        <v>1</v>
      </c>
      <c r="M52" s="138">
        <v>1</v>
      </c>
      <c r="N52" s="138">
        <v>1</v>
      </c>
      <c r="O52" s="138">
        <v>1</v>
      </c>
      <c r="P52" s="85"/>
    </row>
    <row r="53" spans="1:16">
      <c r="A53" s="393" t="s">
        <v>442</v>
      </c>
      <c r="B53" s="208" t="s">
        <v>488</v>
      </c>
      <c r="C53" s="276"/>
      <c r="D53" s="138"/>
      <c r="E53" s="138"/>
      <c r="F53" s="138"/>
      <c r="G53" s="138"/>
      <c r="H53" s="138">
        <v>1</v>
      </c>
      <c r="I53" s="138">
        <v>1</v>
      </c>
      <c r="J53" s="138">
        <v>1</v>
      </c>
      <c r="K53" s="138">
        <v>1</v>
      </c>
      <c r="L53" s="138"/>
      <c r="M53" s="138">
        <v>1</v>
      </c>
      <c r="N53" s="138">
        <v>1</v>
      </c>
      <c r="O53" s="138">
        <v>1</v>
      </c>
      <c r="P53" s="85"/>
    </row>
    <row r="54" spans="1:16">
      <c r="A54" s="393" t="s">
        <v>443</v>
      </c>
      <c r="B54" s="208" t="s">
        <v>488</v>
      </c>
      <c r="C54" s="276"/>
      <c r="D54" s="138"/>
      <c r="E54" s="138"/>
      <c r="F54" s="138"/>
      <c r="G54" s="138"/>
      <c r="H54" s="138"/>
      <c r="I54" s="138"/>
      <c r="J54" s="138"/>
      <c r="K54" s="138">
        <v>1</v>
      </c>
      <c r="L54" s="138"/>
      <c r="M54" s="138">
        <v>1</v>
      </c>
      <c r="N54" s="138"/>
      <c r="O54" s="138">
        <v>1</v>
      </c>
      <c r="P54" s="85"/>
    </row>
    <row r="55" spans="1:16">
      <c r="A55" s="497" t="s">
        <v>444</v>
      </c>
      <c r="B55" s="208" t="s">
        <v>488</v>
      </c>
      <c r="C55" s="276"/>
      <c r="D55" s="138"/>
      <c r="E55" s="138"/>
      <c r="F55" s="138"/>
      <c r="G55" s="138">
        <v>2</v>
      </c>
      <c r="H55" s="138">
        <v>2</v>
      </c>
      <c r="I55" s="138">
        <v>2</v>
      </c>
      <c r="J55" s="138">
        <v>2</v>
      </c>
      <c r="K55" s="138">
        <v>2</v>
      </c>
      <c r="L55" s="138">
        <v>2</v>
      </c>
      <c r="M55" s="138">
        <v>2</v>
      </c>
      <c r="N55" s="138">
        <v>2</v>
      </c>
      <c r="O55" s="138">
        <v>2</v>
      </c>
      <c r="P55" s="85"/>
    </row>
    <row r="56" spans="1:16">
      <c r="A56" s="497" t="s">
        <v>445</v>
      </c>
      <c r="B56" s="208" t="s">
        <v>488</v>
      </c>
      <c r="C56" s="276"/>
      <c r="D56" s="138"/>
      <c r="E56" s="138"/>
      <c r="F56" s="138">
        <v>1</v>
      </c>
      <c r="G56" s="138">
        <v>1</v>
      </c>
      <c r="H56" s="138">
        <v>1</v>
      </c>
      <c r="I56" s="138">
        <v>1</v>
      </c>
      <c r="J56" s="138">
        <v>1</v>
      </c>
      <c r="K56" s="138">
        <v>1</v>
      </c>
      <c r="L56" s="138">
        <v>1</v>
      </c>
      <c r="M56" s="138">
        <v>1</v>
      </c>
      <c r="N56" s="138">
        <v>1</v>
      </c>
      <c r="O56" s="138">
        <v>2</v>
      </c>
      <c r="P56" s="85"/>
    </row>
    <row r="57" spans="1:16">
      <c r="A57" s="497" t="s">
        <v>446</v>
      </c>
      <c r="B57" s="208" t="s">
        <v>488</v>
      </c>
      <c r="C57" s="598"/>
      <c r="D57" s="268"/>
      <c r="E57" s="138"/>
      <c r="F57" s="268"/>
      <c r="G57" s="138"/>
      <c r="H57" s="268"/>
      <c r="I57" s="138"/>
      <c r="J57" s="268"/>
      <c r="K57" s="138"/>
      <c r="L57" s="268"/>
      <c r="M57" s="138"/>
      <c r="N57" s="268"/>
      <c r="O57" s="268"/>
      <c r="P57" s="85"/>
    </row>
    <row r="58" spans="1:16" ht="23.25" customHeight="1">
      <c r="A58" s="441"/>
      <c r="B58" s="441"/>
      <c r="C58" s="441"/>
      <c r="D58" s="441"/>
      <c r="E58" s="441"/>
      <c r="F58" s="441"/>
      <c r="G58" s="441"/>
      <c r="H58" s="441"/>
      <c r="I58" s="441"/>
      <c r="J58" s="441"/>
      <c r="K58" s="441"/>
      <c r="L58" s="441"/>
      <c r="M58" s="441"/>
      <c r="N58" s="441"/>
      <c r="O58" s="441"/>
    </row>
    <row r="59" spans="1:16" ht="13.5" customHeight="1">
      <c r="A59" s="151"/>
      <c r="B59" s="456"/>
      <c r="C59" s="456"/>
      <c r="D59" s="456"/>
      <c r="E59" s="456"/>
      <c r="F59" s="456"/>
      <c r="G59" s="456"/>
      <c r="H59" s="456"/>
      <c r="I59" s="456"/>
      <c r="J59" s="456"/>
      <c r="K59" s="456"/>
      <c r="L59" s="456"/>
      <c r="M59" s="456"/>
      <c r="N59" s="456"/>
      <c r="O59" s="456"/>
    </row>
    <row r="60" spans="1:16" ht="23.25" customHeight="1">
      <c r="A60" s="824"/>
      <c r="B60" s="872" t="s">
        <v>447</v>
      </c>
      <c r="C60" s="873"/>
      <c r="D60" s="873"/>
      <c r="E60" s="873"/>
      <c r="F60" s="873"/>
      <c r="G60" s="873"/>
      <c r="H60" s="873"/>
      <c r="I60" s="873"/>
      <c r="J60" s="873"/>
      <c r="K60" s="873"/>
      <c r="L60" s="873"/>
      <c r="M60" s="873"/>
      <c r="N60" s="873"/>
      <c r="O60" s="874"/>
      <c r="P60" s="676"/>
    </row>
    <row r="61" spans="1:16" ht="25.5" customHeight="1">
      <c r="A61" s="595"/>
      <c r="B61" s="754"/>
      <c r="C61" s="697" t="s">
        <v>448</v>
      </c>
      <c r="D61" s="697"/>
      <c r="E61" s="840" t="str">
        <f>E6</f>
        <v>Incubation Year</v>
      </c>
      <c r="F61" s="156"/>
      <c r="G61" s="611">
        <f>$G$6</f>
        <v>1</v>
      </c>
      <c r="H61" s="611"/>
      <c r="I61" s="611">
        <f>$I$6</f>
        <v>2</v>
      </c>
      <c r="J61" s="611"/>
      <c r="K61" s="611">
        <f>$K$6</f>
        <v>3</v>
      </c>
      <c r="L61" s="611"/>
      <c r="M61" s="611">
        <f>$M$6</f>
        <v>4</v>
      </c>
      <c r="N61" s="611"/>
      <c r="O61" s="611">
        <f>$O$6</f>
        <v>5</v>
      </c>
      <c r="P61" s="85"/>
    </row>
    <row r="62" spans="1:16" ht="19.5" customHeight="1">
      <c r="A62" s="877" t="s">
        <v>449</v>
      </c>
      <c r="B62" s="878"/>
      <c r="C62" s="429"/>
      <c r="D62" s="89"/>
      <c r="E62" s="283" t="s">
        <v>488</v>
      </c>
      <c r="F62" s="89"/>
      <c r="G62" s="89"/>
      <c r="H62" s="89"/>
      <c r="I62" s="89"/>
      <c r="J62" s="89"/>
      <c r="K62" s="89"/>
      <c r="L62" s="89"/>
      <c r="M62" s="89"/>
      <c r="N62" s="89"/>
      <c r="O62" s="89"/>
      <c r="P62" s="85"/>
    </row>
    <row r="63" spans="1:16" ht="13.5" customHeight="1">
      <c r="A63" s="748"/>
      <c r="B63" s="573"/>
      <c r="C63" s="665"/>
      <c r="D63" s="699"/>
      <c r="E63" s="699"/>
      <c r="F63" s="699"/>
      <c r="G63" s="699"/>
      <c r="H63" s="699"/>
      <c r="I63" s="699"/>
      <c r="J63" s="699"/>
      <c r="K63" s="699"/>
      <c r="L63" s="699"/>
      <c r="M63" s="699"/>
      <c r="N63" s="699"/>
      <c r="O63" s="699"/>
      <c r="P63" s="85"/>
    </row>
    <row r="64" spans="1:16" ht="40.5" customHeight="1">
      <c r="A64" s="17" t="str">
        <f t="shared" ref="A64:A95" si="0">A6</f>
        <v>Positions that Participate in the Chicago Teachers Pension Fund (CTPF):</v>
      </c>
      <c r="B64" s="407" t="s">
        <v>450</v>
      </c>
      <c r="C64" s="419"/>
      <c r="D64" s="373"/>
      <c r="E64" s="125"/>
      <c r="F64" s="125"/>
      <c r="G64" s="125"/>
      <c r="H64" s="125"/>
      <c r="I64" s="125"/>
      <c r="J64" s="125"/>
      <c r="K64" s="125"/>
      <c r="L64" s="125"/>
      <c r="M64" s="125"/>
      <c r="N64" s="125"/>
      <c r="O64" s="743"/>
      <c r="P64" s="676"/>
    </row>
    <row r="65" spans="1:16">
      <c r="A65" s="516" t="str">
        <f t="shared" si="0"/>
        <v>Teachers</v>
      </c>
      <c r="B65" s="713">
        <v>42000</v>
      </c>
      <c r="C65" s="291">
        <f t="shared" ref="C65:C87" si="1">B65*(1+C$62)</f>
        <v>42000</v>
      </c>
      <c r="D65" s="86"/>
      <c r="E65" s="338">
        <v>0</v>
      </c>
      <c r="F65" s="86"/>
      <c r="G65" s="338">
        <f t="shared" ref="G65:G87" si="2">C65*(1+G$62)</f>
        <v>42000</v>
      </c>
      <c r="H65" s="338"/>
      <c r="I65" s="338">
        <f t="shared" ref="I65:I87" si="3">G65*(1+I$62)</f>
        <v>42000</v>
      </c>
      <c r="J65" s="338"/>
      <c r="K65" s="338">
        <v>43000</v>
      </c>
      <c r="L65" s="338">
        <f>J65*(1+L$62)</f>
        <v>0</v>
      </c>
      <c r="M65" s="338">
        <f>K65*(1+M$62)</f>
        <v>43000</v>
      </c>
      <c r="N65" s="338">
        <f>L65*(1+N$62)</f>
        <v>0</v>
      </c>
      <c r="O65" s="338">
        <v>44000</v>
      </c>
      <c r="P65" s="85"/>
    </row>
    <row r="66" spans="1:16">
      <c r="A66" s="444" t="str">
        <f t="shared" si="0"/>
        <v>SPED Teachers (reimbursed by CPS)</v>
      </c>
      <c r="B66" s="583">
        <v>60000</v>
      </c>
      <c r="C66" s="291">
        <f t="shared" si="1"/>
        <v>60000</v>
      </c>
      <c r="D66" s="583"/>
      <c r="E66" s="852">
        <v>0</v>
      </c>
      <c r="F66" s="583"/>
      <c r="G66" s="852">
        <f t="shared" si="2"/>
        <v>60000</v>
      </c>
      <c r="H66" s="852"/>
      <c r="I66" s="852">
        <f t="shared" si="3"/>
        <v>60000</v>
      </c>
      <c r="J66" s="852"/>
      <c r="K66" s="852">
        <f t="shared" ref="K66:K87" si="4">I66*(1+K$62)</f>
        <v>60000</v>
      </c>
      <c r="L66" s="852"/>
      <c r="M66" s="852">
        <f t="shared" ref="M66:M87" si="5">K66*(1+M$62)</f>
        <v>60000</v>
      </c>
      <c r="N66" s="852"/>
      <c r="O66" s="852">
        <f t="shared" ref="O66:O87" si="6">M66*(1+O$62)</f>
        <v>60000</v>
      </c>
      <c r="P66" s="85"/>
    </row>
    <row r="67" spans="1:16">
      <c r="A67" s="444" t="str">
        <f t="shared" si="0"/>
        <v>SPED Aides (reimbursed by CPS)</v>
      </c>
      <c r="B67" s="583"/>
      <c r="C67" s="74">
        <f t="shared" si="1"/>
        <v>0</v>
      </c>
      <c r="D67" s="583"/>
      <c r="E67" s="852">
        <v>0</v>
      </c>
      <c r="F67" s="583"/>
      <c r="G67" s="852">
        <f t="shared" si="2"/>
        <v>0</v>
      </c>
      <c r="H67" s="852"/>
      <c r="I67" s="852">
        <f t="shared" si="3"/>
        <v>0</v>
      </c>
      <c r="J67" s="852"/>
      <c r="K67" s="852">
        <f t="shared" si="4"/>
        <v>0</v>
      </c>
      <c r="L67" s="852"/>
      <c r="M67" s="852">
        <f t="shared" si="5"/>
        <v>0</v>
      </c>
      <c r="N67" s="852"/>
      <c r="O67" s="852">
        <f t="shared" si="6"/>
        <v>0</v>
      </c>
      <c r="P67" s="85"/>
    </row>
    <row r="68" spans="1:16">
      <c r="A68" s="444" t="str">
        <f t="shared" si="0"/>
        <v>SPED Clinicians-Psychologist (reimbursed by CPS)</v>
      </c>
      <c r="B68" s="583"/>
      <c r="C68" s="291">
        <f t="shared" si="1"/>
        <v>0</v>
      </c>
      <c r="D68" s="583"/>
      <c r="E68" s="852">
        <v>0</v>
      </c>
      <c r="F68" s="583"/>
      <c r="G68" s="852">
        <f t="shared" si="2"/>
        <v>0</v>
      </c>
      <c r="H68" s="852"/>
      <c r="I68" s="852">
        <f t="shared" si="3"/>
        <v>0</v>
      </c>
      <c r="J68" s="852"/>
      <c r="K68" s="852">
        <f t="shared" si="4"/>
        <v>0</v>
      </c>
      <c r="L68" s="852"/>
      <c r="M68" s="852">
        <f t="shared" si="5"/>
        <v>0</v>
      </c>
      <c r="N68" s="852"/>
      <c r="O68" s="852">
        <f t="shared" si="6"/>
        <v>0</v>
      </c>
      <c r="P68" s="85"/>
    </row>
    <row r="69" spans="1:16">
      <c r="A69" s="444" t="str">
        <f t="shared" si="0"/>
        <v>SPED Clinicians-Social Worker (reimbursed by CPS)</v>
      </c>
      <c r="B69" s="583">
        <v>42000</v>
      </c>
      <c r="C69" s="291">
        <f t="shared" si="1"/>
        <v>42000</v>
      </c>
      <c r="D69" s="583"/>
      <c r="E69" s="852">
        <v>0</v>
      </c>
      <c r="F69" s="583"/>
      <c r="G69" s="852">
        <f t="shared" si="2"/>
        <v>42000</v>
      </c>
      <c r="H69" s="852"/>
      <c r="I69" s="852">
        <f t="shared" si="3"/>
        <v>42000</v>
      </c>
      <c r="J69" s="852"/>
      <c r="K69" s="852">
        <f t="shared" si="4"/>
        <v>42000</v>
      </c>
      <c r="L69" s="852"/>
      <c r="M69" s="852">
        <f t="shared" si="5"/>
        <v>42000</v>
      </c>
      <c r="N69" s="852"/>
      <c r="O69" s="852">
        <f t="shared" si="6"/>
        <v>42000</v>
      </c>
      <c r="P69" s="85"/>
    </row>
    <row r="70" spans="1:16">
      <c r="A70" s="444" t="str">
        <f t="shared" si="0"/>
        <v>SPED Clinicians-Speech Therapist (reimbursed by CPS)</v>
      </c>
      <c r="B70" s="583"/>
      <c r="C70" s="291">
        <f t="shared" si="1"/>
        <v>0</v>
      </c>
      <c r="D70" s="583"/>
      <c r="E70" s="852">
        <v>0</v>
      </c>
      <c r="F70" s="583"/>
      <c r="G70" s="852">
        <f t="shared" si="2"/>
        <v>0</v>
      </c>
      <c r="H70" s="852"/>
      <c r="I70" s="852">
        <f t="shared" si="3"/>
        <v>0</v>
      </c>
      <c r="J70" s="852"/>
      <c r="K70" s="852">
        <f t="shared" si="4"/>
        <v>0</v>
      </c>
      <c r="L70" s="852"/>
      <c r="M70" s="852">
        <f t="shared" si="5"/>
        <v>0</v>
      </c>
      <c r="N70" s="852"/>
      <c r="O70" s="852">
        <f t="shared" si="6"/>
        <v>0</v>
      </c>
      <c r="P70" s="85"/>
    </row>
    <row r="71" spans="1:16">
      <c r="A71" s="444" t="str">
        <f t="shared" si="0"/>
        <v>SPED Clinicians-Physical Therapist (reimbursed by CPS)</v>
      </c>
      <c r="B71" s="583"/>
      <c r="C71" s="291">
        <f t="shared" si="1"/>
        <v>0</v>
      </c>
      <c r="D71" s="583"/>
      <c r="E71" s="852">
        <v>0</v>
      </c>
      <c r="F71" s="583"/>
      <c r="G71" s="852">
        <f t="shared" si="2"/>
        <v>0</v>
      </c>
      <c r="H71" s="852"/>
      <c r="I71" s="852">
        <f t="shared" si="3"/>
        <v>0</v>
      </c>
      <c r="J71" s="852"/>
      <c r="K71" s="852">
        <f t="shared" si="4"/>
        <v>0</v>
      </c>
      <c r="L71" s="852"/>
      <c r="M71" s="852">
        <f t="shared" si="5"/>
        <v>0</v>
      </c>
      <c r="N71" s="852"/>
      <c r="O71" s="852">
        <f t="shared" si="6"/>
        <v>0</v>
      </c>
      <c r="P71" s="85"/>
    </row>
    <row r="72" spans="1:16">
      <c r="A72" s="444" t="str">
        <f t="shared" si="0"/>
        <v>SPED Clinicians-Occupational Therapist (reimbursed by CPS)</v>
      </c>
      <c r="B72" s="583"/>
      <c r="C72" s="291">
        <f t="shared" si="1"/>
        <v>0</v>
      </c>
      <c r="D72" s="583"/>
      <c r="E72" s="852">
        <v>0</v>
      </c>
      <c r="F72" s="583"/>
      <c r="G72" s="852">
        <f t="shared" si="2"/>
        <v>0</v>
      </c>
      <c r="H72" s="852"/>
      <c r="I72" s="852">
        <f t="shared" si="3"/>
        <v>0</v>
      </c>
      <c r="J72" s="852"/>
      <c r="K72" s="852">
        <f t="shared" si="4"/>
        <v>0</v>
      </c>
      <c r="L72" s="852"/>
      <c r="M72" s="852">
        <f t="shared" si="5"/>
        <v>0</v>
      </c>
      <c r="N72" s="852"/>
      <c r="O72" s="852">
        <f t="shared" si="6"/>
        <v>0</v>
      </c>
      <c r="P72" s="85"/>
    </row>
    <row r="73" spans="1:16">
      <c r="A73" s="444" t="str">
        <f t="shared" si="0"/>
        <v>SPED Clinicians-Nurse (reimbursed by CPS)</v>
      </c>
      <c r="B73" s="583"/>
      <c r="C73" s="74">
        <f t="shared" si="1"/>
        <v>0</v>
      </c>
      <c r="D73" s="583"/>
      <c r="E73" s="852">
        <v>0</v>
      </c>
      <c r="F73" s="583"/>
      <c r="G73" s="852">
        <f t="shared" si="2"/>
        <v>0</v>
      </c>
      <c r="H73" s="852"/>
      <c r="I73" s="852">
        <f t="shared" si="3"/>
        <v>0</v>
      </c>
      <c r="J73" s="852"/>
      <c r="K73" s="852">
        <f t="shared" si="4"/>
        <v>0</v>
      </c>
      <c r="L73" s="852"/>
      <c r="M73" s="852">
        <f t="shared" si="5"/>
        <v>0</v>
      </c>
      <c r="N73" s="852"/>
      <c r="O73" s="852">
        <f t="shared" si="6"/>
        <v>0</v>
      </c>
      <c r="P73" s="85"/>
    </row>
    <row r="74" spans="1:16">
      <c r="A74" s="632" t="str">
        <f t="shared" si="0"/>
        <v>Teachers Aides</v>
      </c>
      <c r="B74" s="583"/>
      <c r="C74" s="291">
        <f t="shared" si="1"/>
        <v>0</v>
      </c>
      <c r="D74" s="583"/>
      <c r="E74" s="852">
        <v>0</v>
      </c>
      <c r="F74" s="583"/>
      <c r="G74" s="852">
        <f t="shared" si="2"/>
        <v>0</v>
      </c>
      <c r="H74" s="852"/>
      <c r="I74" s="852">
        <f t="shared" si="3"/>
        <v>0</v>
      </c>
      <c r="J74" s="852"/>
      <c r="K74" s="852">
        <f t="shared" si="4"/>
        <v>0</v>
      </c>
      <c r="L74" s="852"/>
      <c r="M74" s="852">
        <f t="shared" si="5"/>
        <v>0</v>
      </c>
      <c r="N74" s="852"/>
      <c r="O74" s="852">
        <f t="shared" si="6"/>
        <v>0</v>
      </c>
      <c r="P74" s="85"/>
    </row>
    <row r="75" spans="1:16">
      <c r="A75" s="632" t="str">
        <f t="shared" si="0"/>
        <v>Counselors</v>
      </c>
      <c r="B75" s="583"/>
      <c r="C75" s="291">
        <f t="shared" si="1"/>
        <v>0</v>
      </c>
      <c r="D75" s="583"/>
      <c r="E75" s="852">
        <v>0</v>
      </c>
      <c r="F75" s="583"/>
      <c r="G75" s="852">
        <f t="shared" si="2"/>
        <v>0</v>
      </c>
      <c r="H75" s="852"/>
      <c r="I75" s="852">
        <f t="shared" si="3"/>
        <v>0</v>
      </c>
      <c r="J75" s="852"/>
      <c r="K75" s="852">
        <f t="shared" si="4"/>
        <v>0</v>
      </c>
      <c r="L75" s="852"/>
      <c r="M75" s="852">
        <f t="shared" si="5"/>
        <v>0</v>
      </c>
      <c r="N75" s="852"/>
      <c r="O75" s="852">
        <f t="shared" si="6"/>
        <v>0</v>
      </c>
      <c r="P75" s="85"/>
    </row>
    <row r="76" spans="1:16">
      <c r="A76" s="632" t="str">
        <f t="shared" si="0"/>
        <v>Librarians</v>
      </c>
      <c r="B76" s="583"/>
      <c r="C76" s="291">
        <f t="shared" si="1"/>
        <v>0</v>
      </c>
      <c r="D76" s="583"/>
      <c r="E76" s="852">
        <v>0</v>
      </c>
      <c r="F76" s="583"/>
      <c r="G76" s="852">
        <f t="shared" si="2"/>
        <v>0</v>
      </c>
      <c r="H76" s="852"/>
      <c r="I76" s="852">
        <f t="shared" si="3"/>
        <v>0</v>
      </c>
      <c r="J76" s="852"/>
      <c r="K76" s="852">
        <f t="shared" si="4"/>
        <v>0</v>
      </c>
      <c r="L76" s="852"/>
      <c r="M76" s="852">
        <f t="shared" si="5"/>
        <v>0</v>
      </c>
      <c r="N76" s="852"/>
      <c r="O76" s="852">
        <f t="shared" si="6"/>
        <v>0</v>
      </c>
      <c r="P76" s="85"/>
    </row>
    <row r="77" spans="1:16">
      <c r="A77" s="632" t="str">
        <f t="shared" si="0"/>
        <v>Deans</v>
      </c>
      <c r="B77" s="583"/>
      <c r="C77" s="291">
        <f t="shared" si="1"/>
        <v>0</v>
      </c>
      <c r="D77" s="583"/>
      <c r="E77" s="852">
        <v>0</v>
      </c>
      <c r="F77" s="583"/>
      <c r="G77" s="852">
        <f t="shared" si="2"/>
        <v>0</v>
      </c>
      <c r="H77" s="852"/>
      <c r="I77" s="852">
        <f t="shared" si="3"/>
        <v>0</v>
      </c>
      <c r="J77" s="852"/>
      <c r="K77" s="852">
        <f t="shared" si="4"/>
        <v>0</v>
      </c>
      <c r="L77" s="852"/>
      <c r="M77" s="852">
        <f t="shared" si="5"/>
        <v>0</v>
      </c>
      <c r="N77" s="852"/>
      <c r="O77" s="852">
        <f t="shared" si="6"/>
        <v>0</v>
      </c>
      <c r="P77" s="85"/>
    </row>
    <row r="78" spans="1:16">
      <c r="A78" s="632" t="str">
        <f t="shared" si="0"/>
        <v>Principal</v>
      </c>
      <c r="B78" s="583"/>
      <c r="C78" s="291">
        <f t="shared" si="1"/>
        <v>0</v>
      </c>
      <c r="D78" s="583"/>
      <c r="E78" s="852">
        <v>0</v>
      </c>
      <c r="F78" s="583"/>
      <c r="G78" s="852">
        <f t="shared" si="2"/>
        <v>0</v>
      </c>
      <c r="H78" s="852"/>
      <c r="I78" s="852">
        <f t="shared" si="3"/>
        <v>0</v>
      </c>
      <c r="J78" s="852"/>
      <c r="K78" s="852">
        <f t="shared" si="4"/>
        <v>0</v>
      </c>
      <c r="L78" s="852"/>
      <c r="M78" s="852">
        <f t="shared" si="5"/>
        <v>0</v>
      </c>
      <c r="N78" s="852"/>
      <c r="O78" s="852">
        <f t="shared" si="6"/>
        <v>0</v>
      </c>
      <c r="P78" s="85"/>
    </row>
    <row r="79" spans="1:16">
      <c r="A79" s="632" t="str">
        <f t="shared" si="0"/>
        <v>Assistant Principal</v>
      </c>
      <c r="B79" s="583"/>
      <c r="C79" s="291">
        <f t="shared" si="1"/>
        <v>0</v>
      </c>
      <c r="D79" s="583"/>
      <c r="E79" s="852">
        <v>0</v>
      </c>
      <c r="F79" s="583"/>
      <c r="G79" s="852">
        <f t="shared" si="2"/>
        <v>0</v>
      </c>
      <c r="H79" s="852"/>
      <c r="I79" s="852">
        <f t="shared" si="3"/>
        <v>0</v>
      </c>
      <c r="J79" s="852"/>
      <c r="K79" s="852">
        <f t="shared" si="4"/>
        <v>0</v>
      </c>
      <c r="L79" s="852"/>
      <c r="M79" s="852">
        <f t="shared" si="5"/>
        <v>0</v>
      </c>
      <c r="N79" s="852"/>
      <c r="O79" s="852">
        <f t="shared" si="6"/>
        <v>0</v>
      </c>
      <c r="P79" s="85"/>
    </row>
    <row r="80" spans="1:16">
      <c r="A80" s="632">
        <f t="shared" si="0"/>
        <v>0</v>
      </c>
      <c r="B80" s="583"/>
      <c r="C80" s="291">
        <f t="shared" si="1"/>
        <v>0</v>
      </c>
      <c r="D80" s="583"/>
      <c r="E80" s="852">
        <v>0</v>
      </c>
      <c r="F80" s="583"/>
      <c r="G80" s="852">
        <f t="shared" si="2"/>
        <v>0</v>
      </c>
      <c r="H80" s="852"/>
      <c r="I80" s="852">
        <f t="shared" si="3"/>
        <v>0</v>
      </c>
      <c r="J80" s="852"/>
      <c r="K80" s="852">
        <f t="shared" si="4"/>
        <v>0</v>
      </c>
      <c r="L80" s="852"/>
      <c r="M80" s="852">
        <f t="shared" si="5"/>
        <v>0</v>
      </c>
      <c r="N80" s="852"/>
      <c r="O80" s="852">
        <f t="shared" si="6"/>
        <v>0</v>
      </c>
      <c r="P80" s="85"/>
    </row>
    <row r="81" spans="1:16">
      <c r="A81" s="157" t="str">
        <f t="shared" si="0"/>
        <v>B</v>
      </c>
      <c r="B81" s="583"/>
      <c r="C81" s="291">
        <f t="shared" si="1"/>
        <v>0</v>
      </c>
      <c r="D81" s="583"/>
      <c r="E81" s="852">
        <v>0</v>
      </c>
      <c r="F81" s="583"/>
      <c r="G81" s="852">
        <f t="shared" si="2"/>
        <v>0</v>
      </c>
      <c r="H81" s="852"/>
      <c r="I81" s="852">
        <f t="shared" si="3"/>
        <v>0</v>
      </c>
      <c r="J81" s="852"/>
      <c r="K81" s="852">
        <f t="shared" si="4"/>
        <v>0</v>
      </c>
      <c r="L81" s="852"/>
      <c r="M81" s="852">
        <f t="shared" si="5"/>
        <v>0</v>
      </c>
      <c r="N81" s="852"/>
      <c r="O81" s="852">
        <f t="shared" si="6"/>
        <v>0</v>
      </c>
      <c r="P81" s="85"/>
    </row>
    <row r="82" spans="1:16">
      <c r="A82" s="157" t="str">
        <f t="shared" si="0"/>
        <v>C</v>
      </c>
      <c r="B82" s="583"/>
      <c r="C82" s="291">
        <f t="shared" si="1"/>
        <v>0</v>
      </c>
      <c r="D82" s="583"/>
      <c r="E82" s="852">
        <v>0</v>
      </c>
      <c r="F82" s="583"/>
      <c r="G82" s="852">
        <f t="shared" si="2"/>
        <v>0</v>
      </c>
      <c r="H82" s="852"/>
      <c r="I82" s="852">
        <f t="shared" si="3"/>
        <v>0</v>
      </c>
      <c r="J82" s="852"/>
      <c r="K82" s="852">
        <f t="shared" si="4"/>
        <v>0</v>
      </c>
      <c r="L82" s="852"/>
      <c r="M82" s="852">
        <f t="shared" si="5"/>
        <v>0</v>
      </c>
      <c r="N82" s="852"/>
      <c r="O82" s="852">
        <f t="shared" si="6"/>
        <v>0</v>
      </c>
      <c r="P82" s="85"/>
    </row>
    <row r="83" spans="1:16">
      <c r="A83" s="157" t="str">
        <f t="shared" si="0"/>
        <v>D</v>
      </c>
      <c r="B83" s="583"/>
      <c r="C83" s="291">
        <f t="shared" si="1"/>
        <v>0</v>
      </c>
      <c r="D83" s="583"/>
      <c r="E83" s="852">
        <v>0</v>
      </c>
      <c r="F83" s="583"/>
      <c r="G83" s="852">
        <f t="shared" si="2"/>
        <v>0</v>
      </c>
      <c r="H83" s="852"/>
      <c r="I83" s="852">
        <f t="shared" si="3"/>
        <v>0</v>
      </c>
      <c r="J83" s="852"/>
      <c r="K83" s="852">
        <f t="shared" si="4"/>
        <v>0</v>
      </c>
      <c r="L83" s="852"/>
      <c r="M83" s="852">
        <f t="shared" si="5"/>
        <v>0</v>
      </c>
      <c r="N83" s="852"/>
      <c r="O83" s="852">
        <f t="shared" si="6"/>
        <v>0</v>
      </c>
      <c r="P83" s="85"/>
    </row>
    <row r="84" spans="1:16">
      <c r="A84" s="157" t="str">
        <f t="shared" si="0"/>
        <v>E</v>
      </c>
      <c r="B84" s="583"/>
      <c r="C84" s="291">
        <f t="shared" si="1"/>
        <v>0</v>
      </c>
      <c r="D84" s="583"/>
      <c r="E84" s="852">
        <v>0</v>
      </c>
      <c r="F84" s="583"/>
      <c r="G84" s="852">
        <f t="shared" si="2"/>
        <v>0</v>
      </c>
      <c r="H84" s="852"/>
      <c r="I84" s="852">
        <f t="shared" si="3"/>
        <v>0</v>
      </c>
      <c r="J84" s="852"/>
      <c r="K84" s="852">
        <f t="shared" si="4"/>
        <v>0</v>
      </c>
      <c r="L84" s="852"/>
      <c r="M84" s="852">
        <f t="shared" si="5"/>
        <v>0</v>
      </c>
      <c r="N84" s="852"/>
      <c r="O84" s="852">
        <f t="shared" si="6"/>
        <v>0</v>
      </c>
      <c r="P84" s="85"/>
    </row>
    <row r="85" spans="1:16">
      <c r="A85" s="157" t="str">
        <f t="shared" si="0"/>
        <v>F</v>
      </c>
      <c r="B85" s="583"/>
      <c r="C85" s="291">
        <f t="shared" si="1"/>
        <v>0</v>
      </c>
      <c r="D85" s="291"/>
      <c r="E85" s="852">
        <v>0</v>
      </c>
      <c r="F85" s="291"/>
      <c r="G85" s="852">
        <f t="shared" si="2"/>
        <v>0</v>
      </c>
      <c r="H85" s="852"/>
      <c r="I85" s="852">
        <f t="shared" si="3"/>
        <v>0</v>
      </c>
      <c r="J85" s="852"/>
      <c r="K85" s="852">
        <f t="shared" si="4"/>
        <v>0</v>
      </c>
      <c r="L85" s="852"/>
      <c r="M85" s="852">
        <f t="shared" si="5"/>
        <v>0</v>
      </c>
      <c r="N85" s="852"/>
      <c r="O85" s="852">
        <f t="shared" si="6"/>
        <v>0</v>
      </c>
      <c r="P85" s="85"/>
    </row>
    <row r="86" spans="1:16">
      <c r="A86" s="157" t="str">
        <f t="shared" si="0"/>
        <v>G</v>
      </c>
      <c r="B86" s="583"/>
      <c r="C86" s="291">
        <f t="shared" si="1"/>
        <v>0</v>
      </c>
      <c r="D86" s="291"/>
      <c r="E86" s="852">
        <v>0</v>
      </c>
      <c r="F86" s="291"/>
      <c r="G86" s="852">
        <f t="shared" si="2"/>
        <v>0</v>
      </c>
      <c r="H86" s="852"/>
      <c r="I86" s="852">
        <f t="shared" si="3"/>
        <v>0</v>
      </c>
      <c r="J86" s="852"/>
      <c r="K86" s="852">
        <f t="shared" si="4"/>
        <v>0</v>
      </c>
      <c r="L86" s="852"/>
      <c r="M86" s="852">
        <f t="shared" si="5"/>
        <v>0</v>
      </c>
      <c r="N86" s="852"/>
      <c r="O86" s="852">
        <f t="shared" si="6"/>
        <v>0</v>
      </c>
      <c r="P86" s="85"/>
    </row>
    <row r="87" spans="1:16" ht="13.5" customHeight="1">
      <c r="A87" s="663" t="str">
        <f t="shared" si="0"/>
        <v>H</v>
      </c>
      <c r="B87" s="486"/>
      <c r="C87" s="547">
        <f t="shared" si="1"/>
        <v>0</v>
      </c>
      <c r="D87" s="547"/>
      <c r="E87" s="852">
        <v>0</v>
      </c>
      <c r="F87" s="547"/>
      <c r="G87" s="852">
        <f t="shared" si="2"/>
        <v>0</v>
      </c>
      <c r="H87" s="852"/>
      <c r="I87" s="852">
        <f t="shared" si="3"/>
        <v>0</v>
      </c>
      <c r="J87" s="852"/>
      <c r="K87" s="852">
        <f t="shared" si="4"/>
        <v>0</v>
      </c>
      <c r="L87" s="852"/>
      <c r="M87" s="852">
        <f t="shared" si="5"/>
        <v>0</v>
      </c>
      <c r="N87" s="852"/>
      <c r="O87" s="852">
        <f t="shared" si="6"/>
        <v>0</v>
      </c>
      <c r="P87" s="85"/>
    </row>
    <row r="88" spans="1:16" ht="40.5" customHeight="1">
      <c r="A88" s="303" t="str">
        <f t="shared" si="0"/>
        <v>Positions that Do NOT Participate in the Chicago Teachers Pension Fund (CTPF):</v>
      </c>
      <c r="B88" s="373"/>
      <c r="C88" s="125"/>
      <c r="D88" s="125"/>
      <c r="E88" s="657"/>
      <c r="F88" s="125"/>
      <c r="G88" s="657"/>
      <c r="H88" s="657"/>
      <c r="I88" s="657"/>
      <c r="J88" s="657"/>
      <c r="K88" s="657"/>
      <c r="L88" s="657"/>
      <c r="M88" s="657"/>
      <c r="N88" s="657"/>
      <c r="O88" s="193"/>
      <c r="P88" s="676"/>
    </row>
    <row r="89" spans="1:16">
      <c r="A89" s="516" t="str">
        <f t="shared" si="0"/>
        <v>Teachers</v>
      </c>
      <c r="B89" s="713"/>
      <c r="C89" s="86">
        <f t="shared" ref="C89:C115" si="7">B89*(1+C$62)</f>
        <v>0</v>
      </c>
      <c r="D89" s="86"/>
      <c r="E89" s="86">
        <f t="shared" ref="E89:E115" si="8">B89</f>
        <v>0</v>
      </c>
      <c r="F89" s="86"/>
      <c r="G89" s="338">
        <f t="shared" ref="G89:G115" si="9">C89*(1+G$62)</f>
        <v>0</v>
      </c>
      <c r="H89" s="338"/>
      <c r="I89" s="338">
        <f t="shared" ref="I89:I115" si="10">G89*(1+I$62)</f>
        <v>0</v>
      </c>
      <c r="J89" s="338"/>
      <c r="K89" s="338">
        <f t="shared" ref="K89:K115" si="11">I89*(1+K$62)</f>
        <v>0</v>
      </c>
      <c r="L89" s="338"/>
      <c r="M89" s="338">
        <f t="shared" ref="M89:M115" si="12">K89*(1+M$62)</f>
        <v>0</v>
      </c>
      <c r="N89" s="338"/>
      <c r="O89" s="338">
        <f t="shared" ref="O89:O115" si="13">M89*(1+O$62)</f>
        <v>0</v>
      </c>
      <c r="P89" s="85"/>
    </row>
    <row r="90" spans="1:16">
      <c r="A90" s="444" t="str">
        <f t="shared" si="0"/>
        <v>SPED Teachers (positions that are reimbursed by CPS)</v>
      </c>
      <c r="B90" s="583"/>
      <c r="C90" s="291">
        <f t="shared" si="7"/>
        <v>0</v>
      </c>
      <c r="D90" s="291"/>
      <c r="E90" s="291">
        <f t="shared" si="8"/>
        <v>0</v>
      </c>
      <c r="F90" s="291"/>
      <c r="G90" s="852">
        <f t="shared" si="9"/>
        <v>0</v>
      </c>
      <c r="H90" s="852"/>
      <c r="I90" s="852">
        <f t="shared" si="10"/>
        <v>0</v>
      </c>
      <c r="J90" s="852"/>
      <c r="K90" s="852">
        <f t="shared" si="11"/>
        <v>0</v>
      </c>
      <c r="L90" s="852"/>
      <c r="M90" s="852">
        <f t="shared" si="12"/>
        <v>0</v>
      </c>
      <c r="N90" s="852"/>
      <c r="O90" s="852">
        <f t="shared" si="13"/>
        <v>0</v>
      </c>
      <c r="P90" s="85"/>
    </row>
    <row r="91" spans="1:16">
      <c r="A91" s="444" t="str">
        <f t="shared" si="0"/>
        <v>SPED Aides (positions that are reimbursed by CPS)</v>
      </c>
      <c r="B91" s="583"/>
      <c r="C91" s="291">
        <f t="shared" si="7"/>
        <v>0</v>
      </c>
      <c r="D91" s="291"/>
      <c r="E91" s="291">
        <f t="shared" si="8"/>
        <v>0</v>
      </c>
      <c r="F91" s="291"/>
      <c r="G91" s="852">
        <f t="shared" si="9"/>
        <v>0</v>
      </c>
      <c r="H91" s="852"/>
      <c r="I91" s="852">
        <f t="shared" si="10"/>
        <v>0</v>
      </c>
      <c r="J91" s="852"/>
      <c r="K91" s="852">
        <f t="shared" si="11"/>
        <v>0</v>
      </c>
      <c r="L91" s="852"/>
      <c r="M91" s="852">
        <f t="shared" si="12"/>
        <v>0</v>
      </c>
      <c r="N91" s="852"/>
      <c r="O91" s="852">
        <f t="shared" si="13"/>
        <v>0</v>
      </c>
      <c r="P91" s="85"/>
    </row>
    <row r="92" spans="1:16">
      <c r="A92" s="444" t="str">
        <f t="shared" si="0"/>
        <v>SPED Clinicians-Psychologist (reimbursed by CPS)</v>
      </c>
      <c r="B92" s="583"/>
      <c r="C92" s="291">
        <f t="shared" si="7"/>
        <v>0</v>
      </c>
      <c r="D92" s="291"/>
      <c r="E92" s="291">
        <f t="shared" si="8"/>
        <v>0</v>
      </c>
      <c r="F92" s="291"/>
      <c r="G92" s="852">
        <f t="shared" si="9"/>
        <v>0</v>
      </c>
      <c r="H92" s="852"/>
      <c r="I92" s="852">
        <f t="shared" si="10"/>
        <v>0</v>
      </c>
      <c r="J92" s="852"/>
      <c r="K92" s="852">
        <f t="shared" si="11"/>
        <v>0</v>
      </c>
      <c r="L92" s="852"/>
      <c r="M92" s="852">
        <f t="shared" si="12"/>
        <v>0</v>
      </c>
      <c r="N92" s="852"/>
      <c r="O92" s="852">
        <f t="shared" si="13"/>
        <v>0</v>
      </c>
      <c r="P92" s="85"/>
    </row>
    <row r="93" spans="1:16">
      <c r="A93" s="444" t="str">
        <f t="shared" si="0"/>
        <v>SPED Clinicians-Social Worker (reimbursed by CPS)</v>
      </c>
      <c r="B93" s="583"/>
      <c r="C93" s="291">
        <f t="shared" si="7"/>
        <v>0</v>
      </c>
      <c r="D93" s="291"/>
      <c r="E93" s="291">
        <f t="shared" si="8"/>
        <v>0</v>
      </c>
      <c r="F93" s="291"/>
      <c r="G93" s="852">
        <f t="shared" si="9"/>
        <v>0</v>
      </c>
      <c r="H93" s="852"/>
      <c r="I93" s="852">
        <f t="shared" si="10"/>
        <v>0</v>
      </c>
      <c r="J93" s="852"/>
      <c r="K93" s="852">
        <f t="shared" si="11"/>
        <v>0</v>
      </c>
      <c r="L93" s="852"/>
      <c r="M93" s="852">
        <f t="shared" si="12"/>
        <v>0</v>
      </c>
      <c r="N93" s="852"/>
      <c r="O93" s="852">
        <f t="shared" si="13"/>
        <v>0</v>
      </c>
      <c r="P93" s="85"/>
    </row>
    <row r="94" spans="1:16">
      <c r="A94" s="444" t="str">
        <f t="shared" si="0"/>
        <v>SPED Clinicians-Speech Therapist (reimbursed by CPS)</v>
      </c>
      <c r="B94" s="583"/>
      <c r="C94" s="291">
        <f t="shared" si="7"/>
        <v>0</v>
      </c>
      <c r="D94" s="291"/>
      <c r="E94" s="291">
        <f t="shared" si="8"/>
        <v>0</v>
      </c>
      <c r="F94" s="291"/>
      <c r="G94" s="852">
        <f t="shared" si="9"/>
        <v>0</v>
      </c>
      <c r="H94" s="852"/>
      <c r="I94" s="852">
        <f t="shared" si="10"/>
        <v>0</v>
      </c>
      <c r="J94" s="852"/>
      <c r="K94" s="852">
        <f t="shared" si="11"/>
        <v>0</v>
      </c>
      <c r="L94" s="852"/>
      <c r="M94" s="852">
        <f t="shared" si="12"/>
        <v>0</v>
      </c>
      <c r="N94" s="852"/>
      <c r="O94" s="852">
        <f t="shared" si="13"/>
        <v>0</v>
      </c>
      <c r="P94" s="85"/>
    </row>
    <row r="95" spans="1:16">
      <c r="A95" s="444" t="str">
        <f t="shared" si="0"/>
        <v>SPED Clinicians-Physical Therapist (reimbursed by CPS)</v>
      </c>
      <c r="B95" s="583"/>
      <c r="C95" s="291">
        <f t="shared" si="7"/>
        <v>0</v>
      </c>
      <c r="D95" s="291"/>
      <c r="E95" s="291">
        <f t="shared" si="8"/>
        <v>0</v>
      </c>
      <c r="F95" s="291"/>
      <c r="G95" s="852">
        <f t="shared" si="9"/>
        <v>0</v>
      </c>
      <c r="H95" s="852"/>
      <c r="I95" s="852">
        <f t="shared" si="10"/>
        <v>0</v>
      </c>
      <c r="J95" s="852"/>
      <c r="K95" s="852">
        <f t="shared" si="11"/>
        <v>0</v>
      </c>
      <c r="L95" s="852"/>
      <c r="M95" s="852">
        <f t="shared" si="12"/>
        <v>0</v>
      </c>
      <c r="N95" s="852"/>
      <c r="O95" s="852">
        <f t="shared" si="13"/>
        <v>0</v>
      </c>
      <c r="P95" s="85"/>
    </row>
    <row r="96" spans="1:16">
      <c r="A96" s="444" t="str">
        <f t="shared" ref="A96:A115" si="14">A38</f>
        <v>SPED Clinicians-Occupational Therapist (reimbursed by CPS)</v>
      </c>
      <c r="B96" s="583"/>
      <c r="C96" s="291">
        <f t="shared" si="7"/>
        <v>0</v>
      </c>
      <c r="D96" s="291"/>
      <c r="E96" s="291">
        <f t="shared" si="8"/>
        <v>0</v>
      </c>
      <c r="F96" s="291"/>
      <c r="G96" s="852">
        <f t="shared" si="9"/>
        <v>0</v>
      </c>
      <c r="H96" s="852"/>
      <c r="I96" s="852">
        <f t="shared" si="10"/>
        <v>0</v>
      </c>
      <c r="J96" s="852"/>
      <c r="K96" s="852">
        <f t="shared" si="11"/>
        <v>0</v>
      </c>
      <c r="L96" s="852"/>
      <c r="M96" s="852">
        <f t="shared" si="12"/>
        <v>0</v>
      </c>
      <c r="N96" s="852"/>
      <c r="O96" s="852">
        <f t="shared" si="13"/>
        <v>0</v>
      </c>
      <c r="P96" s="85"/>
    </row>
    <row r="97" spans="1:16">
      <c r="A97" s="444" t="str">
        <f t="shared" si="14"/>
        <v>SPED Clinicians-Nurse (reimbursed by CPS)</v>
      </c>
      <c r="B97" s="583"/>
      <c r="C97" s="291">
        <f t="shared" si="7"/>
        <v>0</v>
      </c>
      <c r="D97" s="291"/>
      <c r="E97" s="291">
        <f t="shared" si="8"/>
        <v>0</v>
      </c>
      <c r="F97" s="291"/>
      <c r="G97" s="852">
        <f t="shared" si="9"/>
        <v>0</v>
      </c>
      <c r="H97" s="852"/>
      <c r="I97" s="852">
        <f t="shared" si="10"/>
        <v>0</v>
      </c>
      <c r="J97" s="852"/>
      <c r="K97" s="852">
        <f t="shared" si="11"/>
        <v>0</v>
      </c>
      <c r="L97" s="852"/>
      <c r="M97" s="852">
        <f t="shared" si="12"/>
        <v>0</v>
      </c>
      <c r="N97" s="852"/>
      <c r="O97" s="852">
        <f t="shared" si="13"/>
        <v>0</v>
      </c>
      <c r="P97" s="85"/>
    </row>
    <row r="98" spans="1:16">
      <c r="A98" s="632" t="str">
        <f t="shared" si="14"/>
        <v>Teacher Assistants/Aides</v>
      </c>
      <c r="B98" s="583"/>
      <c r="C98" s="291">
        <f t="shared" si="7"/>
        <v>0</v>
      </c>
      <c r="D98" s="291"/>
      <c r="E98" s="291">
        <f t="shared" si="8"/>
        <v>0</v>
      </c>
      <c r="F98" s="291"/>
      <c r="G98" s="852">
        <f t="shared" si="9"/>
        <v>0</v>
      </c>
      <c r="H98" s="852"/>
      <c r="I98" s="852">
        <f t="shared" si="10"/>
        <v>0</v>
      </c>
      <c r="J98" s="852"/>
      <c r="K98" s="852">
        <f t="shared" si="11"/>
        <v>0</v>
      </c>
      <c r="L98" s="852"/>
      <c r="M98" s="852">
        <f t="shared" si="12"/>
        <v>0</v>
      </c>
      <c r="N98" s="852"/>
      <c r="O98" s="852">
        <f t="shared" si="13"/>
        <v>0</v>
      </c>
      <c r="P98" s="85"/>
    </row>
    <row r="99" spans="1:16">
      <c r="A99" s="632" t="str">
        <f t="shared" si="14"/>
        <v>College Counselors</v>
      </c>
      <c r="B99" s="583">
        <v>50000</v>
      </c>
      <c r="C99" s="291">
        <f t="shared" si="7"/>
        <v>50000</v>
      </c>
      <c r="D99" s="291"/>
      <c r="E99" s="291">
        <f t="shared" si="8"/>
        <v>50000</v>
      </c>
      <c r="F99" s="291"/>
      <c r="G99" s="852">
        <f t="shared" si="9"/>
        <v>50000</v>
      </c>
      <c r="H99" s="852"/>
      <c r="I99" s="852">
        <f t="shared" si="10"/>
        <v>50000</v>
      </c>
      <c r="J99" s="852"/>
      <c r="K99" s="852">
        <f t="shared" si="11"/>
        <v>50000</v>
      </c>
      <c r="L99" s="852"/>
      <c r="M99" s="852">
        <f t="shared" si="12"/>
        <v>50000</v>
      </c>
      <c r="N99" s="852"/>
      <c r="O99" s="852">
        <f t="shared" si="13"/>
        <v>50000</v>
      </c>
      <c r="P99" s="85"/>
    </row>
    <row r="100" spans="1:16">
      <c r="A100" s="632" t="str">
        <f t="shared" si="14"/>
        <v>Business Manager</v>
      </c>
      <c r="B100" s="583"/>
      <c r="C100" s="291">
        <f t="shared" si="7"/>
        <v>0</v>
      </c>
      <c r="D100" s="291"/>
      <c r="E100" s="291">
        <f t="shared" si="8"/>
        <v>0</v>
      </c>
      <c r="F100" s="291"/>
      <c r="G100" s="852">
        <f t="shared" si="9"/>
        <v>0</v>
      </c>
      <c r="H100" s="852"/>
      <c r="I100" s="852">
        <f t="shared" si="10"/>
        <v>0</v>
      </c>
      <c r="J100" s="852"/>
      <c r="K100" s="852">
        <f t="shared" si="11"/>
        <v>0</v>
      </c>
      <c r="L100" s="852"/>
      <c r="M100" s="852">
        <f t="shared" si="12"/>
        <v>0</v>
      </c>
      <c r="N100" s="852"/>
      <c r="O100" s="852">
        <f t="shared" si="13"/>
        <v>0</v>
      </c>
      <c r="P100" s="85"/>
    </row>
    <row r="101" spans="1:16">
      <c r="A101" s="632" t="str">
        <f t="shared" si="14"/>
        <v>Principal</v>
      </c>
      <c r="B101" s="583">
        <v>70000</v>
      </c>
      <c r="C101" s="291">
        <f t="shared" si="7"/>
        <v>70000</v>
      </c>
      <c r="D101" s="291"/>
      <c r="E101" s="291">
        <f t="shared" si="8"/>
        <v>70000</v>
      </c>
      <c r="F101" s="291"/>
      <c r="G101" s="852">
        <f t="shared" si="9"/>
        <v>70000</v>
      </c>
      <c r="H101" s="852"/>
      <c r="I101" s="852">
        <f t="shared" si="10"/>
        <v>70000</v>
      </c>
      <c r="J101" s="852"/>
      <c r="K101" s="852">
        <f t="shared" si="11"/>
        <v>70000</v>
      </c>
      <c r="L101" s="852"/>
      <c r="M101" s="852">
        <f t="shared" si="12"/>
        <v>70000</v>
      </c>
      <c r="N101" s="852"/>
      <c r="O101" s="852">
        <f t="shared" si="13"/>
        <v>70000</v>
      </c>
      <c r="P101" s="85"/>
    </row>
    <row r="102" spans="1:16">
      <c r="A102" s="632" t="str">
        <f t="shared" si="14"/>
        <v>Deans</v>
      </c>
      <c r="B102" s="583">
        <v>60000</v>
      </c>
      <c r="C102" s="291">
        <f t="shared" si="7"/>
        <v>60000</v>
      </c>
      <c r="D102" s="291"/>
      <c r="E102" s="291">
        <f t="shared" si="8"/>
        <v>60000</v>
      </c>
      <c r="F102" s="291"/>
      <c r="G102" s="852">
        <f t="shared" si="9"/>
        <v>60000</v>
      </c>
      <c r="H102" s="852"/>
      <c r="I102" s="852">
        <f t="shared" si="10"/>
        <v>60000</v>
      </c>
      <c r="J102" s="852"/>
      <c r="K102" s="852">
        <f t="shared" si="11"/>
        <v>60000</v>
      </c>
      <c r="L102" s="852"/>
      <c r="M102" s="852">
        <f t="shared" si="12"/>
        <v>60000</v>
      </c>
      <c r="N102" s="852"/>
      <c r="O102" s="852">
        <f t="shared" si="13"/>
        <v>60000</v>
      </c>
      <c r="P102" s="85"/>
    </row>
    <row r="103" spans="1:16">
      <c r="A103" s="632" t="str">
        <f t="shared" si="14"/>
        <v>Instructional Coordinator</v>
      </c>
      <c r="B103" s="583">
        <v>60000</v>
      </c>
      <c r="C103" s="291">
        <f t="shared" si="7"/>
        <v>60000</v>
      </c>
      <c r="D103" s="583"/>
      <c r="E103" s="291">
        <f t="shared" si="8"/>
        <v>60000</v>
      </c>
      <c r="F103" s="583"/>
      <c r="G103" s="852">
        <f t="shared" si="9"/>
        <v>60000</v>
      </c>
      <c r="H103" s="852"/>
      <c r="I103" s="852">
        <f t="shared" si="10"/>
        <v>60000</v>
      </c>
      <c r="J103" s="852"/>
      <c r="K103" s="852">
        <f t="shared" si="11"/>
        <v>60000</v>
      </c>
      <c r="L103" s="852"/>
      <c r="M103" s="852">
        <f t="shared" si="12"/>
        <v>60000</v>
      </c>
      <c r="N103" s="852"/>
      <c r="O103" s="852">
        <f t="shared" si="13"/>
        <v>60000</v>
      </c>
      <c r="P103" s="85"/>
    </row>
    <row r="104" spans="1:16">
      <c r="A104" s="632" t="str">
        <f t="shared" si="14"/>
        <v>Administrative Assistant</v>
      </c>
      <c r="B104" s="583">
        <v>30000</v>
      </c>
      <c r="C104" s="291">
        <f t="shared" si="7"/>
        <v>30000</v>
      </c>
      <c r="D104" s="291"/>
      <c r="E104" s="291">
        <f t="shared" si="8"/>
        <v>30000</v>
      </c>
      <c r="F104" s="291"/>
      <c r="G104" s="852">
        <f t="shared" si="9"/>
        <v>30000</v>
      </c>
      <c r="H104" s="852"/>
      <c r="I104" s="852">
        <f t="shared" si="10"/>
        <v>30000</v>
      </c>
      <c r="J104" s="852"/>
      <c r="K104" s="852">
        <f t="shared" si="11"/>
        <v>30000</v>
      </c>
      <c r="L104" s="852"/>
      <c r="M104" s="852">
        <f t="shared" si="12"/>
        <v>30000</v>
      </c>
      <c r="N104" s="852"/>
      <c r="O104" s="852">
        <f t="shared" si="13"/>
        <v>30000</v>
      </c>
      <c r="P104" s="85"/>
    </row>
    <row r="105" spans="1:16">
      <c r="A105" s="632" t="str">
        <f t="shared" si="14"/>
        <v>Director of Development/PR Associate</v>
      </c>
      <c r="B105" s="583">
        <v>50000</v>
      </c>
      <c r="C105" s="291">
        <f t="shared" si="7"/>
        <v>50000</v>
      </c>
      <c r="D105" s="291"/>
      <c r="E105" s="291">
        <f t="shared" si="8"/>
        <v>50000</v>
      </c>
      <c r="F105" s="291"/>
      <c r="G105" s="852">
        <f t="shared" si="9"/>
        <v>50000</v>
      </c>
      <c r="H105" s="852"/>
      <c r="I105" s="852">
        <f t="shared" si="10"/>
        <v>50000</v>
      </c>
      <c r="J105" s="852"/>
      <c r="K105" s="852">
        <f t="shared" si="11"/>
        <v>50000</v>
      </c>
      <c r="L105" s="852"/>
      <c r="M105" s="852">
        <f t="shared" si="12"/>
        <v>50000</v>
      </c>
      <c r="N105" s="852"/>
      <c r="O105" s="852">
        <f t="shared" si="13"/>
        <v>50000</v>
      </c>
      <c r="P105" s="85"/>
    </row>
    <row r="106" spans="1:16">
      <c r="A106" s="632" t="str">
        <f t="shared" si="14"/>
        <v>Custodian</v>
      </c>
      <c r="B106" s="583">
        <v>28000</v>
      </c>
      <c r="C106" s="291">
        <f t="shared" si="7"/>
        <v>28000</v>
      </c>
      <c r="D106" s="291"/>
      <c r="E106" s="291">
        <f t="shared" si="8"/>
        <v>28000</v>
      </c>
      <c r="F106" s="291"/>
      <c r="G106" s="852">
        <f t="shared" si="9"/>
        <v>28000</v>
      </c>
      <c r="H106" s="852"/>
      <c r="I106" s="852">
        <f t="shared" si="10"/>
        <v>28000</v>
      </c>
      <c r="J106" s="852"/>
      <c r="K106" s="852">
        <f t="shared" si="11"/>
        <v>28000</v>
      </c>
      <c r="L106" s="852"/>
      <c r="M106" s="852">
        <f t="shared" si="12"/>
        <v>28000</v>
      </c>
      <c r="N106" s="852"/>
      <c r="O106" s="852">
        <f t="shared" si="13"/>
        <v>28000</v>
      </c>
      <c r="P106" s="85"/>
    </row>
    <row r="107" spans="1:16">
      <c r="A107" s="632" t="str">
        <f t="shared" si="14"/>
        <v>Security</v>
      </c>
      <c r="B107" s="583">
        <v>30000</v>
      </c>
      <c r="C107" s="291">
        <f t="shared" si="7"/>
        <v>30000</v>
      </c>
      <c r="D107" s="291"/>
      <c r="E107" s="291">
        <f t="shared" si="8"/>
        <v>30000</v>
      </c>
      <c r="F107" s="291"/>
      <c r="G107" s="852">
        <f t="shared" si="9"/>
        <v>30000</v>
      </c>
      <c r="H107" s="852"/>
      <c r="I107" s="852">
        <f t="shared" si="10"/>
        <v>30000</v>
      </c>
      <c r="J107" s="852"/>
      <c r="K107" s="852">
        <f t="shared" si="11"/>
        <v>30000</v>
      </c>
      <c r="L107" s="852"/>
      <c r="M107" s="852">
        <f t="shared" si="12"/>
        <v>30000</v>
      </c>
      <c r="N107" s="852"/>
      <c r="O107" s="852">
        <f t="shared" si="13"/>
        <v>30000</v>
      </c>
      <c r="P107" s="85"/>
    </row>
    <row r="108" spans="1:16">
      <c r="A108" s="632" t="str">
        <f t="shared" si="14"/>
        <v>Secretary</v>
      </c>
      <c r="B108" s="583">
        <v>30000</v>
      </c>
      <c r="C108" s="291">
        <f t="shared" si="7"/>
        <v>30000</v>
      </c>
      <c r="D108" s="291"/>
      <c r="E108" s="291">
        <f t="shared" si="8"/>
        <v>30000</v>
      </c>
      <c r="F108" s="291"/>
      <c r="G108" s="852">
        <f t="shared" si="9"/>
        <v>30000</v>
      </c>
      <c r="H108" s="852"/>
      <c r="I108" s="852">
        <f t="shared" si="10"/>
        <v>30000</v>
      </c>
      <c r="J108" s="852"/>
      <c r="K108" s="852">
        <f t="shared" si="11"/>
        <v>30000</v>
      </c>
      <c r="L108" s="852"/>
      <c r="M108" s="852">
        <f t="shared" si="12"/>
        <v>30000</v>
      </c>
      <c r="N108" s="852"/>
      <c r="O108" s="852">
        <f t="shared" si="13"/>
        <v>30000</v>
      </c>
      <c r="P108" s="85"/>
    </row>
    <row r="109" spans="1:16">
      <c r="A109" s="632" t="str">
        <f t="shared" si="14"/>
        <v>STEM Coordinator</v>
      </c>
      <c r="B109" s="583">
        <v>50000</v>
      </c>
      <c r="C109" s="291">
        <f t="shared" si="7"/>
        <v>50000</v>
      </c>
      <c r="D109" s="291"/>
      <c r="E109" s="291">
        <f t="shared" si="8"/>
        <v>50000</v>
      </c>
      <c r="F109" s="291"/>
      <c r="G109" s="852">
        <f t="shared" si="9"/>
        <v>50000</v>
      </c>
      <c r="H109" s="852"/>
      <c r="I109" s="852">
        <f t="shared" si="10"/>
        <v>50000</v>
      </c>
      <c r="J109" s="852"/>
      <c r="K109" s="852">
        <f t="shared" si="11"/>
        <v>50000</v>
      </c>
      <c r="L109" s="852"/>
      <c r="M109" s="852">
        <f t="shared" si="12"/>
        <v>50000</v>
      </c>
      <c r="N109" s="852"/>
      <c r="O109" s="852">
        <f t="shared" si="13"/>
        <v>50000</v>
      </c>
      <c r="P109" s="85"/>
    </row>
    <row r="110" spans="1:16">
      <c r="A110" s="632" t="str">
        <f t="shared" si="14"/>
        <v>IT Coordinator</v>
      </c>
      <c r="B110" s="583">
        <v>40000</v>
      </c>
      <c r="C110" s="291">
        <f t="shared" si="7"/>
        <v>40000</v>
      </c>
      <c r="D110" s="291"/>
      <c r="E110" s="291">
        <f t="shared" si="8"/>
        <v>40000</v>
      </c>
      <c r="F110" s="291"/>
      <c r="G110" s="852">
        <f t="shared" si="9"/>
        <v>40000</v>
      </c>
      <c r="H110" s="852"/>
      <c r="I110" s="852">
        <f t="shared" si="10"/>
        <v>40000</v>
      </c>
      <c r="J110" s="852"/>
      <c r="K110" s="852">
        <f t="shared" si="11"/>
        <v>40000</v>
      </c>
      <c r="L110" s="852"/>
      <c r="M110" s="852">
        <f t="shared" si="12"/>
        <v>40000</v>
      </c>
      <c r="N110" s="852"/>
      <c r="O110" s="852">
        <f t="shared" si="13"/>
        <v>40000</v>
      </c>
      <c r="P110" s="85"/>
    </row>
    <row r="111" spans="1:16">
      <c r="A111" s="632" t="str">
        <f t="shared" si="14"/>
        <v>Building Sub</v>
      </c>
      <c r="B111" s="583">
        <v>30000</v>
      </c>
      <c r="C111" s="291">
        <f t="shared" si="7"/>
        <v>30000</v>
      </c>
      <c r="D111" s="291"/>
      <c r="E111" s="291">
        <f t="shared" si="8"/>
        <v>30000</v>
      </c>
      <c r="F111" s="291"/>
      <c r="G111" s="852">
        <f t="shared" si="9"/>
        <v>30000</v>
      </c>
      <c r="H111" s="852"/>
      <c r="I111" s="852">
        <f t="shared" si="10"/>
        <v>30000</v>
      </c>
      <c r="J111" s="852"/>
      <c r="K111" s="852">
        <f t="shared" si="11"/>
        <v>30000</v>
      </c>
      <c r="L111" s="852"/>
      <c r="M111" s="852">
        <f t="shared" si="12"/>
        <v>30000</v>
      </c>
      <c r="N111" s="852"/>
      <c r="O111" s="852">
        <f t="shared" si="13"/>
        <v>30000</v>
      </c>
      <c r="P111" s="85"/>
    </row>
    <row r="112" spans="1:16">
      <c r="A112" s="632" t="str">
        <f t="shared" si="14"/>
        <v>Athletic Director</v>
      </c>
      <c r="B112" s="583">
        <v>40000</v>
      </c>
      <c r="C112" s="291">
        <f t="shared" si="7"/>
        <v>40000</v>
      </c>
      <c r="D112" s="291"/>
      <c r="E112" s="291">
        <f t="shared" si="8"/>
        <v>40000</v>
      </c>
      <c r="F112" s="291"/>
      <c r="G112" s="852">
        <f t="shared" si="9"/>
        <v>40000</v>
      </c>
      <c r="H112" s="852"/>
      <c r="I112" s="852">
        <f t="shared" si="10"/>
        <v>40000</v>
      </c>
      <c r="J112" s="852"/>
      <c r="K112" s="852">
        <f t="shared" si="11"/>
        <v>40000</v>
      </c>
      <c r="L112" s="852"/>
      <c r="M112" s="852">
        <f t="shared" si="12"/>
        <v>40000</v>
      </c>
      <c r="N112" s="852"/>
      <c r="O112" s="852">
        <f t="shared" si="13"/>
        <v>40000</v>
      </c>
      <c r="P112" s="85"/>
    </row>
    <row r="113" spans="1:16">
      <c r="A113" s="632" t="str">
        <f t="shared" si="14"/>
        <v>Foreign Language Teacher</v>
      </c>
      <c r="B113" s="583">
        <v>20000</v>
      </c>
      <c r="C113" s="291">
        <f t="shared" si="7"/>
        <v>20000</v>
      </c>
      <c r="D113" s="291"/>
      <c r="E113" s="291">
        <f t="shared" si="8"/>
        <v>20000</v>
      </c>
      <c r="F113" s="291"/>
      <c r="G113" s="852">
        <f t="shared" si="9"/>
        <v>20000</v>
      </c>
      <c r="H113" s="852"/>
      <c r="I113" s="852">
        <f t="shared" si="10"/>
        <v>20000</v>
      </c>
      <c r="J113" s="852"/>
      <c r="K113" s="852">
        <f t="shared" si="11"/>
        <v>20000</v>
      </c>
      <c r="L113" s="852"/>
      <c r="M113" s="852">
        <f t="shared" si="12"/>
        <v>20000</v>
      </c>
      <c r="N113" s="852"/>
      <c r="O113" s="852">
        <f t="shared" si="13"/>
        <v>20000</v>
      </c>
      <c r="P113" s="85"/>
    </row>
    <row r="114" spans="1:16">
      <c r="A114" s="632" t="str">
        <f t="shared" si="14"/>
        <v>Social Workers</v>
      </c>
      <c r="B114" s="583"/>
      <c r="C114" s="291">
        <f t="shared" si="7"/>
        <v>0</v>
      </c>
      <c r="D114" s="291"/>
      <c r="E114" s="291">
        <f t="shared" si="8"/>
        <v>0</v>
      </c>
      <c r="F114" s="291"/>
      <c r="G114" s="852">
        <f t="shared" si="9"/>
        <v>0</v>
      </c>
      <c r="H114" s="852"/>
      <c r="I114" s="852">
        <f t="shared" si="10"/>
        <v>0</v>
      </c>
      <c r="J114" s="852"/>
      <c r="K114" s="852">
        <f t="shared" si="11"/>
        <v>0</v>
      </c>
      <c r="L114" s="852"/>
      <c r="M114" s="852">
        <f t="shared" si="12"/>
        <v>0</v>
      </c>
      <c r="N114" s="852"/>
      <c r="O114" s="852">
        <f t="shared" si="13"/>
        <v>0</v>
      </c>
      <c r="P114" s="85"/>
    </row>
    <row r="115" spans="1:16">
      <c r="A115" s="632" t="str">
        <f t="shared" si="14"/>
        <v>P</v>
      </c>
      <c r="B115" s="583"/>
      <c r="C115" s="291">
        <f t="shared" si="7"/>
        <v>0</v>
      </c>
      <c r="D115" s="291"/>
      <c r="E115" s="291">
        <f t="shared" si="8"/>
        <v>0</v>
      </c>
      <c r="F115" s="291"/>
      <c r="G115" s="852">
        <f t="shared" si="9"/>
        <v>0</v>
      </c>
      <c r="H115" s="852"/>
      <c r="I115" s="852">
        <f t="shared" si="10"/>
        <v>0</v>
      </c>
      <c r="J115" s="852"/>
      <c r="K115" s="852">
        <f t="shared" si="11"/>
        <v>0</v>
      </c>
      <c r="L115" s="852"/>
      <c r="M115" s="852">
        <f t="shared" si="12"/>
        <v>0</v>
      </c>
      <c r="N115" s="852"/>
      <c r="O115" s="852">
        <f t="shared" si="13"/>
        <v>0</v>
      </c>
      <c r="P115" s="85"/>
    </row>
    <row r="116" spans="1:16" ht="38.25" customHeight="1">
      <c r="A116" s="599"/>
      <c r="B116" s="748"/>
      <c r="C116" s="748"/>
      <c r="D116" s="748"/>
      <c r="E116" s="748"/>
      <c r="F116" s="748"/>
      <c r="G116" s="748"/>
      <c r="H116" s="748"/>
      <c r="I116" s="748"/>
      <c r="J116" s="748"/>
      <c r="K116" s="748"/>
      <c r="L116" s="748"/>
      <c r="M116" s="748"/>
      <c r="N116" s="748"/>
      <c r="O116" s="748"/>
    </row>
    <row r="117" spans="1:16" ht="24" customHeight="1">
      <c r="A117" s="243"/>
      <c r="B117" s="872" t="s">
        <v>451</v>
      </c>
      <c r="C117" s="873"/>
      <c r="D117" s="873"/>
      <c r="E117" s="873"/>
      <c r="F117" s="873"/>
      <c r="G117" s="873"/>
      <c r="H117" s="873"/>
      <c r="I117" s="873"/>
      <c r="J117" s="873"/>
      <c r="K117" s="873"/>
      <c r="L117" s="873"/>
      <c r="M117" s="873"/>
      <c r="N117" s="873"/>
      <c r="O117" s="874"/>
      <c r="P117" s="676"/>
    </row>
    <row r="118" spans="1:16" ht="40.5" customHeight="1">
      <c r="A118" s="782" t="str">
        <f t="shared" ref="A118:A141" si="15">A6</f>
        <v>Positions that Participate in the Chicago Teachers Pension Fund (CTPF):</v>
      </c>
      <c r="B118" s="349"/>
      <c r="C118" s="523" t="s">
        <v>448</v>
      </c>
      <c r="D118" s="523"/>
      <c r="E118" s="849" t="str">
        <f>E6</f>
        <v>Incubation Year</v>
      </c>
      <c r="F118" s="523"/>
      <c r="G118" s="523">
        <f>$G$6</f>
        <v>1</v>
      </c>
      <c r="H118" s="523"/>
      <c r="I118" s="523">
        <f>$I$6</f>
        <v>2</v>
      </c>
      <c r="J118" s="523"/>
      <c r="K118" s="523">
        <f>$K$6</f>
        <v>3</v>
      </c>
      <c r="L118" s="523"/>
      <c r="M118" s="523">
        <f>$M$6</f>
        <v>4</v>
      </c>
      <c r="N118" s="523"/>
      <c r="O118" s="819">
        <f>$O$6</f>
        <v>5</v>
      </c>
      <c r="P118" s="676"/>
    </row>
    <row r="119" spans="1:16">
      <c r="A119" s="632" t="str">
        <f t="shared" si="15"/>
        <v>Teachers</v>
      </c>
      <c r="B119" s="424" t="s">
        <v>488</v>
      </c>
      <c r="C119" s="414"/>
      <c r="D119" s="414"/>
      <c r="E119" s="660">
        <f t="shared" ref="E119:E141" si="16">E7*E65</f>
        <v>0</v>
      </c>
      <c r="F119" s="414"/>
      <c r="G119" s="660">
        <f t="shared" ref="G119:G141" si="17">G7*G65</f>
        <v>1218000</v>
      </c>
      <c r="H119" s="414"/>
      <c r="I119" s="660">
        <f t="shared" ref="I119:I141" si="18">I7*I65</f>
        <v>1470000</v>
      </c>
      <c r="J119" s="338"/>
      <c r="K119" s="660">
        <f t="shared" ref="K119:K141" si="19">K7*K65</f>
        <v>1634000</v>
      </c>
      <c r="L119" s="338"/>
      <c r="M119" s="660">
        <f t="shared" ref="M119:M141" si="20">M7*M65</f>
        <v>1763000</v>
      </c>
      <c r="N119" s="338"/>
      <c r="O119" s="660">
        <f t="shared" ref="O119:O141" si="21">O7*O65</f>
        <v>1980000</v>
      </c>
      <c r="P119" s="85"/>
    </row>
    <row r="120" spans="1:16" ht="15.75" customHeight="1">
      <c r="A120" s="444" t="str">
        <f t="shared" si="15"/>
        <v>SPED Teachers (reimbursed by CPS)</v>
      </c>
      <c r="B120" s="720" t="s">
        <v>488</v>
      </c>
      <c r="C120" s="852"/>
      <c r="D120" s="852"/>
      <c r="E120" s="158">
        <f t="shared" si="16"/>
        <v>0</v>
      </c>
      <c r="F120" s="852"/>
      <c r="G120" s="158">
        <f t="shared" si="17"/>
        <v>180000</v>
      </c>
      <c r="H120" s="126"/>
      <c r="I120" s="158">
        <f t="shared" si="18"/>
        <v>180000</v>
      </c>
      <c r="J120" s="852"/>
      <c r="K120" s="158">
        <f t="shared" si="19"/>
        <v>240000</v>
      </c>
      <c r="L120" s="852"/>
      <c r="M120" s="158">
        <f t="shared" si="20"/>
        <v>240000</v>
      </c>
      <c r="N120" s="852"/>
      <c r="O120" s="158">
        <f t="shared" si="21"/>
        <v>300000</v>
      </c>
      <c r="P120" s="85"/>
    </row>
    <row r="121" spans="1:16">
      <c r="A121" s="444" t="str">
        <f t="shared" si="15"/>
        <v>SPED Aides (reimbursed by CPS)</v>
      </c>
      <c r="B121" s="720" t="s">
        <v>488</v>
      </c>
      <c r="C121" s="852">
        <f t="shared" ref="C121:C126" si="22">C65*C7</f>
        <v>0</v>
      </c>
      <c r="D121" s="852"/>
      <c r="E121" s="158">
        <f t="shared" si="16"/>
        <v>0</v>
      </c>
      <c r="F121" s="852"/>
      <c r="G121" s="158">
        <f t="shared" si="17"/>
        <v>0</v>
      </c>
      <c r="H121" s="126"/>
      <c r="I121" s="158">
        <f t="shared" si="18"/>
        <v>0</v>
      </c>
      <c r="J121" s="852"/>
      <c r="K121" s="158">
        <f t="shared" si="19"/>
        <v>0</v>
      </c>
      <c r="L121" s="852"/>
      <c r="M121" s="158">
        <f t="shared" si="20"/>
        <v>0</v>
      </c>
      <c r="N121" s="852"/>
      <c r="O121" s="158">
        <f t="shared" si="21"/>
        <v>0</v>
      </c>
      <c r="P121" s="85"/>
    </row>
    <row r="122" spans="1:16">
      <c r="A122" s="444" t="str">
        <f t="shared" si="15"/>
        <v>SPED Clinicians-Psychologist (reimbursed by CPS)</v>
      </c>
      <c r="B122" s="720" t="s">
        <v>488</v>
      </c>
      <c r="C122" s="852">
        <f t="shared" si="22"/>
        <v>0</v>
      </c>
      <c r="D122" s="852"/>
      <c r="E122" s="158">
        <f t="shared" si="16"/>
        <v>0</v>
      </c>
      <c r="F122" s="852"/>
      <c r="G122" s="158">
        <f t="shared" si="17"/>
        <v>0</v>
      </c>
      <c r="H122" s="126"/>
      <c r="I122" s="158">
        <f t="shared" si="18"/>
        <v>0</v>
      </c>
      <c r="J122" s="852"/>
      <c r="K122" s="158">
        <f t="shared" si="19"/>
        <v>0</v>
      </c>
      <c r="L122" s="852"/>
      <c r="M122" s="158">
        <f t="shared" si="20"/>
        <v>0</v>
      </c>
      <c r="N122" s="852"/>
      <c r="O122" s="158">
        <f t="shared" si="21"/>
        <v>0</v>
      </c>
      <c r="P122" s="85"/>
    </row>
    <row r="123" spans="1:16">
      <c r="A123" s="444" t="str">
        <f t="shared" si="15"/>
        <v>SPED Clinicians-Social Worker (reimbursed by CPS)</v>
      </c>
      <c r="B123" s="720" t="s">
        <v>488</v>
      </c>
      <c r="C123" s="852">
        <f t="shared" si="22"/>
        <v>0</v>
      </c>
      <c r="D123" s="852"/>
      <c r="E123" s="158">
        <f t="shared" si="16"/>
        <v>0</v>
      </c>
      <c r="F123" s="852"/>
      <c r="G123" s="158">
        <f t="shared" si="17"/>
        <v>21000</v>
      </c>
      <c r="H123" s="126"/>
      <c r="I123" s="158">
        <f t="shared" si="18"/>
        <v>21000</v>
      </c>
      <c r="J123" s="852"/>
      <c r="K123" s="158">
        <f t="shared" si="19"/>
        <v>21000</v>
      </c>
      <c r="L123" s="852"/>
      <c r="M123" s="158">
        <f t="shared" si="20"/>
        <v>42000</v>
      </c>
      <c r="N123" s="852"/>
      <c r="O123" s="158">
        <f t="shared" si="21"/>
        <v>42000</v>
      </c>
      <c r="P123" s="85"/>
    </row>
    <row r="124" spans="1:16">
      <c r="A124" s="444" t="str">
        <f t="shared" si="15"/>
        <v>SPED Clinicians-Speech Therapist (reimbursed by CPS)</v>
      </c>
      <c r="B124" s="720" t="s">
        <v>488</v>
      </c>
      <c r="C124" s="852">
        <f t="shared" si="22"/>
        <v>0</v>
      </c>
      <c r="D124" s="852"/>
      <c r="E124" s="158">
        <f t="shared" si="16"/>
        <v>0</v>
      </c>
      <c r="F124" s="852"/>
      <c r="G124" s="158">
        <f t="shared" si="17"/>
        <v>0</v>
      </c>
      <c r="H124" s="126"/>
      <c r="I124" s="158">
        <f t="shared" si="18"/>
        <v>0</v>
      </c>
      <c r="J124" s="852"/>
      <c r="K124" s="158">
        <f t="shared" si="19"/>
        <v>0</v>
      </c>
      <c r="L124" s="852"/>
      <c r="M124" s="158">
        <f t="shared" si="20"/>
        <v>0</v>
      </c>
      <c r="N124" s="852"/>
      <c r="O124" s="158">
        <f t="shared" si="21"/>
        <v>0</v>
      </c>
      <c r="P124" s="85"/>
    </row>
    <row r="125" spans="1:16">
      <c r="A125" s="444" t="str">
        <f t="shared" si="15"/>
        <v>SPED Clinicians-Physical Therapist (reimbursed by CPS)</v>
      </c>
      <c r="B125" s="720" t="s">
        <v>488</v>
      </c>
      <c r="C125" s="852">
        <f t="shared" si="22"/>
        <v>0</v>
      </c>
      <c r="D125" s="852"/>
      <c r="E125" s="158">
        <f t="shared" si="16"/>
        <v>0</v>
      </c>
      <c r="F125" s="852"/>
      <c r="G125" s="158">
        <f t="shared" si="17"/>
        <v>0</v>
      </c>
      <c r="H125" s="126"/>
      <c r="I125" s="158">
        <f t="shared" si="18"/>
        <v>0</v>
      </c>
      <c r="J125" s="852"/>
      <c r="K125" s="158">
        <f t="shared" si="19"/>
        <v>0</v>
      </c>
      <c r="L125" s="852"/>
      <c r="M125" s="158">
        <f t="shared" si="20"/>
        <v>0</v>
      </c>
      <c r="N125" s="852"/>
      <c r="O125" s="158">
        <f t="shared" si="21"/>
        <v>0</v>
      </c>
      <c r="P125" s="85"/>
    </row>
    <row r="126" spans="1:16">
      <c r="A126" s="444" t="str">
        <f t="shared" si="15"/>
        <v>SPED Clinicians-Occupational Therapist (reimbursed by CPS)</v>
      </c>
      <c r="B126" s="720" t="s">
        <v>488</v>
      </c>
      <c r="C126" s="852">
        <f t="shared" si="22"/>
        <v>0</v>
      </c>
      <c r="D126" s="852"/>
      <c r="E126" s="158">
        <f t="shared" si="16"/>
        <v>0</v>
      </c>
      <c r="F126" s="852"/>
      <c r="G126" s="158">
        <f t="shared" si="17"/>
        <v>0</v>
      </c>
      <c r="H126" s="126"/>
      <c r="I126" s="158">
        <f t="shared" si="18"/>
        <v>0</v>
      </c>
      <c r="J126" s="852"/>
      <c r="K126" s="158">
        <f t="shared" si="19"/>
        <v>0</v>
      </c>
      <c r="L126" s="852"/>
      <c r="M126" s="158">
        <f t="shared" si="20"/>
        <v>0</v>
      </c>
      <c r="N126" s="852"/>
      <c r="O126" s="158">
        <f t="shared" si="21"/>
        <v>0</v>
      </c>
      <c r="P126" s="85"/>
    </row>
    <row r="127" spans="1:16">
      <c r="A127" s="444" t="str">
        <f t="shared" si="15"/>
        <v>SPED Clinicians-Nurse (reimbursed by CPS)</v>
      </c>
      <c r="B127" s="720" t="s">
        <v>488</v>
      </c>
      <c r="C127" s="852">
        <f>C71*C19</f>
        <v>0</v>
      </c>
      <c r="D127" s="852"/>
      <c r="E127" s="158">
        <f t="shared" si="16"/>
        <v>0</v>
      </c>
      <c r="F127" s="852"/>
      <c r="G127" s="158">
        <f t="shared" si="17"/>
        <v>0</v>
      </c>
      <c r="H127" s="126"/>
      <c r="I127" s="158">
        <f t="shared" si="18"/>
        <v>0</v>
      </c>
      <c r="J127" s="852"/>
      <c r="K127" s="158">
        <f t="shared" si="19"/>
        <v>0</v>
      </c>
      <c r="L127" s="852"/>
      <c r="M127" s="158">
        <f t="shared" si="20"/>
        <v>0</v>
      </c>
      <c r="N127" s="852"/>
      <c r="O127" s="158">
        <f t="shared" si="21"/>
        <v>0</v>
      </c>
      <c r="P127" s="85"/>
    </row>
    <row r="128" spans="1:16">
      <c r="A128" s="632" t="str">
        <f t="shared" si="15"/>
        <v>Teachers Aides</v>
      </c>
      <c r="B128" s="720" t="s">
        <v>488</v>
      </c>
      <c r="C128" s="852">
        <f>C72*C20</f>
        <v>0</v>
      </c>
      <c r="D128" s="852"/>
      <c r="E128" s="158">
        <f t="shared" si="16"/>
        <v>0</v>
      </c>
      <c r="F128" s="852"/>
      <c r="G128" s="158">
        <f t="shared" si="17"/>
        <v>0</v>
      </c>
      <c r="H128" s="126"/>
      <c r="I128" s="158">
        <f t="shared" si="18"/>
        <v>0</v>
      </c>
      <c r="J128" s="852"/>
      <c r="K128" s="158">
        <f t="shared" si="19"/>
        <v>0</v>
      </c>
      <c r="L128" s="852"/>
      <c r="M128" s="158">
        <f t="shared" si="20"/>
        <v>0</v>
      </c>
      <c r="N128" s="852"/>
      <c r="O128" s="158">
        <f t="shared" si="21"/>
        <v>0</v>
      </c>
      <c r="P128" s="85"/>
    </row>
    <row r="129" spans="1:16">
      <c r="A129" s="632" t="str">
        <f t="shared" si="15"/>
        <v>Counselors</v>
      </c>
      <c r="B129" s="720" t="s">
        <v>488</v>
      </c>
      <c r="C129" s="625"/>
      <c r="D129" s="852"/>
      <c r="E129" s="158">
        <f t="shared" si="16"/>
        <v>0</v>
      </c>
      <c r="F129" s="852"/>
      <c r="G129" s="158">
        <f t="shared" si="17"/>
        <v>0</v>
      </c>
      <c r="H129" s="126"/>
      <c r="I129" s="158">
        <f t="shared" si="18"/>
        <v>0</v>
      </c>
      <c r="J129" s="852"/>
      <c r="K129" s="158">
        <f t="shared" si="19"/>
        <v>0</v>
      </c>
      <c r="L129" s="852"/>
      <c r="M129" s="158">
        <f t="shared" si="20"/>
        <v>0</v>
      </c>
      <c r="N129" s="852"/>
      <c r="O129" s="158">
        <f t="shared" si="21"/>
        <v>0</v>
      </c>
      <c r="P129" s="85"/>
    </row>
    <row r="130" spans="1:16">
      <c r="A130" s="632" t="str">
        <f t="shared" si="15"/>
        <v>Librarians</v>
      </c>
      <c r="B130" s="720" t="s">
        <v>488</v>
      </c>
      <c r="C130" s="501">
        <f>SUM(C121:C129)</f>
        <v>0</v>
      </c>
      <c r="D130" s="852"/>
      <c r="E130" s="158">
        <f t="shared" si="16"/>
        <v>0</v>
      </c>
      <c r="F130" s="852"/>
      <c r="G130" s="158">
        <f t="shared" si="17"/>
        <v>0</v>
      </c>
      <c r="H130" s="126"/>
      <c r="I130" s="158">
        <f t="shared" si="18"/>
        <v>0</v>
      </c>
      <c r="J130" s="852"/>
      <c r="K130" s="158">
        <f t="shared" si="19"/>
        <v>0</v>
      </c>
      <c r="L130" s="852"/>
      <c r="M130" s="158">
        <f t="shared" si="20"/>
        <v>0</v>
      </c>
      <c r="N130" s="852"/>
      <c r="O130" s="158">
        <f t="shared" si="21"/>
        <v>0</v>
      </c>
      <c r="P130" s="85"/>
    </row>
    <row r="131" spans="1:16">
      <c r="A131" s="632" t="str">
        <f t="shared" si="15"/>
        <v>Deans</v>
      </c>
      <c r="B131" s="720" t="s">
        <v>488</v>
      </c>
      <c r="C131" s="338"/>
      <c r="D131" s="852"/>
      <c r="E131" s="158">
        <f t="shared" si="16"/>
        <v>0</v>
      </c>
      <c r="F131" s="852"/>
      <c r="G131" s="158">
        <f t="shared" si="17"/>
        <v>0</v>
      </c>
      <c r="H131" s="126"/>
      <c r="I131" s="158">
        <f t="shared" si="18"/>
        <v>0</v>
      </c>
      <c r="J131" s="852"/>
      <c r="K131" s="158">
        <f t="shared" si="19"/>
        <v>0</v>
      </c>
      <c r="L131" s="852"/>
      <c r="M131" s="158">
        <f t="shared" si="20"/>
        <v>0</v>
      </c>
      <c r="N131" s="852"/>
      <c r="O131" s="158">
        <f t="shared" si="21"/>
        <v>0</v>
      </c>
      <c r="P131" s="85"/>
    </row>
    <row r="132" spans="1:16">
      <c r="A132" s="632" t="str">
        <f t="shared" si="15"/>
        <v>Principal</v>
      </c>
      <c r="B132" s="720" t="s">
        <v>488</v>
      </c>
      <c r="C132" s="852">
        <f t="shared" ref="C132:C141" si="23">C74*C28</f>
        <v>0</v>
      </c>
      <c r="D132" s="852"/>
      <c r="E132" s="158">
        <f t="shared" si="16"/>
        <v>0</v>
      </c>
      <c r="F132" s="852"/>
      <c r="G132" s="158">
        <f t="shared" si="17"/>
        <v>0</v>
      </c>
      <c r="H132" s="126"/>
      <c r="I132" s="158">
        <f t="shared" si="18"/>
        <v>0</v>
      </c>
      <c r="J132" s="852"/>
      <c r="K132" s="158">
        <f t="shared" si="19"/>
        <v>0</v>
      </c>
      <c r="L132" s="852"/>
      <c r="M132" s="158">
        <f t="shared" si="20"/>
        <v>0</v>
      </c>
      <c r="N132" s="852"/>
      <c r="O132" s="158">
        <f t="shared" si="21"/>
        <v>0</v>
      </c>
      <c r="P132" s="85"/>
    </row>
    <row r="133" spans="1:16">
      <c r="A133" s="632" t="str">
        <f t="shared" si="15"/>
        <v>Assistant Principal</v>
      </c>
      <c r="B133" s="720" t="s">
        <v>488</v>
      </c>
      <c r="C133" s="852">
        <f t="shared" si="23"/>
        <v>0</v>
      </c>
      <c r="D133" s="852"/>
      <c r="E133" s="158">
        <f t="shared" si="16"/>
        <v>0</v>
      </c>
      <c r="F133" s="852"/>
      <c r="G133" s="158">
        <f t="shared" si="17"/>
        <v>0</v>
      </c>
      <c r="H133" s="126"/>
      <c r="I133" s="158">
        <f t="shared" si="18"/>
        <v>0</v>
      </c>
      <c r="J133" s="852"/>
      <c r="K133" s="158">
        <f t="shared" si="19"/>
        <v>0</v>
      </c>
      <c r="L133" s="852"/>
      <c r="M133" s="158">
        <f t="shared" si="20"/>
        <v>0</v>
      </c>
      <c r="N133" s="852"/>
      <c r="O133" s="158">
        <f t="shared" si="21"/>
        <v>0</v>
      </c>
      <c r="P133" s="85"/>
    </row>
    <row r="134" spans="1:16">
      <c r="A134" s="632">
        <f t="shared" si="15"/>
        <v>0</v>
      </c>
      <c r="B134" s="720" t="s">
        <v>488</v>
      </c>
      <c r="C134" s="852">
        <f t="shared" si="23"/>
        <v>0</v>
      </c>
      <c r="D134" s="852"/>
      <c r="E134" s="158">
        <f t="shared" si="16"/>
        <v>0</v>
      </c>
      <c r="F134" s="852"/>
      <c r="G134" s="158">
        <f t="shared" si="17"/>
        <v>0</v>
      </c>
      <c r="H134" s="126"/>
      <c r="I134" s="158">
        <f t="shared" si="18"/>
        <v>0</v>
      </c>
      <c r="J134" s="852"/>
      <c r="K134" s="158">
        <f t="shared" si="19"/>
        <v>0</v>
      </c>
      <c r="L134" s="852"/>
      <c r="M134" s="158">
        <f t="shared" si="20"/>
        <v>0</v>
      </c>
      <c r="N134" s="852"/>
      <c r="O134" s="158">
        <f t="shared" si="21"/>
        <v>0</v>
      </c>
      <c r="P134" s="85"/>
    </row>
    <row r="135" spans="1:16">
      <c r="A135" s="340" t="str">
        <f t="shared" si="15"/>
        <v>B</v>
      </c>
      <c r="B135" s="720" t="s">
        <v>488</v>
      </c>
      <c r="C135" s="852">
        <f t="shared" si="23"/>
        <v>0</v>
      </c>
      <c r="D135" s="852"/>
      <c r="E135" s="158">
        <f t="shared" si="16"/>
        <v>0</v>
      </c>
      <c r="F135" s="852"/>
      <c r="G135" s="158">
        <f t="shared" si="17"/>
        <v>0</v>
      </c>
      <c r="H135" s="126"/>
      <c r="I135" s="158">
        <f t="shared" si="18"/>
        <v>0</v>
      </c>
      <c r="J135" s="852"/>
      <c r="K135" s="158">
        <f t="shared" si="19"/>
        <v>0</v>
      </c>
      <c r="L135" s="852"/>
      <c r="M135" s="158">
        <f t="shared" si="20"/>
        <v>0</v>
      </c>
      <c r="N135" s="852"/>
      <c r="O135" s="158">
        <f t="shared" si="21"/>
        <v>0</v>
      </c>
      <c r="P135" s="85"/>
    </row>
    <row r="136" spans="1:16">
      <c r="A136" s="340" t="str">
        <f t="shared" si="15"/>
        <v>C</v>
      </c>
      <c r="B136" s="720" t="s">
        <v>488</v>
      </c>
      <c r="C136" s="852">
        <f t="shared" si="23"/>
        <v>0</v>
      </c>
      <c r="D136" s="852"/>
      <c r="E136" s="158">
        <f t="shared" si="16"/>
        <v>0</v>
      </c>
      <c r="F136" s="852"/>
      <c r="G136" s="158">
        <f t="shared" si="17"/>
        <v>0</v>
      </c>
      <c r="H136" s="126"/>
      <c r="I136" s="158">
        <f t="shared" si="18"/>
        <v>0</v>
      </c>
      <c r="J136" s="852"/>
      <c r="K136" s="158">
        <f t="shared" si="19"/>
        <v>0</v>
      </c>
      <c r="L136" s="852"/>
      <c r="M136" s="158">
        <f t="shared" si="20"/>
        <v>0</v>
      </c>
      <c r="N136" s="852"/>
      <c r="O136" s="158">
        <f t="shared" si="21"/>
        <v>0</v>
      </c>
      <c r="P136" s="85"/>
    </row>
    <row r="137" spans="1:16">
      <c r="A137" s="340" t="str">
        <f t="shared" si="15"/>
        <v>D</v>
      </c>
      <c r="B137" s="720" t="s">
        <v>488</v>
      </c>
      <c r="C137" s="852">
        <f t="shared" si="23"/>
        <v>0</v>
      </c>
      <c r="D137" s="852"/>
      <c r="E137" s="158">
        <f t="shared" si="16"/>
        <v>0</v>
      </c>
      <c r="F137" s="852"/>
      <c r="G137" s="158">
        <f t="shared" si="17"/>
        <v>0</v>
      </c>
      <c r="H137" s="126"/>
      <c r="I137" s="158">
        <f t="shared" si="18"/>
        <v>0</v>
      </c>
      <c r="J137" s="852"/>
      <c r="K137" s="158">
        <f t="shared" si="19"/>
        <v>0</v>
      </c>
      <c r="L137" s="852"/>
      <c r="M137" s="158">
        <f t="shared" si="20"/>
        <v>0</v>
      </c>
      <c r="N137" s="852"/>
      <c r="O137" s="158">
        <f t="shared" si="21"/>
        <v>0</v>
      </c>
      <c r="P137" s="85"/>
    </row>
    <row r="138" spans="1:16">
      <c r="A138" s="340" t="str">
        <f t="shared" si="15"/>
        <v>E</v>
      </c>
      <c r="B138" s="720" t="s">
        <v>488</v>
      </c>
      <c r="C138" s="852">
        <f t="shared" si="23"/>
        <v>0</v>
      </c>
      <c r="D138" s="852"/>
      <c r="E138" s="158">
        <f t="shared" si="16"/>
        <v>0</v>
      </c>
      <c r="F138" s="852"/>
      <c r="G138" s="158">
        <f t="shared" si="17"/>
        <v>0</v>
      </c>
      <c r="H138" s="126"/>
      <c r="I138" s="158">
        <f t="shared" si="18"/>
        <v>0</v>
      </c>
      <c r="J138" s="852"/>
      <c r="K138" s="158">
        <f t="shared" si="19"/>
        <v>0</v>
      </c>
      <c r="L138" s="852"/>
      <c r="M138" s="158">
        <f t="shared" si="20"/>
        <v>0</v>
      </c>
      <c r="N138" s="852"/>
      <c r="O138" s="158">
        <f t="shared" si="21"/>
        <v>0</v>
      </c>
      <c r="P138" s="85"/>
    </row>
    <row r="139" spans="1:16">
      <c r="A139" s="340" t="str">
        <f t="shared" si="15"/>
        <v>F</v>
      </c>
      <c r="B139" s="720" t="s">
        <v>488</v>
      </c>
      <c r="C139" s="852">
        <f t="shared" si="23"/>
        <v>0</v>
      </c>
      <c r="D139" s="852"/>
      <c r="E139" s="158">
        <f t="shared" si="16"/>
        <v>0</v>
      </c>
      <c r="F139" s="852"/>
      <c r="G139" s="158">
        <f t="shared" si="17"/>
        <v>0</v>
      </c>
      <c r="H139" s="126"/>
      <c r="I139" s="158">
        <f t="shared" si="18"/>
        <v>0</v>
      </c>
      <c r="J139" s="852"/>
      <c r="K139" s="158">
        <f t="shared" si="19"/>
        <v>0</v>
      </c>
      <c r="L139" s="852"/>
      <c r="M139" s="158">
        <f t="shared" si="20"/>
        <v>0</v>
      </c>
      <c r="N139" s="852"/>
      <c r="O139" s="158">
        <f t="shared" si="21"/>
        <v>0</v>
      </c>
      <c r="P139" s="85"/>
    </row>
    <row r="140" spans="1:16">
      <c r="A140" s="340" t="str">
        <f t="shared" si="15"/>
        <v>G</v>
      </c>
      <c r="B140" s="720" t="s">
        <v>488</v>
      </c>
      <c r="C140" s="852">
        <f t="shared" si="23"/>
        <v>0</v>
      </c>
      <c r="D140" s="852"/>
      <c r="E140" s="158">
        <f t="shared" si="16"/>
        <v>0</v>
      </c>
      <c r="F140" s="852"/>
      <c r="G140" s="158">
        <f t="shared" si="17"/>
        <v>0</v>
      </c>
      <c r="H140" s="126"/>
      <c r="I140" s="158">
        <f t="shared" si="18"/>
        <v>0</v>
      </c>
      <c r="J140" s="852"/>
      <c r="K140" s="158">
        <f t="shared" si="19"/>
        <v>0</v>
      </c>
      <c r="L140" s="852"/>
      <c r="M140" s="158">
        <f t="shared" si="20"/>
        <v>0</v>
      </c>
      <c r="N140" s="852"/>
      <c r="O140" s="158">
        <f t="shared" si="21"/>
        <v>0</v>
      </c>
      <c r="P140" s="85"/>
    </row>
    <row r="141" spans="1:16" ht="13.5" customHeight="1">
      <c r="A141" s="7" t="str">
        <f t="shared" si="15"/>
        <v>H</v>
      </c>
      <c r="B141" s="588" t="s">
        <v>488</v>
      </c>
      <c r="C141" s="625">
        <f t="shared" si="23"/>
        <v>0</v>
      </c>
      <c r="D141" s="625"/>
      <c r="E141" s="696">
        <f t="shared" si="16"/>
        <v>0</v>
      </c>
      <c r="F141" s="625"/>
      <c r="G141" s="158">
        <f t="shared" si="17"/>
        <v>0</v>
      </c>
      <c r="H141" s="126"/>
      <c r="I141" s="158">
        <f t="shared" si="18"/>
        <v>0</v>
      </c>
      <c r="J141" s="852"/>
      <c r="K141" s="158">
        <f t="shared" si="19"/>
        <v>0</v>
      </c>
      <c r="L141" s="852"/>
      <c r="M141" s="158">
        <f t="shared" si="20"/>
        <v>0</v>
      </c>
      <c r="N141" s="852"/>
      <c r="O141" s="158">
        <f t="shared" si="21"/>
        <v>0</v>
      </c>
      <c r="P141" s="85"/>
    </row>
    <row r="142" spans="1:16" ht="13.5" customHeight="1">
      <c r="A142" s="289" t="s">
        <v>452</v>
      </c>
      <c r="B142" s="13"/>
      <c r="C142" s="501"/>
      <c r="D142" s="501"/>
      <c r="E142" s="566">
        <f>SUM(E119:E141)</f>
        <v>0</v>
      </c>
      <c r="F142" s="501"/>
      <c r="G142" s="48">
        <f>SUM(G119:G141)</f>
        <v>1419000</v>
      </c>
      <c r="H142" s="625"/>
      <c r="I142" s="48">
        <f>SUM(I119:I141)</f>
        <v>1671000</v>
      </c>
      <c r="J142" s="625"/>
      <c r="K142" s="48">
        <f>SUM(K119:K141)</f>
        <v>1895000</v>
      </c>
      <c r="L142" s="625"/>
      <c r="M142" s="48">
        <f>SUM(M119:M141)</f>
        <v>2045000</v>
      </c>
      <c r="N142" s="625"/>
      <c r="O142" s="48">
        <f>SUM(O119:O141)</f>
        <v>2322000</v>
      </c>
      <c r="P142" s="85"/>
    </row>
    <row r="143" spans="1:16" ht="13.5" customHeight="1">
      <c r="A143" s="187" t="s">
        <v>453</v>
      </c>
      <c r="B143" s="257"/>
      <c r="C143" s="338"/>
      <c r="D143" s="338"/>
      <c r="E143" s="660"/>
      <c r="F143" s="338"/>
      <c r="G143" s="660"/>
      <c r="H143" s="338"/>
      <c r="I143" s="660"/>
      <c r="J143" s="338"/>
      <c r="K143" s="660"/>
      <c r="L143" s="338"/>
      <c r="M143" s="660"/>
      <c r="N143" s="338"/>
      <c r="O143" s="660"/>
      <c r="P143" s="85"/>
    </row>
    <row r="144" spans="1:16">
      <c r="A144" s="233" t="s">
        <v>454</v>
      </c>
      <c r="B144" s="651" t="s">
        <v>488</v>
      </c>
      <c r="C144" s="852"/>
      <c r="D144" s="852"/>
      <c r="E144" s="651">
        <v>0</v>
      </c>
      <c r="F144" s="852"/>
      <c r="G144" s="583"/>
      <c r="H144" s="852"/>
      <c r="I144" s="583"/>
      <c r="J144" s="852"/>
      <c r="K144" s="583"/>
      <c r="L144" s="852"/>
      <c r="M144" s="583"/>
      <c r="N144" s="852"/>
      <c r="O144" s="583"/>
      <c r="P144" s="85"/>
    </row>
    <row r="145" spans="1:16">
      <c r="A145" s="835" t="s">
        <v>455</v>
      </c>
      <c r="B145" s="651" t="s">
        <v>488</v>
      </c>
      <c r="C145" s="852"/>
      <c r="D145" s="852"/>
      <c r="E145" s="651">
        <v>0</v>
      </c>
      <c r="F145" s="852"/>
      <c r="G145" s="583"/>
      <c r="H145" s="852"/>
      <c r="I145" s="583"/>
      <c r="J145" s="852"/>
      <c r="K145" s="583"/>
      <c r="L145" s="852"/>
      <c r="M145" s="583"/>
      <c r="N145" s="852"/>
      <c r="O145" s="583"/>
      <c r="P145" s="85"/>
    </row>
    <row r="146" spans="1:16">
      <c r="A146" s="835" t="s">
        <v>456</v>
      </c>
      <c r="B146" s="651" t="s">
        <v>488</v>
      </c>
      <c r="C146" s="852"/>
      <c r="D146" s="852"/>
      <c r="E146" s="651">
        <v>0</v>
      </c>
      <c r="F146" s="852"/>
      <c r="G146" s="583"/>
      <c r="H146" s="852"/>
      <c r="I146" s="583"/>
      <c r="J146" s="852"/>
      <c r="K146" s="583"/>
      <c r="L146" s="852"/>
      <c r="M146" s="583"/>
      <c r="N146" s="852"/>
      <c r="O146" s="583"/>
      <c r="P146" s="85"/>
    </row>
    <row r="147" spans="1:16" ht="13.5" customHeight="1">
      <c r="A147" s="835" t="s">
        <v>457</v>
      </c>
      <c r="B147" s="651" t="s">
        <v>488</v>
      </c>
      <c r="C147" s="852"/>
      <c r="D147" s="852"/>
      <c r="E147" s="38">
        <v>0</v>
      </c>
      <c r="F147" s="852"/>
      <c r="G147" s="486">
        <f t="shared" ref="G147:O147" si="24">G119*0.05</f>
        <v>60900</v>
      </c>
      <c r="H147" s="486">
        <f t="shared" si="24"/>
        <v>0</v>
      </c>
      <c r="I147" s="486">
        <f t="shared" si="24"/>
        <v>73500</v>
      </c>
      <c r="J147" s="486">
        <f t="shared" si="24"/>
        <v>0</v>
      </c>
      <c r="K147" s="486">
        <f t="shared" si="24"/>
        <v>81700</v>
      </c>
      <c r="L147" s="486">
        <f t="shared" si="24"/>
        <v>0</v>
      </c>
      <c r="M147" s="486">
        <f t="shared" si="24"/>
        <v>88150</v>
      </c>
      <c r="N147" s="486">
        <f t="shared" si="24"/>
        <v>0</v>
      </c>
      <c r="O147" s="486">
        <f t="shared" si="24"/>
        <v>99000</v>
      </c>
      <c r="P147" s="85"/>
    </row>
    <row r="148" spans="1:16" ht="13.5" customHeight="1">
      <c r="A148" s="353" t="s">
        <v>458</v>
      </c>
      <c r="B148" s="318"/>
      <c r="C148" s="625"/>
      <c r="D148" s="625"/>
      <c r="E148" s="566">
        <f>SUM(E144:E147)</f>
        <v>0</v>
      </c>
      <c r="F148" s="625"/>
      <c r="G148" s="566">
        <f>SUM(G144:G147)</f>
        <v>60900</v>
      </c>
      <c r="H148" s="501"/>
      <c r="I148" s="566">
        <f>SUM(I144:I147)</f>
        <v>73500</v>
      </c>
      <c r="J148" s="501"/>
      <c r="K148" s="566">
        <f>SUM(K144:K147)</f>
        <v>81700</v>
      </c>
      <c r="L148" s="501"/>
      <c r="M148" s="566">
        <f>SUM(M144:M147)</f>
        <v>88150</v>
      </c>
      <c r="N148" s="501"/>
      <c r="O148" s="566">
        <f>SUM(O144:O147)</f>
        <v>99000</v>
      </c>
      <c r="P148" s="85"/>
    </row>
    <row r="149" spans="1:16" ht="40.5" customHeight="1">
      <c r="A149" s="76" t="str">
        <f t="shared" ref="A149:A176" si="25">A30</f>
        <v>Positions that Do NOT Participate in the Chicago Teachers Pension Fund (CTPF):</v>
      </c>
      <c r="B149" s="373"/>
      <c r="C149" s="125"/>
      <c r="D149" s="125"/>
      <c r="E149" s="125"/>
      <c r="F149" s="125"/>
      <c r="G149" s="125"/>
      <c r="H149" s="125"/>
      <c r="I149" s="125"/>
      <c r="J149" s="125"/>
      <c r="K149" s="125"/>
      <c r="L149" s="125"/>
      <c r="M149" s="125"/>
      <c r="N149" s="125"/>
      <c r="O149" s="743"/>
      <c r="P149" s="676"/>
    </row>
    <row r="150" spans="1:16">
      <c r="A150" s="516" t="str">
        <f t="shared" si="25"/>
        <v>Teachers</v>
      </c>
      <c r="B150" s="395" t="s">
        <v>488</v>
      </c>
      <c r="C150" s="338">
        <f t="shared" ref="C150:C166" si="26">C85*C39</f>
        <v>0</v>
      </c>
      <c r="D150" s="338"/>
      <c r="E150" s="660">
        <f>E31*E89</f>
        <v>0</v>
      </c>
      <c r="F150" s="338">
        <f>F31*F89</f>
        <v>0</v>
      </c>
      <c r="G150" s="660">
        <f>G31*G89</f>
        <v>0</v>
      </c>
      <c r="H150" s="338"/>
      <c r="I150" s="660">
        <f t="shared" ref="I150:I176" si="27">I31*I89</f>
        <v>0</v>
      </c>
      <c r="J150" s="338"/>
      <c r="K150" s="660">
        <f t="shared" ref="K150:K176" si="28">K31*K89</f>
        <v>0</v>
      </c>
      <c r="L150" s="338"/>
      <c r="M150" s="660">
        <f t="shared" ref="M150:M176" si="29">M31*M89</f>
        <v>0</v>
      </c>
      <c r="N150" s="338"/>
      <c r="O150" s="660">
        <f t="shared" ref="O150:O176" si="30">O31*O89</f>
        <v>0</v>
      </c>
      <c r="P150" s="85"/>
    </row>
    <row r="151" spans="1:16">
      <c r="A151" s="444" t="str">
        <f t="shared" si="25"/>
        <v>SPED Teachers (positions that are reimbursed by CPS)</v>
      </c>
      <c r="B151" s="208" t="s">
        <v>488</v>
      </c>
      <c r="C151" s="852">
        <f t="shared" si="26"/>
        <v>0</v>
      </c>
      <c r="D151" s="852"/>
      <c r="E151" s="158">
        <f t="shared" ref="E151:E176" si="31">E32*E90</f>
        <v>0</v>
      </c>
      <c r="F151" s="852"/>
      <c r="G151" s="158">
        <f t="shared" ref="G151:G176" si="32">G32*G90</f>
        <v>0</v>
      </c>
      <c r="H151" s="852"/>
      <c r="I151" s="158">
        <f t="shared" si="27"/>
        <v>0</v>
      </c>
      <c r="J151" s="852"/>
      <c r="K151" s="158">
        <f t="shared" si="28"/>
        <v>0</v>
      </c>
      <c r="L151" s="852"/>
      <c r="M151" s="158">
        <f t="shared" si="29"/>
        <v>0</v>
      </c>
      <c r="N151" s="852"/>
      <c r="O151" s="158">
        <f t="shared" si="30"/>
        <v>0</v>
      </c>
      <c r="P151" s="85"/>
    </row>
    <row r="152" spans="1:16">
      <c r="A152" s="444" t="str">
        <f t="shared" si="25"/>
        <v>SPED Aides (positions that are reimbursed by CPS)</v>
      </c>
      <c r="B152" s="208" t="s">
        <v>488</v>
      </c>
      <c r="C152" s="852">
        <f t="shared" si="26"/>
        <v>0</v>
      </c>
      <c r="D152" s="852"/>
      <c r="E152" s="158">
        <f t="shared" si="31"/>
        <v>0</v>
      </c>
      <c r="F152" s="852"/>
      <c r="G152" s="158">
        <f t="shared" si="32"/>
        <v>0</v>
      </c>
      <c r="H152" s="852"/>
      <c r="I152" s="158">
        <f t="shared" si="27"/>
        <v>0</v>
      </c>
      <c r="J152" s="852"/>
      <c r="K152" s="158">
        <f t="shared" si="28"/>
        <v>0</v>
      </c>
      <c r="L152" s="852"/>
      <c r="M152" s="158">
        <f t="shared" si="29"/>
        <v>0</v>
      </c>
      <c r="N152" s="852"/>
      <c r="O152" s="158">
        <f t="shared" si="30"/>
        <v>0</v>
      </c>
      <c r="P152" s="85"/>
    </row>
    <row r="153" spans="1:16">
      <c r="A153" s="444" t="str">
        <f t="shared" si="25"/>
        <v>SPED Clinicians-Psychologist (reimbursed by CPS)</v>
      </c>
      <c r="B153" s="208" t="s">
        <v>488</v>
      </c>
      <c r="C153" s="852">
        <f t="shared" si="26"/>
        <v>0</v>
      </c>
      <c r="D153" s="852"/>
      <c r="E153" s="158">
        <f t="shared" si="31"/>
        <v>0</v>
      </c>
      <c r="F153" s="852"/>
      <c r="G153" s="158">
        <f t="shared" si="32"/>
        <v>0</v>
      </c>
      <c r="H153" s="852"/>
      <c r="I153" s="158">
        <f t="shared" si="27"/>
        <v>0</v>
      </c>
      <c r="J153" s="852"/>
      <c r="K153" s="158">
        <f t="shared" si="28"/>
        <v>0</v>
      </c>
      <c r="L153" s="852"/>
      <c r="M153" s="158">
        <f t="shared" si="29"/>
        <v>0</v>
      </c>
      <c r="N153" s="852"/>
      <c r="O153" s="158">
        <f t="shared" si="30"/>
        <v>0</v>
      </c>
      <c r="P153" s="85"/>
    </row>
    <row r="154" spans="1:16">
      <c r="A154" s="444" t="str">
        <f t="shared" si="25"/>
        <v>SPED Clinicians-Social Worker (reimbursed by CPS)</v>
      </c>
      <c r="B154" s="208" t="s">
        <v>488</v>
      </c>
      <c r="C154" s="852">
        <f t="shared" si="26"/>
        <v>0</v>
      </c>
      <c r="D154" s="852"/>
      <c r="E154" s="158">
        <f t="shared" si="31"/>
        <v>0</v>
      </c>
      <c r="F154" s="852"/>
      <c r="G154" s="158">
        <f t="shared" si="32"/>
        <v>0</v>
      </c>
      <c r="H154" s="852"/>
      <c r="I154" s="158">
        <f t="shared" si="27"/>
        <v>0</v>
      </c>
      <c r="J154" s="852"/>
      <c r="K154" s="158">
        <f t="shared" si="28"/>
        <v>0</v>
      </c>
      <c r="L154" s="852"/>
      <c r="M154" s="158">
        <f t="shared" si="29"/>
        <v>0</v>
      </c>
      <c r="N154" s="852"/>
      <c r="O154" s="158">
        <f t="shared" si="30"/>
        <v>0</v>
      </c>
      <c r="P154" s="85"/>
    </row>
    <row r="155" spans="1:16">
      <c r="A155" s="444" t="str">
        <f t="shared" si="25"/>
        <v>SPED Clinicians-Speech Therapist (reimbursed by CPS)</v>
      </c>
      <c r="B155" s="208" t="s">
        <v>488</v>
      </c>
      <c r="C155" s="852">
        <f t="shared" si="26"/>
        <v>0</v>
      </c>
      <c r="D155" s="852"/>
      <c r="E155" s="158">
        <f t="shared" si="31"/>
        <v>0</v>
      </c>
      <c r="F155" s="852"/>
      <c r="G155" s="158">
        <f t="shared" si="32"/>
        <v>0</v>
      </c>
      <c r="H155" s="852"/>
      <c r="I155" s="158">
        <f t="shared" si="27"/>
        <v>0</v>
      </c>
      <c r="J155" s="852"/>
      <c r="K155" s="158">
        <f t="shared" si="28"/>
        <v>0</v>
      </c>
      <c r="L155" s="852"/>
      <c r="M155" s="158">
        <f t="shared" si="29"/>
        <v>0</v>
      </c>
      <c r="N155" s="852"/>
      <c r="O155" s="158">
        <f t="shared" si="30"/>
        <v>0</v>
      </c>
      <c r="P155" s="85"/>
    </row>
    <row r="156" spans="1:16">
      <c r="A156" s="444" t="str">
        <f t="shared" si="25"/>
        <v>SPED Clinicians-Physical Therapist (reimbursed by CPS)</v>
      </c>
      <c r="B156" s="208" t="s">
        <v>488</v>
      </c>
      <c r="C156" s="852">
        <f t="shared" si="26"/>
        <v>0</v>
      </c>
      <c r="D156" s="852"/>
      <c r="E156" s="158">
        <f t="shared" si="31"/>
        <v>0</v>
      </c>
      <c r="F156" s="852"/>
      <c r="G156" s="158">
        <f t="shared" si="32"/>
        <v>0</v>
      </c>
      <c r="H156" s="852"/>
      <c r="I156" s="158">
        <f t="shared" si="27"/>
        <v>0</v>
      </c>
      <c r="J156" s="852"/>
      <c r="K156" s="158">
        <f t="shared" si="28"/>
        <v>0</v>
      </c>
      <c r="L156" s="852"/>
      <c r="M156" s="158">
        <f t="shared" si="29"/>
        <v>0</v>
      </c>
      <c r="N156" s="852"/>
      <c r="O156" s="158">
        <f t="shared" si="30"/>
        <v>0</v>
      </c>
      <c r="P156" s="85"/>
    </row>
    <row r="157" spans="1:16">
      <c r="A157" s="444" t="str">
        <f t="shared" si="25"/>
        <v>SPED Clinicians-Occupational Therapist (reimbursed by CPS)</v>
      </c>
      <c r="B157" s="208" t="s">
        <v>488</v>
      </c>
      <c r="C157" s="852">
        <f t="shared" si="26"/>
        <v>0</v>
      </c>
      <c r="D157" s="852"/>
      <c r="E157" s="158">
        <f t="shared" si="31"/>
        <v>0</v>
      </c>
      <c r="F157" s="852"/>
      <c r="G157" s="158">
        <f t="shared" si="32"/>
        <v>0</v>
      </c>
      <c r="H157" s="852"/>
      <c r="I157" s="158">
        <f t="shared" si="27"/>
        <v>0</v>
      </c>
      <c r="J157" s="852"/>
      <c r="K157" s="158">
        <f t="shared" si="28"/>
        <v>0</v>
      </c>
      <c r="L157" s="852"/>
      <c r="M157" s="158">
        <f t="shared" si="29"/>
        <v>0</v>
      </c>
      <c r="N157" s="852"/>
      <c r="O157" s="158">
        <f t="shared" si="30"/>
        <v>0</v>
      </c>
      <c r="P157" s="85"/>
    </row>
    <row r="158" spans="1:16">
      <c r="A158" s="444" t="str">
        <f t="shared" si="25"/>
        <v>SPED Clinicians-Nurse (reimbursed by CPS)</v>
      </c>
      <c r="B158" s="208" t="s">
        <v>488</v>
      </c>
      <c r="C158" s="852">
        <f t="shared" si="26"/>
        <v>0</v>
      </c>
      <c r="D158" s="852"/>
      <c r="E158" s="158">
        <f t="shared" si="31"/>
        <v>0</v>
      </c>
      <c r="F158" s="852"/>
      <c r="G158" s="158">
        <f t="shared" si="32"/>
        <v>0</v>
      </c>
      <c r="H158" s="852"/>
      <c r="I158" s="158">
        <f t="shared" si="27"/>
        <v>0</v>
      </c>
      <c r="J158" s="852"/>
      <c r="K158" s="158">
        <f t="shared" si="28"/>
        <v>0</v>
      </c>
      <c r="L158" s="852"/>
      <c r="M158" s="158">
        <f t="shared" si="29"/>
        <v>0</v>
      </c>
      <c r="N158" s="852"/>
      <c r="O158" s="158">
        <f t="shared" si="30"/>
        <v>0</v>
      </c>
      <c r="P158" s="85"/>
    </row>
    <row r="159" spans="1:16">
      <c r="A159" s="632" t="str">
        <f t="shared" si="25"/>
        <v>Teacher Assistants/Aides</v>
      </c>
      <c r="B159" s="208" t="s">
        <v>488</v>
      </c>
      <c r="C159" s="852">
        <f t="shared" si="26"/>
        <v>0</v>
      </c>
      <c r="D159" s="852"/>
      <c r="E159" s="158">
        <f t="shared" si="31"/>
        <v>0</v>
      </c>
      <c r="F159" s="852"/>
      <c r="G159" s="158">
        <f t="shared" si="32"/>
        <v>0</v>
      </c>
      <c r="H159" s="852"/>
      <c r="I159" s="158">
        <f t="shared" si="27"/>
        <v>0</v>
      </c>
      <c r="J159" s="852"/>
      <c r="K159" s="158">
        <f t="shared" si="28"/>
        <v>0</v>
      </c>
      <c r="L159" s="852"/>
      <c r="M159" s="158">
        <f t="shared" si="29"/>
        <v>0</v>
      </c>
      <c r="N159" s="852"/>
      <c r="O159" s="158">
        <f t="shared" si="30"/>
        <v>0</v>
      </c>
      <c r="P159" s="85"/>
    </row>
    <row r="160" spans="1:16">
      <c r="A160" s="632" t="str">
        <f t="shared" si="25"/>
        <v>College Counselors</v>
      </c>
      <c r="B160" s="208" t="s">
        <v>488</v>
      </c>
      <c r="C160" s="852">
        <f t="shared" si="26"/>
        <v>0</v>
      </c>
      <c r="D160" s="852"/>
      <c r="E160" s="158">
        <f t="shared" si="31"/>
        <v>0</v>
      </c>
      <c r="F160" s="852"/>
      <c r="G160" s="158">
        <f t="shared" si="32"/>
        <v>0</v>
      </c>
      <c r="H160" s="852"/>
      <c r="I160" s="158">
        <f t="shared" si="27"/>
        <v>0</v>
      </c>
      <c r="J160" s="852"/>
      <c r="K160" s="158">
        <f t="shared" si="28"/>
        <v>50000</v>
      </c>
      <c r="L160" s="852"/>
      <c r="M160" s="158">
        <f t="shared" si="29"/>
        <v>50000</v>
      </c>
      <c r="N160" s="852"/>
      <c r="O160" s="158">
        <f t="shared" si="30"/>
        <v>100000</v>
      </c>
      <c r="P160" s="85"/>
    </row>
    <row r="161" spans="1:16">
      <c r="A161" s="632" t="str">
        <f t="shared" si="25"/>
        <v>Business Manager</v>
      </c>
      <c r="B161" s="208" t="s">
        <v>488</v>
      </c>
      <c r="C161" s="852">
        <f t="shared" si="26"/>
        <v>0</v>
      </c>
      <c r="D161" s="852"/>
      <c r="E161" s="158">
        <f t="shared" si="31"/>
        <v>0</v>
      </c>
      <c r="F161" s="852"/>
      <c r="G161" s="158">
        <f t="shared" si="32"/>
        <v>0</v>
      </c>
      <c r="H161" s="852"/>
      <c r="I161" s="158">
        <f t="shared" si="27"/>
        <v>0</v>
      </c>
      <c r="J161" s="852"/>
      <c r="K161" s="158">
        <f t="shared" si="28"/>
        <v>0</v>
      </c>
      <c r="L161" s="852"/>
      <c r="M161" s="158">
        <f t="shared" si="29"/>
        <v>0</v>
      </c>
      <c r="N161" s="852"/>
      <c r="O161" s="158">
        <f t="shared" si="30"/>
        <v>0</v>
      </c>
      <c r="P161" s="85"/>
    </row>
    <row r="162" spans="1:16">
      <c r="A162" s="632" t="str">
        <f t="shared" si="25"/>
        <v>Principal</v>
      </c>
      <c r="B162" s="208" t="s">
        <v>488</v>
      </c>
      <c r="C162" s="852">
        <f t="shared" si="26"/>
        <v>0</v>
      </c>
      <c r="D162" s="852"/>
      <c r="E162" s="158">
        <f t="shared" si="31"/>
        <v>17500</v>
      </c>
      <c r="F162" s="852"/>
      <c r="G162" s="158">
        <f t="shared" si="32"/>
        <v>70000</v>
      </c>
      <c r="H162" s="852"/>
      <c r="I162" s="158">
        <f t="shared" si="27"/>
        <v>70000</v>
      </c>
      <c r="J162" s="852"/>
      <c r="K162" s="158">
        <f t="shared" si="28"/>
        <v>70000</v>
      </c>
      <c r="L162" s="852"/>
      <c r="M162" s="158">
        <f t="shared" si="29"/>
        <v>70000</v>
      </c>
      <c r="N162" s="852"/>
      <c r="O162" s="158">
        <f t="shared" si="30"/>
        <v>70000</v>
      </c>
      <c r="P162" s="85"/>
    </row>
    <row r="163" spans="1:16">
      <c r="A163" s="632" t="str">
        <f t="shared" si="25"/>
        <v>Deans</v>
      </c>
      <c r="B163" s="208" t="s">
        <v>488</v>
      </c>
      <c r="C163" s="852">
        <f t="shared" si="26"/>
        <v>0</v>
      </c>
      <c r="D163" s="852"/>
      <c r="E163" s="158">
        <f t="shared" si="31"/>
        <v>10200</v>
      </c>
      <c r="F163" s="852"/>
      <c r="G163" s="158">
        <f t="shared" si="32"/>
        <v>60000</v>
      </c>
      <c r="H163" s="852"/>
      <c r="I163" s="158">
        <f t="shared" si="27"/>
        <v>60000</v>
      </c>
      <c r="J163" s="852"/>
      <c r="K163" s="158">
        <f t="shared" si="28"/>
        <v>60000</v>
      </c>
      <c r="L163" s="852"/>
      <c r="M163" s="158">
        <f t="shared" si="29"/>
        <v>120000</v>
      </c>
      <c r="N163" s="852"/>
      <c r="O163" s="158">
        <f t="shared" si="30"/>
        <v>120000</v>
      </c>
      <c r="P163" s="85"/>
    </row>
    <row r="164" spans="1:16">
      <c r="A164" s="632" t="str">
        <f t="shared" si="25"/>
        <v>Instructional Coordinator</v>
      </c>
      <c r="B164" s="208" t="s">
        <v>488</v>
      </c>
      <c r="C164" s="852">
        <f t="shared" si="26"/>
        <v>0</v>
      </c>
      <c r="D164" s="852"/>
      <c r="E164" s="158">
        <f t="shared" si="31"/>
        <v>10200</v>
      </c>
      <c r="F164" s="852"/>
      <c r="G164" s="158">
        <f t="shared" si="32"/>
        <v>60000</v>
      </c>
      <c r="H164" s="852"/>
      <c r="I164" s="158">
        <f t="shared" si="27"/>
        <v>60000</v>
      </c>
      <c r="J164" s="852"/>
      <c r="K164" s="158">
        <f t="shared" si="28"/>
        <v>60000</v>
      </c>
      <c r="L164" s="852"/>
      <c r="M164" s="158">
        <f t="shared" si="29"/>
        <v>60000</v>
      </c>
      <c r="N164" s="852"/>
      <c r="O164" s="158">
        <f t="shared" si="30"/>
        <v>120000</v>
      </c>
      <c r="P164" s="85"/>
    </row>
    <row r="165" spans="1:16">
      <c r="A165" s="632" t="str">
        <f t="shared" si="25"/>
        <v>Administrative Assistant</v>
      </c>
      <c r="B165" s="208" t="s">
        <v>488</v>
      </c>
      <c r="C165" s="852">
        <f t="shared" si="26"/>
        <v>0</v>
      </c>
      <c r="D165" s="852"/>
      <c r="E165" s="158">
        <f t="shared" si="31"/>
        <v>0</v>
      </c>
      <c r="F165" s="852"/>
      <c r="G165" s="158">
        <f t="shared" si="32"/>
        <v>30000</v>
      </c>
      <c r="H165" s="852"/>
      <c r="I165" s="158">
        <f t="shared" si="27"/>
        <v>30000</v>
      </c>
      <c r="J165" s="852"/>
      <c r="K165" s="158">
        <f t="shared" si="28"/>
        <v>30000</v>
      </c>
      <c r="L165" s="852"/>
      <c r="M165" s="158">
        <f t="shared" si="29"/>
        <v>30000</v>
      </c>
      <c r="N165" s="852"/>
      <c r="O165" s="158">
        <f t="shared" si="30"/>
        <v>30000</v>
      </c>
      <c r="P165" s="85"/>
    </row>
    <row r="166" spans="1:16">
      <c r="A166" s="632" t="str">
        <f t="shared" si="25"/>
        <v>Director of Development/PR Associate</v>
      </c>
      <c r="B166" s="208" t="s">
        <v>488</v>
      </c>
      <c r="C166" s="852">
        <f t="shared" si="26"/>
        <v>0</v>
      </c>
      <c r="D166" s="852"/>
      <c r="E166" s="158">
        <f t="shared" si="31"/>
        <v>0</v>
      </c>
      <c r="F166" s="852"/>
      <c r="G166" s="158">
        <f t="shared" si="32"/>
        <v>0</v>
      </c>
      <c r="H166" s="852"/>
      <c r="I166" s="158">
        <f t="shared" si="27"/>
        <v>50000</v>
      </c>
      <c r="J166" s="852"/>
      <c r="K166" s="158">
        <f t="shared" si="28"/>
        <v>50000</v>
      </c>
      <c r="L166" s="852"/>
      <c r="M166" s="158">
        <f t="shared" si="29"/>
        <v>50000</v>
      </c>
      <c r="N166" s="852"/>
      <c r="O166" s="158">
        <f t="shared" si="30"/>
        <v>50000</v>
      </c>
      <c r="P166" s="85"/>
    </row>
    <row r="167" spans="1:16">
      <c r="A167" s="632" t="str">
        <f t="shared" si="25"/>
        <v>Custodian</v>
      </c>
      <c r="B167" s="208" t="s">
        <v>488</v>
      </c>
      <c r="C167" s="852">
        <f>C100*C54</f>
        <v>0</v>
      </c>
      <c r="D167" s="852"/>
      <c r="E167" s="158">
        <f t="shared" si="31"/>
        <v>4760</v>
      </c>
      <c r="F167" s="852"/>
      <c r="G167" s="158">
        <f t="shared" si="32"/>
        <v>56000</v>
      </c>
      <c r="H167" s="852"/>
      <c r="I167" s="158">
        <f t="shared" si="27"/>
        <v>56000</v>
      </c>
      <c r="J167" s="852"/>
      <c r="K167" s="158">
        <f t="shared" si="28"/>
        <v>56000</v>
      </c>
      <c r="L167" s="852"/>
      <c r="M167" s="158">
        <f t="shared" si="29"/>
        <v>56000</v>
      </c>
      <c r="N167" s="852"/>
      <c r="O167" s="158">
        <f t="shared" si="30"/>
        <v>56000</v>
      </c>
      <c r="P167" s="85"/>
    </row>
    <row r="168" spans="1:16" ht="15.75" customHeight="1">
      <c r="A168" s="632" t="str">
        <f t="shared" si="25"/>
        <v>Security</v>
      </c>
      <c r="B168" s="208" t="s">
        <v>488</v>
      </c>
      <c r="C168" s="852"/>
      <c r="D168" s="852"/>
      <c r="E168" s="158">
        <f t="shared" si="31"/>
        <v>0</v>
      </c>
      <c r="F168" s="852"/>
      <c r="G168" s="158">
        <f t="shared" si="32"/>
        <v>30000</v>
      </c>
      <c r="H168" s="852"/>
      <c r="I168" s="158">
        <f t="shared" si="27"/>
        <v>30000</v>
      </c>
      <c r="J168" s="852"/>
      <c r="K168" s="158">
        <f t="shared" si="28"/>
        <v>30000</v>
      </c>
      <c r="L168" s="852"/>
      <c r="M168" s="158">
        <f t="shared" si="29"/>
        <v>60000</v>
      </c>
      <c r="N168" s="852"/>
      <c r="O168" s="158">
        <f t="shared" si="30"/>
        <v>60000</v>
      </c>
      <c r="P168" s="85"/>
    </row>
    <row r="169" spans="1:16">
      <c r="A169" s="632" t="str">
        <f t="shared" si="25"/>
        <v>Secretary</v>
      </c>
      <c r="B169" s="208" t="s">
        <v>488</v>
      </c>
      <c r="C169" s="852" t="e">
        <f>C104*#REF!</f>
        <v>#REF!</v>
      </c>
      <c r="D169" s="852"/>
      <c r="E169" s="158">
        <f t="shared" si="31"/>
        <v>7500</v>
      </c>
      <c r="F169" s="852"/>
      <c r="G169" s="158">
        <f t="shared" si="32"/>
        <v>30000</v>
      </c>
      <c r="H169" s="852"/>
      <c r="I169" s="158">
        <f t="shared" si="27"/>
        <v>30000</v>
      </c>
      <c r="J169" s="852"/>
      <c r="K169" s="158">
        <f t="shared" si="28"/>
        <v>30000</v>
      </c>
      <c r="L169" s="852"/>
      <c r="M169" s="158">
        <f t="shared" si="29"/>
        <v>30000</v>
      </c>
      <c r="N169" s="852"/>
      <c r="O169" s="158">
        <f t="shared" si="30"/>
        <v>30000</v>
      </c>
      <c r="P169" s="85"/>
    </row>
    <row r="170" spans="1:16">
      <c r="A170" s="340" t="str">
        <f t="shared" si="25"/>
        <v>STEM Coordinator</v>
      </c>
      <c r="B170" s="208" t="s">
        <v>488</v>
      </c>
      <c r="C170" s="852" t="e">
        <f>C105*#REF!</f>
        <v>#REF!</v>
      </c>
      <c r="D170" s="852"/>
      <c r="E170" s="158">
        <f t="shared" si="31"/>
        <v>0</v>
      </c>
      <c r="F170" s="852"/>
      <c r="G170" s="158">
        <f t="shared" si="32"/>
        <v>50000</v>
      </c>
      <c r="H170" s="852"/>
      <c r="I170" s="158">
        <f t="shared" si="27"/>
        <v>50000</v>
      </c>
      <c r="J170" s="852"/>
      <c r="K170" s="158">
        <f t="shared" si="28"/>
        <v>50000</v>
      </c>
      <c r="L170" s="852"/>
      <c r="M170" s="158">
        <f t="shared" si="29"/>
        <v>50000</v>
      </c>
      <c r="N170" s="852"/>
      <c r="O170" s="158">
        <f t="shared" si="30"/>
        <v>50000</v>
      </c>
      <c r="P170" s="85"/>
    </row>
    <row r="171" spans="1:16">
      <c r="A171" s="340" t="str">
        <f t="shared" si="25"/>
        <v>IT Coordinator</v>
      </c>
      <c r="B171" s="208" t="s">
        <v>488</v>
      </c>
      <c r="C171" s="852" t="e">
        <f>C106*#REF!</f>
        <v>#REF!</v>
      </c>
      <c r="D171" s="852"/>
      <c r="E171" s="158">
        <f t="shared" si="31"/>
        <v>0</v>
      </c>
      <c r="F171" s="852"/>
      <c r="G171" s="158">
        <f t="shared" si="32"/>
        <v>0</v>
      </c>
      <c r="H171" s="852"/>
      <c r="I171" s="158">
        <f t="shared" si="27"/>
        <v>0</v>
      </c>
      <c r="J171" s="852"/>
      <c r="K171" s="158">
        <f t="shared" si="28"/>
        <v>40000</v>
      </c>
      <c r="L171" s="852"/>
      <c r="M171" s="158">
        <f t="shared" si="29"/>
        <v>40000</v>
      </c>
      <c r="N171" s="852"/>
      <c r="O171" s="158">
        <f t="shared" si="30"/>
        <v>40000</v>
      </c>
      <c r="P171" s="85"/>
    </row>
    <row r="172" spans="1:16">
      <c r="A172" s="340" t="str">
        <f t="shared" si="25"/>
        <v>Building Sub</v>
      </c>
      <c r="B172" s="208" t="s">
        <v>488</v>
      </c>
      <c r="C172" s="852" t="e">
        <f>C107*#REF!</f>
        <v>#REF!</v>
      </c>
      <c r="D172" s="852"/>
      <c r="E172" s="158">
        <f t="shared" si="31"/>
        <v>0</v>
      </c>
      <c r="F172" s="852"/>
      <c r="G172" s="158">
        <f t="shared" si="32"/>
        <v>0</v>
      </c>
      <c r="H172" s="852"/>
      <c r="I172" s="158">
        <f t="shared" si="27"/>
        <v>30000</v>
      </c>
      <c r="J172" s="852"/>
      <c r="K172" s="158">
        <f t="shared" si="28"/>
        <v>30000</v>
      </c>
      <c r="L172" s="852"/>
      <c r="M172" s="158">
        <f t="shared" si="29"/>
        <v>30000</v>
      </c>
      <c r="N172" s="852"/>
      <c r="O172" s="158">
        <f t="shared" si="30"/>
        <v>30000</v>
      </c>
      <c r="P172" s="85"/>
    </row>
    <row r="173" spans="1:16">
      <c r="A173" s="340" t="str">
        <f t="shared" si="25"/>
        <v>Athletic Director</v>
      </c>
      <c r="B173" s="208" t="s">
        <v>488</v>
      </c>
      <c r="C173" s="852" t="e">
        <f>C111*#REF!</f>
        <v>#REF!</v>
      </c>
      <c r="D173" s="852"/>
      <c r="E173" s="158">
        <f t="shared" si="31"/>
        <v>0</v>
      </c>
      <c r="F173" s="852"/>
      <c r="G173" s="158">
        <f t="shared" si="32"/>
        <v>0</v>
      </c>
      <c r="H173" s="852"/>
      <c r="I173" s="158">
        <f t="shared" si="27"/>
        <v>0</v>
      </c>
      <c r="J173" s="852"/>
      <c r="K173" s="158">
        <f t="shared" si="28"/>
        <v>40000</v>
      </c>
      <c r="L173" s="852"/>
      <c r="M173" s="158">
        <f t="shared" si="29"/>
        <v>40000</v>
      </c>
      <c r="N173" s="852"/>
      <c r="O173" s="158">
        <f t="shared" si="30"/>
        <v>40000</v>
      </c>
      <c r="P173" s="85"/>
    </row>
    <row r="174" spans="1:16">
      <c r="A174" s="340" t="str">
        <f t="shared" si="25"/>
        <v>Foreign Language Teacher</v>
      </c>
      <c r="B174" s="208" t="s">
        <v>488</v>
      </c>
      <c r="C174" s="852" t="e">
        <f>C112*#REF!</f>
        <v>#REF!</v>
      </c>
      <c r="D174" s="852"/>
      <c r="E174" s="158">
        <f t="shared" si="31"/>
        <v>0</v>
      </c>
      <c r="F174" s="852"/>
      <c r="G174" s="158">
        <f t="shared" si="32"/>
        <v>40000</v>
      </c>
      <c r="H174" s="852"/>
      <c r="I174" s="158">
        <f t="shared" si="27"/>
        <v>40000</v>
      </c>
      <c r="J174" s="852"/>
      <c r="K174" s="158">
        <f t="shared" si="28"/>
        <v>40000</v>
      </c>
      <c r="L174" s="852"/>
      <c r="M174" s="158">
        <f t="shared" si="29"/>
        <v>40000</v>
      </c>
      <c r="N174" s="852"/>
      <c r="O174" s="158">
        <f t="shared" si="30"/>
        <v>40000</v>
      </c>
      <c r="P174" s="85"/>
    </row>
    <row r="175" spans="1:16">
      <c r="A175" s="340" t="str">
        <f t="shared" si="25"/>
        <v>Social Workers</v>
      </c>
      <c r="B175" s="208" t="s">
        <v>488</v>
      </c>
      <c r="C175" s="852" t="e">
        <f>C113*#REF!</f>
        <v>#REF!</v>
      </c>
      <c r="D175" s="852"/>
      <c r="E175" s="158">
        <f t="shared" si="31"/>
        <v>0</v>
      </c>
      <c r="F175" s="852"/>
      <c r="G175" s="158">
        <f t="shared" si="32"/>
        <v>0</v>
      </c>
      <c r="H175" s="852"/>
      <c r="I175" s="158">
        <f t="shared" si="27"/>
        <v>0</v>
      </c>
      <c r="J175" s="852"/>
      <c r="K175" s="158">
        <f t="shared" si="28"/>
        <v>0</v>
      </c>
      <c r="L175" s="852"/>
      <c r="M175" s="158">
        <f t="shared" si="29"/>
        <v>0</v>
      </c>
      <c r="N175" s="852"/>
      <c r="O175" s="158">
        <f t="shared" si="30"/>
        <v>0</v>
      </c>
      <c r="P175" s="85"/>
    </row>
    <row r="176" spans="1:16" ht="13.5" customHeight="1">
      <c r="A176" s="7" t="str">
        <f t="shared" si="25"/>
        <v>P</v>
      </c>
      <c r="B176" s="208" t="s">
        <v>488</v>
      </c>
      <c r="C176" s="852" t="e">
        <f>C115*#REF!</f>
        <v>#REF!</v>
      </c>
      <c r="D176" s="852"/>
      <c r="E176" s="158">
        <f t="shared" si="31"/>
        <v>0</v>
      </c>
      <c r="F176" s="852"/>
      <c r="G176" s="158">
        <f t="shared" si="32"/>
        <v>0</v>
      </c>
      <c r="H176" s="852"/>
      <c r="I176" s="158">
        <f t="shared" si="27"/>
        <v>0</v>
      </c>
      <c r="J176" s="852"/>
      <c r="K176" s="158">
        <f t="shared" si="28"/>
        <v>0</v>
      </c>
      <c r="L176" s="852"/>
      <c r="M176" s="158">
        <f t="shared" si="29"/>
        <v>0</v>
      </c>
      <c r="N176" s="852"/>
      <c r="O176" s="158">
        <f t="shared" si="30"/>
        <v>0</v>
      </c>
      <c r="P176" s="85"/>
    </row>
    <row r="177" spans="1:16" ht="13.5" customHeight="1">
      <c r="A177" s="81" t="s">
        <v>459</v>
      </c>
      <c r="B177" s="208" t="s">
        <v>488</v>
      </c>
      <c r="C177" s="852"/>
      <c r="D177" s="852"/>
      <c r="E177" s="158"/>
      <c r="F177" s="852"/>
      <c r="G177" s="158"/>
      <c r="H177" s="852"/>
      <c r="I177" s="158"/>
      <c r="J177" s="852"/>
      <c r="K177" s="158"/>
      <c r="L177" s="852"/>
      <c r="M177" s="158"/>
      <c r="N177" s="852"/>
      <c r="O177" s="158"/>
      <c r="P177" s="85"/>
    </row>
    <row r="178" spans="1:16">
      <c r="A178" s="520" t="s">
        <v>460</v>
      </c>
      <c r="B178" s="208" t="s">
        <v>488</v>
      </c>
      <c r="C178" s="852"/>
      <c r="D178" s="852"/>
      <c r="E178" s="583"/>
      <c r="F178" s="852"/>
      <c r="G178" s="583"/>
      <c r="H178" s="583"/>
      <c r="I178" s="583"/>
      <c r="J178" s="583"/>
      <c r="K178" s="583"/>
      <c r="L178" s="583"/>
      <c r="M178" s="583"/>
      <c r="N178" s="583"/>
      <c r="O178" s="583"/>
      <c r="P178" s="85"/>
    </row>
    <row r="179" spans="1:16">
      <c r="A179" s="263" t="s">
        <v>461</v>
      </c>
      <c r="B179" s="208" t="s">
        <v>488</v>
      </c>
      <c r="C179" s="852"/>
      <c r="D179" s="852"/>
      <c r="E179" s="583"/>
      <c r="F179" s="852"/>
      <c r="G179" s="583"/>
      <c r="H179" s="583"/>
      <c r="I179" s="583"/>
      <c r="J179" s="583"/>
      <c r="K179" s="583"/>
      <c r="L179" s="583"/>
      <c r="M179" s="583"/>
      <c r="N179" s="583"/>
      <c r="O179" s="583"/>
      <c r="P179" s="85"/>
    </row>
    <row r="180" spans="1:16" ht="13.5" customHeight="1">
      <c r="A180" s="434" t="s">
        <v>462</v>
      </c>
      <c r="B180" s="208" t="s">
        <v>488</v>
      </c>
      <c r="C180" s="357"/>
      <c r="D180" s="357"/>
      <c r="E180" s="348"/>
      <c r="F180" s="357"/>
      <c r="G180" s="583"/>
      <c r="H180" s="131"/>
      <c r="I180" s="583"/>
      <c r="J180" s="131"/>
      <c r="K180" s="583"/>
      <c r="L180" s="131"/>
      <c r="M180" s="583"/>
      <c r="N180" s="131"/>
      <c r="O180" s="583"/>
      <c r="P180" s="85"/>
    </row>
    <row r="181" spans="1:16" ht="13.5" customHeight="1">
      <c r="A181" s="187" t="s">
        <v>463</v>
      </c>
      <c r="B181" s="639"/>
      <c r="C181" s="56"/>
      <c r="D181" s="485"/>
      <c r="E181" s="593">
        <f>SUM(E150:E180)</f>
        <v>50160</v>
      </c>
      <c r="F181" s="273"/>
      <c r="G181" s="387">
        <f>SUM(G150:G180)</f>
        <v>426000</v>
      </c>
      <c r="H181" s="284"/>
      <c r="I181" s="387">
        <f>SUM(I150:I180)</f>
        <v>506000</v>
      </c>
      <c r="J181" s="284"/>
      <c r="K181" s="387">
        <f>SUM(K150:K180)</f>
        <v>636000</v>
      </c>
      <c r="L181" s="284"/>
      <c r="M181" s="387">
        <f>SUM(M150:M180)</f>
        <v>726000</v>
      </c>
      <c r="N181" s="284"/>
      <c r="O181" s="387">
        <f>SUM(O150:O180)</f>
        <v>836000</v>
      </c>
      <c r="P181" s="676"/>
    </row>
    <row r="182" spans="1:16" ht="13.5" customHeight="1">
      <c r="A182" s="266"/>
      <c r="B182" s="773"/>
      <c r="C182" s="853"/>
      <c r="D182" s="853"/>
      <c r="E182" s="581"/>
      <c r="F182" s="853"/>
      <c r="G182" s="581"/>
      <c r="H182" s="853"/>
      <c r="I182" s="581"/>
      <c r="J182" s="853"/>
      <c r="K182" s="581"/>
      <c r="L182" s="853"/>
      <c r="M182" s="581"/>
      <c r="N182" s="853"/>
      <c r="O182" s="581"/>
    </row>
    <row r="183" spans="1:16" ht="22.5" customHeight="1">
      <c r="A183" s="253" t="s">
        <v>464</v>
      </c>
      <c r="B183" s="208" t="s">
        <v>488</v>
      </c>
      <c r="C183" s="440"/>
      <c r="D183" s="703"/>
      <c r="E183" s="792"/>
      <c r="F183" s="626"/>
      <c r="G183" s="533">
        <f>G142</f>
        <v>1419000</v>
      </c>
      <c r="H183" s="626"/>
      <c r="I183" s="533">
        <f>I142</f>
        <v>1671000</v>
      </c>
      <c r="J183" s="626"/>
      <c r="K183" s="533">
        <f>K142</f>
        <v>1895000</v>
      </c>
      <c r="L183" s="626"/>
      <c r="M183" s="533">
        <f>M142</f>
        <v>2045000</v>
      </c>
      <c r="N183" s="626"/>
      <c r="O183" s="533">
        <f>O142</f>
        <v>2322000</v>
      </c>
      <c r="P183" s="676"/>
    </row>
    <row r="184" spans="1:16" ht="22.5" customHeight="1">
      <c r="A184" s="76" t="s">
        <v>465</v>
      </c>
      <c r="B184" s="462" t="s">
        <v>488</v>
      </c>
      <c r="C184" s="440"/>
      <c r="D184" s="703"/>
      <c r="E184" s="792"/>
      <c r="F184" s="626"/>
      <c r="G184" s="533">
        <f>-SUM(G120:G127)</f>
        <v>-201000</v>
      </c>
      <c r="H184" s="626"/>
      <c r="I184" s="533">
        <f>-SUM(I120:I127)</f>
        <v>-201000</v>
      </c>
      <c r="J184" s="626"/>
      <c r="K184" s="533">
        <f>-SUM(K120:K127)</f>
        <v>-261000</v>
      </c>
      <c r="L184" s="626"/>
      <c r="M184" s="533">
        <f>-SUM(M120:M127)</f>
        <v>-282000</v>
      </c>
      <c r="N184" s="626"/>
      <c r="O184" s="533">
        <f>-SUM(O120:O127)</f>
        <v>-342000</v>
      </c>
      <c r="P184" s="676"/>
    </row>
    <row r="185" spans="1:16" ht="33" customHeight="1">
      <c r="A185" s="502" t="s">
        <v>466</v>
      </c>
      <c r="B185" s="462" t="s">
        <v>488</v>
      </c>
      <c r="C185" s="440"/>
      <c r="D185" s="703"/>
      <c r="E185" s="792"/>
      <c r="F185" s="626"/>
      <c r="G185" s="533">
        <f>G183+G184</f>
        <v>1218000</v>
      </c>
      <c r="H185" s="626"/>
      <c r="I185" s="533">
        <f>I183+I184</f>
        <v>1470000</v>
      </c>
      <c r="J185" s="626"/>
      <c r="K185" s="533">
        <f>K183+K184</f>
        <v>1634000</v>
      </c>
      <c r="L185" s="626"/>
      <c r="M185" s="533">
        <f>M183+M184</f>
        <v>1763000</v>
      </c>
      <c r="N185" s="626"/>
      <c r="O185" s="533">
        <f>O183+O184</f>
        <v>1980000</v>
      </c>
      <c r="P185" s="676"/>
    </row>
    <row r="186" spans="1:16" ht="22.5" customHeight="1">
      <c r="A186" s="76" t="s">
        <v>467</v>
      </c>
      <c r="B186" s="462" t="s">
        <v>488</v>
      </c>
      <c r="C186" s="124"/>
      <c r="D186" s="703"/>
      <c r="E186" s="792"/>
      <c r="F186" s="626"/>
      <c r="G186" s="533">
        <f>G148</f>
        <v>60900</v>
      </c>
      <c r="H186" s="627"/>
      <c r="I186" s="533">
        <f>I148</f>
        <v>73500</v>
      </c>
      <c r="J186" s="627"/>
      <c r="K186" s="533">
        <f>K148</f>
        <v>81700</v>
      </c>
      <c r="L186" s="627"/>
      <c r="M186" s="533">
        <f>M148</f>
        <v>88150</v>
      </c>
      <c r="N186" s="627"/>
      <c r="O186" s="533">
        <f>O148</f>
        <v>99000</v>
      </c>
      <c r="P186" s="676"/>
    </row>
    <row r="187" spans="1:16" ht="22.5" customHeight="1">
      <c r="A187" s="76" t="s">
        <v>468</v>
      </c>
      <c r="B187" s="462" t="s">
        <v>488</v>
      </c>
      <c r="C187" s="645" t="e">
        <f>SUM(C130:C180)</f>
        <v>#REF!</v>
      </c>
      <c r="D187" s="807"/>
      <c r="E187" s="533"/>
      <c r="F187" s="498"/>
      <c r="G187" s="533">
        <f>G183+G186</f>
        <v>1479900</v>
      </c>
      <c r="H187" s="607"/>
      <c r="I187" s="605">
        <f>I183+I186</f>
        <v>1744500</v>
      </c>
      <c r="J187" s="607"/>
      <c r="K187" s="605">
        <f>K183+K186</f>
        <v>1976700</v>
      </c>
      <c r="L187" s="607"/>
      <c r="M187" s="605">
        <f>M183+M186</f>
        <v>2133150</v>
      </c>
      <c r="N187" s="607"/>
      <c r="O187" s="605">
        <f>O183+O186</f>
        <v>2421000</v>
      </c>
      <c r="P187" s="676"/>
    </row>
    <row r="188" spans="1:16" ht="22.5" customHeight="1">
      <c r="A188" s="76" t="s">
        <v>359</v>
      </c>
      <c r="B188" s="462" t="s">
        <v>488</v>
      </c>
      <c r="C188" s="177"/>
      <c r="D188" s="807"/>
      <c r="E188" s="698">
        <f>E181</f>
        <v>50160</v>
      </c>
      <c r="F188" s="498"/>
      <c r="G188" s="698">
        <f>G181</f>
        <v>426000</v>
      </c>
      <c r="H188" s="803"/>
      <c r="I188" s="698">
        <f>I181</f>
        <v>506000</v>
      </c>
      <c r="J188" s="803"/>
      <c r="K188" s="698">
        <f>K181</f>
        <v>636000</v>
      </c>
      <c r="L188" s="803"/>
      <c r="M188" s="698">
        <f>M181</f>
        <v>726000</v>
      </c>
      <c r="N188" s="803"/>
      <c r="O188" s="698">
        <f>O181</f>
        <v>836000</v>
      </c>
      <c r="P188" s="676"/>
    </row>
    <row r="189" spans="1:16" ht="22.5" customHeight="1">
      <c r="A189" s="76" t="s">
        <v>360</v>
      </c>
      <c r="B189" s="462" t="s">
        <v>488</v>
      </c>
      <c r="C189" s="707"/>
      <c r="D189" s="807"/>
      <c r="E189" s="698">
        <f>SUM(E187:E188)</f>
        <v>50160</v>
      </c>
      <c r="F189" s="498"/>
      <c r="G189" s="698">
        <f>SUM(G187:G188)</f>
        <v>1905900</v>
      </c>
      <c r="H189" s="94"/>
      <c r="I189" s="698">
        <f>SUM(I187:I188)</f>
        <v>2250500</v>
      </c>
      <c r="J189" s="94"/>
      <c r="K189" s="698">
        <f>SUM(K187:K188)</f>
        <v>2612700</v>
      </c>
      <c r="L189" s="94"/>
      <c r="M189" s="698">
        <f>SUM(M187:M188)</f>
        <v>2859150</v>
      </c>
      <c r="N189" s="94"/>
      <c r="O189" s="698">
        <f>SUM(O187:O188)</f>
        <v>3257000</v>
      </c>
      <c r="P189" s="676"/>
    </row>
    <row r="190" spans="1:16" ht="13.5" customHeight="1">
      <c r="A190" s="118"/>
      <c r="B190" s="146"/>
      <c r="C190" s="167"/>
      <c r="D190" s="380"/>
      <c r="E190" s="118"/>
      <c r="F190" s="380"/>
      <c r="G190" s="118"/>
      <c r="H190" s="167"/>
      <c r="I190" s="118"/>
      <c r="J190" s="167"/>
      <c r="K190" s="118"/>
      <c r="L190" s="167"/>
      <c r="M190" s="118"/>
      <c r="N190" s="167"/>
      <c r="O190" s="118"/>
    </row>
    <row r="191" spans="1:16" ht="22.5" customHeight="1">
      <c r="A191" s="76" t="s">
        <v>361</v>
      </c>
      <c r="B191" s="210" t="s">
        <v>362</v>
      </c>
      <c r="C191" s="530">
        <f>SUM(C7:C57)</f>
        <v>0</v>
      </c>
      <c r="D191" s="807"/>
      <c r="E191" s="533">
        <f>SUM(E7:E57)</f>
        <v>1.0100000000000002</v>
      </c>
      <c r="F191" s="498"/>
      <c r="G191" s="533">
        <f>SUM(G7:G57)</f>
        <v>47.5</v>
      </c>
      <c r="H191" s="385"/>
      <c r="I191" s="533">
        <f>SUM(I7:I57)</f>
        <v>56.5</v>
      </c>
      <c r="J191" s="385"/>
      <c r="K191" s="533">
        <f>SUM(K7:K57)</f>
        <v>63.5</v>
      </c>
      <c r="L191" s="385"/>
      <c r="M191" s="533">
        <f>SUM(M7:M57)</f>
        <v>69</v>
      </c>
      <c r="N191" s="385"/>
      <c r="O191" s="533">
        <f>SUM(O7:O57)</f>
        <v>78</v>
      </c>
      <c r="P191" s="676"/>
    </row>
    <row r="192" spans="1:16" ht="13.5" customHeight="1">
      <c r="A192" s="581"/>
      <c r="B192" s="165"/>
      <c r="C192" s="602"/>
      <c r="D192" s="853"/>
      <c r="E192" s="172"/>
      <c r="F192" s="853"/>
      <c r="G192" s="172"/>
      <c r="H192" s="602"/>
      <c r="I192" s="172"/>
      <c r="J192" s="602"/>
      <c r="K192" s="172"/>
      <c r="L192" s="602"/>
      <c r="M192" s="172"/>
      <c r="N192" s="602"/>
      <c r="O192" s="172"/>
    </row>
    <row r="193" spans="1:16" ht="18.75" customHeight="1">
      <c r="A193" s="449" t="s">
        <v>363</v>
      </c>
      <c r="B193" s="196">
        <v>0.02</v>
      </c>
      <c r="C193" s="631"/>
      <c r="D193" s="337"/>
      <c r="E193" s="337"/>
      <c r="F193" s="337"/>
      <c r="G193" s="337"/>
      <c r="H193" s="337"/>
      <c r="I193" s="337"/>
      <c r="J193" s="337"/>
      <c r="K193" s="337"/>
      <c r="L193" s="337"/>
      <c r="M193" s="337"/>
      <c r="N193" s="337"/>
      <c r="O193" s="337"/>
    </row>
    <row r="194" spans="1:16" ht="20.25" customHeight="1">
      <c r="A194" s="449" t="s">
        <v>364</v>
      </c>
      <c r="B194" s="319">
        <f>(9/100)-B193</f>
        <v>6.9999999999999993E-2</v>
      </c>
      <c r="C194" s="45"/>
      <c r="D194" s="337"/>
      <c r="E194" s="337"/>
      <c r="F194" s="337"/>
      <c r="G194" s="290"/>
      <c r="H194" s="405"/>
      <c r="I194" s="290"/>
      <c r="J194" s="405"/>
      <c r="K194" s="290"/>
      <c r="L194" s="405"/>
      <c r="M194" s="290"/>
      <c r="N194" s="405"/>
      <c r="O194" s="290"/>
    </row>
    <row r="195" spans="1:16" ht="21.75" customHeight="1">
      <c r="A195" s="76" t="s">
        <v>365</v>
      </c>
      <c r="B195" s="79" t="s">
        <v>362</v>
      </c>
      <c r="C195" s="248" t="e">
        <f>#REF!*$B$193</f>
        <v>#REF!</v>
      </c>
      <c r="D195" s="337"/>
      <c r="E195" s="337"/>
      <c r="F195" s="614"/>
      <c r="G195" s="698">
        <f>$B$193*G183</f>
        <v>28380</v>
      </c>
      <c r="H195" s="500"/>
      <c r="I195" s="698">
        <f>$B$193*I183</f>
        <v>33420</v>
      </c>
      <c r="J195" s="500"/>
      <c r="K195" s="698">
        <f>$B$193*K183</f>
        <v>37900</v>
      </c>
      <c r="L195" s="500"/>
      <c r="M195" s="698">
        <f>$B$193*M183</f>
        <v>40900</v>
      </c>
      <c r="N195" s="500"/>
      <c r="O195" s="698">
        <f>$B$193*O183</f>
        <v>46440</v>
      </c>
      <c r="P195" s="676"/>
    </row>
    <row r="196" spans="1:16" ht="13.5" customHeight="1">
      <c r="A196" s="581"/>
      <c r="B196" s="29"/>
      <c r="C196" s="347"/>
      <c r="D196" s="337"/>
      <c r="E196" s="337"/>
      <c r="F196" s="337"/>
      <c r="G196" s="234"/>
      <c r="H196" s="763"/>
      <c r="I196" s="234"/>
      <c r="J196" s="763"/>
      <c r="K196" s="234"/>
      <c r="L196" s="763"/>
      <c r="M196" s="234"/>
      <c r="N196" s="763"/>
      <c r="O196" s="234"/>
    </row>
    <row r="197" spans="1:16" ht="19.5" customHeight="1">
      <c r="A197" s="502" t="s">
        <v>366</v>
      </c>
      <c r="B197" s="319">
        <v>0.106</v>
      </c>
      <c r="C197" s="644" t="e">
        <f>#REF!*0.11</f>
        <v>#REF!</v>
      </c>
      <c r="D197" s="337"/>
      <c r="E197" s="337"/>
      <c r="F197" s="614"/>
      <c r="G197" s="698">
        <f>$B$197*G185</f>
        <v>129108</v>
      </c>
      <c r="H197" s="607"/>
      <c r="I197" s="4">
        <f>$B$197*I185</f>
        <v>155820</v>
      </c>
      <c r="J197" s="607"/>
      <c r="K197" s="4">
        <f>$B$197*K185</f>
        <v>173204</v>
      </c>
      <c r="L197" s="607"/>
      <c r="M197" s="4">
        <f>$B$197*M185</f>
        <v>186878</v>
      </c>
      <c r="N197" s="607"/>
      <c r="O197" s="4">
        <f>$B$197*O185</f>
        <v>209880</v>
      </c>
      <c r="P197" s="676"/>
    </row>
    <row r="198" spans="1:16" ht="13.5" customHeight="1">
      <c r="A198" s="581"/>
      <c r="B198" s="581"/>
      <c r="C198" s="347"/>
      <c r="D198" s="337"/>
      <c r="E198" s="290"/>
      <c r="F198" s="337"/>
      <c r="G198" s="308"/>
      <c r="H198" s="164"/>
      <c r="I198" s="234"/>
      <c r="J198" s="164"/>
      <c r="K198" s="308"/>
      <c r="L198" s="164"/>
      <c r="M198" s="308"/>
      <c r="N198" s="164"/>
      <c r="O198" s="308"/>
    </row>
    <row r="199" spans="1:16" ht="21.75" customHeight="1">
      <c r="A199" s="76" t="s">
        <v>367</v>
      </c>
      <c r="B199" s="319">
        <v>6.2E-2</v>
      </c>
      <c r="C199" s="644" t="e">
        <f>#REF!*0.062</f>
        <v>#REF!</v>
      </c>
      <c r="D199" s="614"/>
      <c r="E199" s="698">
        <f>E188*$B$199</f>
        <v>3109.92</v>
      </c>
      <c r="F199" s="442"/>
      <c r="G199" s="698">
        <f>G188*$B$199</f>
        <v>26412</v>
      </c>
      <c r="H199" s="701"/>
      <c r="I199" s="4">
        <f>I188*$B$199</f>
        <v>31372</v>
      </c>
      <c r="J199" s="701"/>
      <c r="K199" s="4">
        <f>K188*$B$199</f>
        <v>39432</v>
      </c>
      <c r="L199" s="701"/>
      <c r="M199" s="4">
        <f>M188*$B$199</f>
        <v>45012</v>
      </c>
      <c r="N199" s="701"/>
      <c r="O199" s="4">
        <f>O188*$B$199</f>
        <v>51832</v>
      </c>
      <c r="P199" s="676"/>
    </row>
    <row r="200" spans="1:16" ht="13.5" customHeight="1">
      <c r="A200" s="581"/>
      <c r="B200" s="581"/>
      <c r="C200" s="347"/>
      <c r="D200" s="337"/>
      <c r="E200" s="14"/>
      <c r="F200" s="337"/>
      <c r="G200" s="308"/>
      <c r="H200" s="164"/>
      <c r="I200" s="308"/>
      <c r="J200" s="164"/>
      <c r="K200" s="308"/>
      <c r="L200" s="164"/>
      <c r="M200" s="308"/>
      <c r="N200" s="164"/>
      <c r="O200" s="308"/>
    </row>
    <row r="201" spans="1:16" ht="24" customHeight="1">
      <c r="A201" s="76" t="s">
        <v>368</v>
      </c>
      <c r="B201" s="319">
        <v>1.4500000000000001E-2</v>
      </c>
      <c r="C201" s="647"/>
      <c r="D201" s="31"/>
      <c r="E201" s="698">
        <f>E189*$B$201</f>
        <v>727.32</v>
      </c>
      <c r="F201" s="626"/>
      <c r="G201" s="698">
        <f>G189*$B$201</f>
        <v>27635.550000000003</v>
      </c>
      <c r="H201" s="701"/>
      <c r="I201" s="4">
        <f>I189*$B$201</f>
        <v>32632.25</v>
      </c>
      <c r="J201" s="701"/>
      <c r="K201" s="4">
        <f>K189*$B$201</f>
        <v>37884.15</v>
      </c>
      <c r="L201" s="701"/>
      <c r="M201" s="4">
        <f>M189*$B$201</f>
        <v>41457.675000000003</v>
      </c>
      <c r="N201" s="701"/>
      <c r="O201" s="4">
        <f>O189*$B$201</f>
        <v>47226.5</v>
      </c>
      <c r="P201" s="676"/>
    </row>
    <row r="202" spans="1:16" ht="13.5" customHeight="1">
      <c r="A202" s="27"/>
      <c r="B202" s="27"/>
      <c r="C202" s="441"/>
      <c r="D202" s="441"/>
      <c r="E202" s="27"/>
      <c r="F202" s="151"/>
      <c r="G202" s="475"/>
      <c r="H202" s="764"/>
      <c r="I202" s="475"/>
      <c r="J202" s="764"/>
      <c r="K202" s="475"/>
      <c r="L202" s="764"/>
      <c r="M202" s="475"/>
      <c r="N202" s="764"/>
      <c r="O202" s="475"/>
    </row>
    <row r="203" spans="1:16" ht="24" customHeight="1">
      <c r="A203" s="76" t="s">
        <v>369</v>
      </c>
      <c r="B203" s="818">
        <v>7.0000000000000007E-2</v>
      </c>
      <c r="C203" s="676"/>
      <c r="D203" s="400"/>
      <c r="E203" s="527">
        <f>E188*$B$203</f>
        <v>3511.2000000000003</v>
      </c>
      <c r="F203" s="550"/>
      <c r="G203" s="527">
        <f>G188*$B$203</f>
        <v>29820.000000000004</v>
      </c>
      <c r="H203" s="508"/>
      <c r="I203" s="527">
        <f>I188*$B$203</f>
        <v>35420</v>
      </c>
      <c r="J203" s="508"/>
      <c r="K203" s="527">
        <f>K188*$B$203</f>
        <v>44520.000000000007</v>
      </c>
      <c r="L203" s="508"/>
      <c r="M203" s="527">
        <f>M188*$B$203</f>
        <v>50820.000000000007</v>
      </c>
      <c r="N203" s="508"/>
      <c r="O203" s="527">
        <f>O188*$B$203</f>
        <v>58520.000000000007</v>
      </c>
      <c r="P203" s="676"/>
    </row>
    <row r="204" spans="1:16">
      <c r="A204" s="391"/>
      <c r="B204" s="391"/>
      <c r="C204" s="151"/>
      <c r="D204" s="151"/>
      <c r="E204" s="391"/>
      <c r="F204" s="151"/>
      <c r="G204" s="391"/>
      <c r="H204" s="151"/>
      <c r="I204" s="391"/>
      <c r="J204" s="151"/>
      <c r="K204" s="391"/>
      <c r="L204" s="151"/>
      <c r="M204" s="391"/>
      <c r="N204" s="151"/>
      <c r="O204" s="391"/>
    </row>
    <row r="205" spans="1:16">
      <c r="A205" s="151"/>
      <c r="B205" s="151"/>
      <c r="C205" s="151"/>
      <c r="D205" s="151"/>
      <c r="E205" s="151"/>
      <c r="F205" s="151"/>
      <c r="G205" s="151"/>
      <c r="H205" s="151"/>
      <c r="I205" s="151"/>
      <c r="J205" s="151"/>
      <c r="K205" s="151"/>
      <c r="L205" s="151"/>
      <c r="M205" s="151"/>
      <c r="N205" s="151"/>
      <c r="O205" s="151"/>
    </row>
    <row r="206" spans="1:16">
      <c r="A206" s="151"/>
      <c r="B206" s="151"/>
      <c r="C206" s="151"/>
      <c r="D206" s="151"/>
      <c r="E206" s="151"/>
      <c r="F206" s="151"/>
      <c r="G206" s="151"/>
      <c r="H206" s="151"/>
      <c r="I206" s="151"/>
      <c r="J206" s="151"/>
      <c r="K206" s="151"/>
      <c r="L206" s="151"/>
      <c r="M206" s="151"/>
      <c r="N206" s="151"/>
      <c r="O206" s="151"/>
    </row>
    <row r="207" spans="1:16">
      <c r="A207" s="151"/>
      <c r="B207" s="151"/>
      <c r="C207" s="151"/>
      <c r="D207" s="151"/>
      <c r="E207" s="151"/>
      <c r="F207" s="151"/>
      <c r="G207" s="151"/>
      <c r="H207" s="151"/>
      <c r="I207" s="151"/>
      <c r="J207" s="151"/>
      <c r="K207" s="151"/>
      <c r="L207" s="151"/>
      <c r="M207" s="151"/>
      <c r="N207" s="151"/>
      <c r="O207" s="151"/>
    </row>
    <row r="208" spans="1:16">
      <c r="A208" s="151"/>
      <c r="B208" s="151"/>
      <c r="C208" s="151"/>
      <c r="D208" s="151"/>
      <c r="E208" s="151"/>
      <c r="F208" s="151"/>
      <c r="G208" s="151"/>
      <c r="H208" s="151"/>
      <c r="I208" s="151"/>
      <c r="J208" s="151"/>
      <c r="K208" s="151"/>
      <c r="L208" s="151"/>
      <c r="M208" s="151"/>
      <c r="N208" s="151"/>
      <c r="O208" s="151"/>
    </row>
    <row r="209" spans="1:15">
      <c r="A209" s="151"/>
      <c r="B209" s="151"/>
      <c r="C209" s="151"/>
      <c r="D209" s="151"/>
      <c r="E209" s="151"/>
      <c r="F209" s="151"/>
      <c r="G209" s="151"/>
      <c r="H209" s="151"/>
      <c r="I209" s="151"/>
      <c r="J209" s="151"/>
      <c r="K209" s="151"/>
      <c r="L209" s="151"/>
      <c r="M209" s="151"/>
      <c r="N209" s="151"/>
      <c r="O209" s="151"/>
    </row>
    <row r="210" spans="1:15">
      <c r="A210" s="151"/>
      <c r="B210" s="151"/>
      <c r="C210" s="151"/>
      <c r="D210" s="151"/>
      <c r="E210" s="151"/>
      <c r="F210" s="151"/>
      <c r="G210" s="151"/>
      <c r="H210" s="151"/>
      <c r="I210" s="151"/>
      <c r="J210" s="151"/>
      <c r="K210" s="151"/>
      <c r="L210" s="151"/>
      <c r="M210" s="151"/>
      <c r="N210" s="151"/>
      <c r="O210" s="151"/>
    </row>
    <row r="211" spans="1:15">
      <c r="A211" s="151"/>
      <c r="B211" s="151"/>
      <c r="C211" s="151"/>
      <c r="D211" s="151"/>
      <c r="E211" s="151"/>
      <c r="F211" s="151"/>
      <c r="G211" s="151"/>
      <c r="H211" s="151"/>
      <c r="I211" s="151"/>
      <c r="J211" s="151"/>
      <c r="K211" s="151"/>
      <c r="L211" s="151"/>
      <c r="M211" s="151"/>
      <c r="N211" s="151"/>
      <c r="O211" s="151"/>
    </row>
    <row r="212" spans="1:15">
      <c r="A212" s="151"/>
      <c r="B212" s="151"/>
      <c r="C212" s="151"/>
      <c r="D212" s="151"/>
      <c r="E212" s="151"/>
      <c r="F212" s="151"/>
      <c r="G212" s="151"/>
      <c r="H212" s="151"/>
      <c r="I212" s="151"/>
      <c r="J212" s="151"/>
      <c r="K212" s="151"/>
      <c r="L212" s="151"/>
      <c r="M212" s="151"/>
      <c r="N212" s="151"/>
      <c r="O212" s="151"/>
    </row>
    <row r="213" spans="1:15">
      <c r="A213" s="151"/>
      <c r="B213" s="151"/>
      <c r="C213" s="151"/>
      <c r="D213" s="151"/>
      <c r="E213" s="151"/>
      <c r="F213" s="151"/>
      <c r="G213" s="151"/>
      <c r="H213" s="151"/>
      <c r="I213" s="151"/>
      <c r="J213" s="151"/>
      <c r="K213" s="151"/>
      <c r="L213" s="151"/>
      <c r="M213" s="151"/>
      <c r="N213" s="151"/>
      <c r="O213" s="151"/>
    </row>
    <row r="214" spans="1:15">
      <c r="A214" s="151"/>
      <c r="B214" s="151"/>
      <c r="C214" s="151"/>
      <c r="D214" s="151"/>
      <c r="E214" s="151"/>
      <c r="F214" s="151"/>
      <c r="G214" s="151"/>
      <c r="H214" s="151"/>
      <c r="I214" s="151"/>
      <c r="J214" s="151"/>
      <c r="K214" s="151"/>
      <c r="L214" s="151"/>
      <c r="M214" s="151"/>
      <c r="N214" s="151"/>
      <c r="O214" s="151"/>
    </row>
    <row r="215" spans="1:15">
      <c r="A215" s="151"/>
      <c r="B215" s="151"/>
      <c r="C215" s="151"/>
      <c r="D215" s="151"/>
      <c r="E215" s="151"/>
      <c r="F215" s="151"/>
      <c r="G215" s="151"/>
      <c r="H215" s="151"/>
      <c r="I215" s="151"/>
      <c r="J215" s="151"/>
      <c r="K215" s="151"/>
      <c r="L215" s="151"/>
      <c r="M215" s="151"/>
      <c r="N215" s="151"/>
      <c r="O215" s="151"/>
    </row>
    <row r="216" spans="1:15">
      <c r="A216" s="151"/>
      <c r="B216" s="151"/>
      <c r="C216" s="151"/>
      <c r="D216" s="151"/>
      <c r="E216" s="151"/>
      <c r="F216" s="151"/>
      <c r="G216" s="151"/>
      <c r="H216" s="151"/>
      <c r="I216" s="151"/>
      <c r="J216" s="151"/>
      <c r="K216" s="151"/>
      <c r="L216" s="151"/>
      <c r="M216" s="151"/>
      <c r="N216" s="151"/>
      <c r="O216" s="151"/>
    </row>
    <row r="217" spans="1:15">
      <c r="A217" s="151"/>
      <c r="B217" s="151"/>
      <c r="C217" s="151"/>
      <c r="D217" s="151"/>
      <c r="E217" s="151"/>
      <c r="F217" s="151"/>
      <c r="G217" s="151"/>
      <c r="H217" s="151"/>
      <c r="I217" s="151"/>
      <c r="J217" s="151"/>
      <c r="K217" s="151"/>
      <c r="L217" s="151"/>
      <c r="M217" s="151"/>
      <c r="N217" s="151"/>
      <c r="O217" s="151"/>
    </row>
    <row r="218" spans="1:15">
      <c r="A218" s="151"/>
      <c r="B218" s="151"/>
      <c r="C218" s="151"/>
      <c r="D218" s="151"/>
      <c r="E218" s="151"/>
      <c r="F218" s="151"/>
      <c r="G218" s="151"/>
      <c r="H218" s="151"/>
      <c r="I218" s="151"/>
      <c r="J218" s="151"/>
      <c r="K218" s="151"/>
      <c r="L218" s="151"/>
      <c r="M218" s="151"/>
      <c r="N218" s="151"/>
      <c r="O218" s="151"/>
    </row>
    <row r="219" spans="1:15">
      <c r="A219" s="151"/>
      <c r="B219" s="151"/>
      <c r="C219" s="151"/>
      <c r="D219" s="151"/>
      <c r="E219" s="151"/>
      <c r="F219" s="151"/>
      <c r="G219" s="151"/>
      <c r="H219" s="151"/>
      <c r="I219" s="151"/>
      <c r="J219" s="151"/>
      <c r="K219" s="151"/>
      <c r="L219" s="151"/>
      <c r="M219" s="151"/>
      <c r="N219" s="151"/>
      <c r="O219" s="151"/>
    </row>
    <row r="220" spans="1:15">
      <c r="A220" s="184"/>
      <c r="B220" s="151"/>
      <c r="C220" s="151"/>
      <c r="D220" s="151"/>
      <c r="E220" s="151"/>
      <c r="F220" s="151"/>
      <c r="G220" s="151"/>
      <c r="H220" s="151"/>
      <c r="I220" s="151"/>
      <c r="J220" s="151"/>
      <c r="K220" s="151"/>
      <c r="L220" s="151"/>
      <c r="M220" s="151"/>
      <c r="N220" s="151"/>
      <c r="O220" s="151"/>
    </row>
    <row r="221" spans="1:15">
      <c r="A221" s="151"/>
      <c r="B221" s="151"/>
      <c r="C221" s="151"/>
      <c r="D221" s="151"/>
      <c r="E221" s="151"/>
      <c r="F221" s="151"/>
      <c r="G221" s="151"/>
      <c r="H221" s="151"/>
      <c r="I221" s="151"/>
      <c r="J221" s="151"/>
      <c r="K221" s="151"/>
      <c r="L221" s="151"/>
      <c r="M221" s="151"/>
      <c r="N221" s="151"/>
      <c r="O221" s="151"/>
    </row>
    <row r="222" spans="1:15">
      <c r="A222" s="151"/>
      <c r="B222" s="151"/>
      <c r="C222" s="151"/>
      <c r="D222" s="151"/>
      <c r="E222" s="151"/>
      <c r="F222" s="151"/>
      <c r="G222" s="151"/>
      <c r="H222" s="151"/>
      <c r="I222" s="151"/>
      <c r="J222" s="151"/>
      <c r="K222" s="151"/>
      <c r="L222" s="151"/>
      <c r="M222" s="151"/>
      <c r="N222" s="151"/>
      <c r="O222" s="151"/>
    </row>
    <row r="223" spans="1:15">
      <c r="A223" s="151"/>
      <c r="B223" s="151"/>
      <c r="C223" s="151"/>
      <c r="D223" s="151"/>
      <c r="E223" s="151"/>
      <c r="F223" s="151"/>
      <c r="G223" s="151"/>
      <c r="H223" s="151"/>
      <c r="I223" s="151"/>
      <c r="J223" s="151"/>
      <c r="K223" s="151"/>
      <c r="L223" s="151"/>
      <c r="M223" s="151"/>
      <c r="N223" s="151"/>
      <c r="O223" s="151"/>
    </row>
    <row r="224" spans="1:15">
      <c r="A224" s="151"/>
      <c r="B224" s="151"/>
      <c r="C224" s="151"/>
      <c r="D224" s="151"/>
      <c r="E224" s="151"/>
      <c r="F224" s="151"/>
      <c r="G224" s="151"/>
      <c r="H224" s="151"/>
      <c r="I224" s="151"/>
      <c r="J224" s="151"/>
      <c r="K224" s="151"/>
      <c r="L224" s="151"/>
      <c r="M224" s="151"/>
      <c r="N224" s="151"/>
      <c r="O224" s="151"/>
    </row>
  </sheetData>
  <mergeCells count="6">
    <mergeCell ref="B117:O117"/>
    <mergeCell ref="A1:B1"/>
    <mergeCell ref="B4:O4"/>
    <mergeCell ref="D5:O5"/>
    <mergeCell ref="B60:O60"/>
    <mergeCell ref="A62:B62"/>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239"/>
  <sheetViews>
    <sheetView zoomScale="77" zoomScaleNormal="77" zoomScalePageLayoutView="77" workbookViewId="0">
      <selection activeCell="C170" sqref="C170"/>
    </sheetView>
  </sheetViews>
  <sheetFormatPr baseColWidth="10" defaultColWidth="8.6640625" defaultRowHeight="12.75" customHeight="1"/>
  <cols>
    <col min="2" max="2" width="79.5" customWidth="1"/>
    <col min="3" max="3" width="20.83203125" customWidth="1"/>
    <col min="4" max="4" width="17.5" customWidth="1"/>
    <col min="5" max="5" width="18.5" customWidth="1"/>
    <col min="6" max="6" width="17.1640625" customWidth="1"/>
    <col min="7" max="7" width="14.33203125" customWidth="1"/>
    <col min="9" max="9" width="79.5" customWidth="1"/>
    <col min="10" max="10" width="20.83203125" customWidth="1"/>
    <col min="11" max="11" width="17.5" customWidth="1"/>
    <col min="12" max="12" width="18.5" customWidth="1"/>
    <col min="13" max="13" width="17.1640625" customWidth="1"/>
    <col min="14" max="14" width="14.33203125" customWidth="1"/>
    <col min="16" max="16" width="52.33203125" customWidth="1"/>
    <col min="17" max="17" width="20.83203125" customWidth="1"/>
    <col min="18" max="18" width="17.5" customWidth="1"/>
    <col min="19" max="19" width="18.5" customWidth="1"/>
    <col min="20" max="20" width="17.1640625" customWidth="1"/>
    <col min="21" max="21" width="14.33203125" customWidth="1"/>
    <col min="23" max="23" width="52.33203125" customWidth="1"/>
    <col min="24" max="24" width="20.83203125" customWidth="1"/>
    <col min="25" max="25" width="17.5" customWidth="1"/>
    <col min="26" max="26" width="18.5" customWidth="1"/>
    <col min="27" max="27" width="17.1640625" customWidth="1"/>
    <col min="28" max="28" width="14.33203125" customWidth="1"/>
    <col min="30" max="30" width="52.33203125" customWidth="1"/>
    <col min="31" max="31" width="20.83203125" customWidth="1"/>
    <col min="32" max="32" width="17.5" customWidth="1"/>
    <col min="33" max="33" width="18.5" customWidth="1"/>
    <col min="34" max="34" width="17.1640625" customWidth="1"/>
    <col min="35" max="35" width="14.33203125" customWidth="1"/>
  </cols>
  <sheetData>
    <row r="1" spans="1:35" ht="19.5" customHeight="1">
      <c r="A1" s="400"/>
      <c r="B1" s="875" t="str">
        <f>'Budget with Assumptions'!$A$2</f>
        <v>Horizon Science Academy South Chicago</v>
      </c>
      <c r="C1" s="876"/>
      <c r="D1" s="26"/>
      <c r="E1" s="426"/>
      <c r="F1" s="43"/>
      <c r="G1" s="518"/>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row>
    <row r="2" spans="1:35" ht="15" customHeight="1">
      <c r="A2" s="151"/>
      <c r="B2" s="845"/>
      <c r="C2" s="36"/>
      <c r="D2" s="426"/>
      <c r="E2" s="426"/>
      <c r="F2" s="43"/>
      <c r="G2" s="518"/>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5" ht="15" customHeight="1">
      <c r="A3" s="151"/>
      <c r="B3" s="604"/>
      <c r="C3" s="426"/>
      <c r="D3" s="426"/>
      <c r="E3" s="426"/>
      <c r="F3" s="43"/>
      <c r="G3" s="518"/>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35" ht="15" customHeight="1">
      <c r="A4" s="151"/>
      <c r="B4" s="604"/>
      <c r="C4" s="426"/>
      <c r="D4" s="426"/>
      <c r="E4" s="426"/>
      <c r="F4" s="43"/>
      <c r="G4" s="518"/>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row>
    <row r="5" spans="1:35" ht="15.75" customHeight="1">
      <c r="A5" s="151"/>
      <c r="B5" s="368"/>
      <c r="C5" s="806"/>
      <c r="D5" s="806"/>
      <c r="E5" s="806"/>
      <c r="F5" s="856"/>
      <c r="G5" s="229"/>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row>
    <row r="6" spans="1:35" ht="15.75" customHeight="1">
      <c r="A6" s="400"/>
      <c r="B6" s="879" t="s">
        <v>484</v>
      </c>
      <c r="C6" s="880"/>
      <c r="D6" s="880"/>
      <c r="E6" s="880"/>
      <c r="F6" s="880"/>
      <c r="G6" s="874"/>
      <c r="H6" s="622"/>
      <c r="I6" s="879" t="s">
        <v>484</v>
      </c>
      <c r="J6" s="880"/>
      <c r="K6" s="880"/>
      <c r="L6" s="880"/>
      <c r="M6" s="880"/>
      <c r="N6" s="874"/>
      <c r="O6" s="622"/>
      <c r="P6" s="879" t="s">
        <v>484</v>
      </c>
      <c r="Q6" s="880"/>
      <c r="R6" s="880"/>
      <c r="S6" s="880"/>
      <c r="T6" s="880"/>
      <c r="U6" s="874"/>
      <c r="V6" s="622"/>
      <c r="W6" s="879" t="s">
        <v>484</v>
      </c>
      <c r="X6" s="880"/>
      <c r="Y6" s="880"/>
      <c r="Z6" s="880"/>
      <c r="AA6" s="880"/>
      <c r="AB6" s="874"/>
      <c r="AC6" s="622"/>
      <c r="AD6" s="879" t="s">
        <v>484</v>
      </c>
      <c r="AE6" s="880"/>
      <c r="AF6" s="880"/>
      <c r="AG6" s="880"/>
      <c r="AH6" s="880"/>
      <c r="AI6" s="874"/>
    </row>
    <row r="7" spans="1:35" ht="22.5" customHeight="1">
      <c r="A7" s="400"/>
      <c r="B7" s="881">
        <f>'Budget with Assumptions'!L9</f>
        <v>1</v>
      </c>
      <c r="C7" s="882"/>
      <c r="D7" s="882"/>
      <c r="E7" s="882"/>
      <c r="F7" s="882"/>
      <c r="G7" s="883"/>
      <c r="H7" s="626"/>
      <c r="I7" s="881">
        <f>'Budget with Assumptions'!N9</f>
        <v>2</v>
      </c>
      <c r="J7" s="882"/>
      <c r="K7" s="882"/>
      <c r="L7" s="882"/>
      <c r="M7" s="882"/>
      <c r="N7" s="883"/>
      <c r="O7" s="626"/>
      <c r="P7" s="881">
        <f>'Budget with Assumptions'!P9</f>
        <v>3</v>
      </c>
      <c r="Q7" s="882"/>
      <c r="R7" s="882"/>
      <c r="S7" s="882"/>
      <c r="T7" s="882"/>
      <c r="U7" s="883"/>
      <c r="V7" s="626"/>
      <c r="W7" s="881">
        <f>'Budget with Assumptions'!R9</f>
        <v>4</v>
      </c>
      <c r="X7" s="882"/>
      <c r="Y7" s="882"/>
      <c r="Z7" s="882"/>
      <c r="AA7" s="882"/>
      <c r="AB7" s="883"/>
      <c r="AC7" s="626"/>
      <c r="AD7" s="881">
        <f>'Budget with Assumptions'!T9</f>
        <v>5</v>
      </c>
      <c r="AE7" s="882"/>
      <c r="AF7" s="882"/>
      <c r="AG7" s="882"/>
      <c r="AH7" s="882"/>
      <c r="AI7" s="883"/>
    </row>
    <row r="8" spans="1:35" ht="15.75" customHeight="1">
      <c r="A8" s="400"/>
      <c r="B8" s="672"/>
      <c r="C8" s="236"/>
      <c r="D8" s="36"/>
      <c r="E8" s="36"/>
      <c r="F8" s="270"/>
      <c r="G8" s="447"/>
      <c r="H8" s="626"/>
      <c r="I8" s="826"/>
      <c r="J8" s="27"/>
      <c r="K8" s="391"/>
      <c r="L8" s="391"/>
      <c r="M8" s="207"/>
      <c r="N8" s="622"/>
      <c r="O8" s="626"/>
      <c r="P8" s="826"/>
      <c r="Q8" s="27"/>
      <c r="R8" s="391"/>
      <c r="S8" s="391"/>
      <c r="T8" s="207"/>
      <c r="U8" s="622"/>
      <c r="V8" s="626"/>
      <c r="W8" s="826"/>
      <c r="X8" s="27"/>
      <c r="Y8" s="391"/>
      <c r="Z8" s="391"/>
      <c r="AA8" s="207"/>
      <c r="AB8" s="622"/>
      <c r="AC8" s="626"/>
      <c r="AD8" s="826"/>
      <c r="AE8" s="27"/>
      <c r="AF8" s="391"/>
      <c r="AG8" s="391"/>
      <c r="AH8" s="207"/>
      <c r="AI8" s="622"/>
    </row>
    <row r="9" spans="1:35" ht="28.5" customHeight="1">
      <c r="A9" s="400"/>
      <c r="B9" s="881">
        <f>B7</f>
        <v>1</v>
      </c>
      <c r="C9" s="883"/>
      <c r="D9" s="26"/>
      <c r="E9" s="426"/>
      <c r="F9" s="43"/>
      <c r="G9" s="582"/>
      <c r="H9" s="626"/>
      <c r="I9" s="881">
        <f>I7</f>
        <v>2</v>
      </c>
      <c r="J9" s="883"/>
      <c r="K9" s="26"/>
      <c r="L9" s="426"/>
      <c r="M9" s="93"/>
      <c r="N9" s="626"/>
      <c r="O9" s="626"/>
      <c r="P9" s="881">
        <f>P7</f>
        <v>3</v>
      </c>
      <c r="Q9" s="883"/>
      <c r="R9" s="26"/>
      <c r="S9" s="426"/>
      <c r="T9" s="93"/>
      <c r="U9" s="626"/>
      <c r="V9" s="626"/>
      <c r="W9" s="881">
        <f>W7</f>
        <v>4</v>
      </c>
      <c r="X9" s="883"/>
      <c r="Y9" s="26"/>
      <c r="Z9" s="426"/>
      <c r="AA9" s="93"/>
      <c r="AB9" s="626"/>
      <c r="AC9" s="626"/>
      <c r="AD9" s="881">
        <f>AD7</f>
        <v>5</v>
      </c>
      <c r="AE9" s="883"/>
      <c r="AF9" s="26"/>
      <c r="AG9" s="426"/>
      <c r="AH9" s="93"/>
      <c r="AI9" s="626"/>
    </row>
    <row r="10" spans="1:35" ht="15.75" customHeight="1">
      <c r="A10" s="400"/>
      <c r="B10" s="637" t="s">
        <v>370</v>
      </c>
      <c r="C10" s="841" t="s">
        <v>371</v>
      </c>
      <c r="D10" s="26"/>
      <c r="E10" s="426"/>
      <c r="F10" s="43"/>
      <c r="G10" s="582"/>
      <c r="H10" s="626"/>
      <c r="I10" s="637" t="s">
        <v>370</v>
      </c>
      <c r="J10" s="841" t="s">
        <v>371</v>
      </c>
      <c r="K10" s="26"/>
      <c r="L10" s="426"/>
      <c r="M10" s="93"/>
      <c r="N10" s="626"/>
      <c r="O10" s="626"/>
      <c r="P10" s="637" t="s">
        <v>370</v>
      </c>
      <c r="Q10" s="841" t="s">
        <v>371</v>
      </c>
      <c r="R10" s="26"/>
      <c r="S10" s="426"/>
      <c r="T10" s="93"/>
      <c r="U10" s="626"/>
      <c r="V10" s="626"/>
      <c r="W10" s="637" t="s">
        <v>370</v>
      </c>
      <c r="X10" s="841" t="s">
        <v>371</v>
      </c>
      <c r="Y10" s="26"/>
      <c r="Z10" s="426"/>
      <c r="AA10" s="93"/>
      <c r="AB10" s="626"/>
      <c r="AC10" s="626"/>
      <c r="AD10" s="637" t="s">
        <v>370</v>
      </c>
      <c r="AE10" s="841" t="s">
        <v>371</v>
      </c>
      <c r="AF10" s="26"/>
      <c r="AG10" s="426"/>
      <c r="AH10" s="93"/>
      <c r="AI10" s="626"/>
    </row>
    <row r="11" spans="1:35" ht="15" customHeight="1">
      <c r="A11" s="400"/>
      <c r="B11" s="230" t="s">
        <v>372</v>
      </c>
      <c r="C11" s="235">
        <v>5070.6499999999996</v>
      </c>
      <c r="D11" s="656"/>
      <c r="E11" s="426"/>
      <c r="F11" s="43"/>
      <c r="G11" s="582"/>
      <c r="H11" s="626"/>
      <c r="I11" s="230" t="s">
        <v>372</v>
      </c>
      <c r="J11" s="235">
        <f>$C$11</f>
        <v>5070.6499999999996</v>
      </c>
      <c r="K11" s="656"/>
      <c r="L11" s="426"/>
      <c r="M11" s="93"/>
      <c r="N11" s="626"/>
      <c r="O11" s="626"/>
      <c r="P11" s="230" t="s">
        <v>372</v>
      </c>
      <c r="Q11" s="235">
        <f>$C$11</f>
        <v>5070.6499999999996</v>
      </c>
      <c r="R11" s="656"/>
      <c r="S11" s="426"/>
      <c r="T11" s="93"/>
      <c r="U11" s="626"/>
      <c r="V11" s="626"/>
      <c r="W11" s="230" t="s">
        <v>372</v>
      </c>
      <c r="X11" s="235">
        <f>$C$11</f>
        <v>5070.6499999999996</v>
      </c>
      <c r="Y11" s="656"/>
      <c r="Z11" s="426"/>
      <c r="AA11" s="93"/>
      <c r="AB11" s="626"/>
      <c r="AC11" s="626"/>
      <c r="AD11" s="230" t="s">
        <v>372</v>
      </c>
      <c r="AE11" s="235">
        <f>$C$11</f>
        <v>5070.6499999999996</v>
      </c>
      <c r="AF11" s="656"/>
      <c r="AG11" s="426"/>
      <c r="AH11" s="93"/>
      <c r="AI11" s="626"/>
    </row>
    <row r="12" spans="1:35" ht="15" customHeight="1">
      <c r="A12" s="400"/>
      <c r="B12" s="237" t="s">
        <v>373</v>
      </c>
      <c r="C12" s="467">
        <v>1758.02</v>
      </c>
      <c r="D12" s="656"/>
      <c r="E12" s="426"/>
      <c r="F12" s="43"/>
      <c r="G12" s="582"/>
      <c r="H12" s="626"/>
      <c r="I12" s="237" t="s">
        <v>373</v>
      </c>
      <c r="J12" s="467">
        <f>$C$12</f>
        <v>1758.02</v>
      </c>
      <c r="K12" s="656"/>
      <c r="L12" s="426"/>
      <c r="M12" s="93"/>
      <c r="N12" s="626"/>
      <c r="O12" s="626"/>
      <c r="P12" s="237" t="s">
        <v>373</v>
      </c>
      <c r="Q12" s="467">
        <f>$C$12</f>
        <v>1758.02</v>
      </c>
      <c r="R12" s="656"/>
      <c r="S12" s="426"/>
      <c r="T12" s="93"/>
      <c r="U12" s="626"/>
      <c r="V12" s="626"/>
      <c r="W12" s="237" t="s">
        <v>373</v>
      </c>
      <c r="X12" s="467">
        <f>$C$12</f>
        <v>1758.02</v>
      </c>
      <c r="Y12" s="656"/>
      <c r="Z12" s="426"/>
      <c r="AA12" s="93"/>
      <c r="AB12" s="626"/>
      <c r="AC12" s="626"/>
      <c r="AD12" s="237" t="s">
        <v>373</v>
      </c>
      <c r="AE12" s="467">
        <f>$C$12</f>
        <v>1758.02</v>
      </c>
      <c r="AF12" s="656"/>
      <c r="AG12" s="426"/>
      <c r="AH12" s="93"/>
      <c r="AI12" s="626"/>
    </row>
    <row r="13" spans="1:35" ht="15" customHeight="1">
      <c r="A13" s="400"/>
      <c r="B13" s="671" t="s">
        <v>374</v>
      </c>
      <c r="C13" s="467">
        <v>4738.92</v>
      </c>
      <c r="D13" s="656"/>
      <c r="E13" s="426"/>
      <c r="F13" s="43"/>
      <c r="G13" s="582"/>
      <c r="H13" s="626"/>
      <c r="I13" s="671" t="s">
        <v>374</v>
      </c>
      <c r="J13" s="467">
        <f>$C$13</f>
        <v>4738.92</v>
      </c>
      <c r="K13" s="656"/>
      <c r="L13" s="426"/>
      <c r="M13" s="93"/>
      <c r="N13" s="626"/>
      <c r="O13" s="626"/>
      <c r="P13" s="671" t="s">
        <v>375</v>
      </c>
      <c r="Q13" s="467">
        <f>$C$13</f>
        <v>4738.92</v>
      </c>
      <c r="R13" s="656"/>
      <c r="S13" s="426"/>
      <c r="T13" s="93"/>
      <c r="U13" s="626"/>
      <c r="V13" s="626"/>
      <c r="W13" s="671" t="s">
        <v>376</v>
      </c>
      <c r="X13" s="467">
        <f>$C$13</f>
        <v>4738.92</v>
      </c>
      <c r="Y13" s="656"/>
      <c r="Z13" s="426"/>
      <c r="AA13" s="93"/>
      <c r="AB13" s="626"/>
      <c r="AC13" s="626"/>
      <c r="AD13" s="671" t="s">
        <v>375</v>
      </c>
      <c r="AE13" s="467">
        <f>$C$13</f>
        <v>4738.92</v>
      </c>
      <c r="AF13" s="656"/>
      <c r="AG13" s="426"/>
      <c r="AH13" s="93"/>
      <c r="AI13" s="626"/>
    </row>
    <row r="14" spans="1:35" ht="15" customHeight="1">
      <c r="A14" s="400"/>
      <c r="B14" s="671" t="s">
        <v>377</v>
      </c>
      <c r="C14" s="467">
        <v>1643.01</v>
      </c>
      <c r="D14" s="656"/>
      <c r="E14" s="426"/>
      <c r="F14" s="43"/>
      <c r="G14" s="582"/>
      <c r="H14" s="626"/>
      <c r="I14" s="671" t="s">
        <v>377</v>
      </c>
      <c r="J14" s="467">
        <f>$C$14</f>
        <v>1643.01</v>
      </c>
      <c r="K14" s="656"/>
      <c r="L14" s="426"/>
      <c r="M14" s="93"/>
      <c r="N14" s="626"/>
      <c r="O14" s="626"/>
      <c r="P14" s="671" t="s">
        <v>378</v>
      </c>
      <c r="Q14" s="467">
        <f>$C$14</f>
        <v>1643.01</v>
      </c>
      <c r="R14" s="656"/>
      <c r="S14" s="426"/>
      <c r="T14" s="93"/>
      <c r="U14" s="626"/>
      <c r="V14" s="626"/>
      <c r="W14" s="671" t="s">
        <v>379</v>
      </c>
      <c r="X14" s="467">
        <f>$C$14</f>
        <v>1643.01</v>
      </c>
      <c r="Y14" s="656"/>
      <c r="Z14" s="426"/>
      <c r="AA14" s="93"/>
      <c r="AB14" s="626"/>
      <c r="AC14" s="626"/>
      <c r="AD14" s="671" t="s">
        <v>378</v>
      </c>
      <c r="AE14" s="467">
        <f>$C$14</f>
        <v>1643.01</v>
      </c>
      <c r="AF14" s="656"/>
      <c r="AG14" s="426"/>
      <c r="AH14" s="93"/>
      <c r="AI14" s="626"/>
    </row>
    <row r="15" spans="1:35" ht="15" customHeight="1">
      <c r="A15" s="400"/>
      <c r="B15" s="237" t="s">
        <v>380</v>
      </c>
      <c r="C15" s="467">
        <f>C13*1.16</f>
        <v>5497.1471999999994</v>
      </c>
      <c r="D15" s="656"/>
      <c r="E15" s="426"/>
      <c r="F15" s="43"/>
      <c r="G15" s="582"/>
      <c r="H15" s="626"/>
      <c r="I15" s="237" t="s">
        <v>380</v>
      </c>
      <c r="J15" s="467">
        <f>J13*1.08</f>
        <v>5118.0336000000007</v>
      </c>
      <c r="K15" s="656"/>
      <c r="L15" s="426"/>
      <c r="M15" s="93"/>
      <c r="N15" s="626"/>
      <c r="O15" s="626"/>
      <c r="P15" s="653" t="s">
        <v>381</v>
      </c>
      <c r="Q15" s="467">
        <f>$C$17</f>
        <v>5868.88</v>
      </c>
      <c r="R15" s="656"/>
      <c r="S15" s="426"/>
      <c r="T15" s="93"/>
      <c r="U15" s="626"/>
      <c r="V15" s="626"/>
      <c r="W15" s="653" t="s">
        <v>382</v>
      </c>
      <c r="X15" s="467">
        <f>$C$17</f>
        <v>5868.88</v>
      </c>
      <c r="Y15" s="656"/>
      <c r="Z15" s="426"/>
      <c r="AA15" s="93"/>
      <c r="AB15" s="626"/>
      <c r="AC15" s="626"/>
      <c r="AD15" s="653" t="s">
        <v>382</v>
      </c>
      <c r="AE15" s="467">
        <f>$C$17</f>
        <v>5868.88</v>
      </c>
      <c r="AF15" s="656"/>
      <c r="AG15" s="426"/>
      <c r="AH15" s="93"/>
      <c r="AI15" s="626"/>
    </row>
    <row r="16" spans="1:35" ht="15" customHeight="1">
      <c r="A16" s="400"/>
      <c r="B16" s="237" t="s">
        <v>383</v>
      </c>
      <c r="C16" s="467">
        <f>C14*1.16</f>
        <v>1905.8915999999999</v>
      </c>
      <c r="D16" s="656"/>
      <c r="E16" s="426"/>
      <c r="F16" s="43"/>
      <c r="G16" s="582"/>
      <c r="H16" s="626"/>
      <c r="I16" s="237" t="s">
        <v>383</v>
      </c>
      <c r="J16" s="467">
        <f>J14*1.08</f>
        <v>1774.4508000000001</v>
      </c>
      <c r="K16" s="656"/>
      <c r="L16" s="426"/>
      <c r="M16" s="93"/>
      <c r="N16" s="626"/>
      <c r="O16" s="626"/>
      <c r="P16" s="237" t="s">
        <v>384</v>
      </c>
      <c r="Q16" s="467">
        <f>$C$18</f>
        <v>2020.9</v>
      </c>
      <c r="R16" s="656"/>
      <c r="S16" s="426"/>
      <c r="T16" s="93"/>
      <c r="U16" s="626"/>
      <c r="V16" s="626"/>
      <c r="W16" s="653" t="s">
        <v>385</v>
      </c>
      <c r="X16" s="467">
        <f>$C$18</f>
        <v>2020.9</v>
      </c>
      <c r="Y16" s="656"/>
      <c r="Z16" s="426"/>
      <c r="AA16" s="93"/>
      <c r="AB16" s="626"/>
      <c r="AC16" s="626"/>
      <c r="AD16" s="653" t="s">
        <v>385</v>
      </c>
      <c r="AE16" s="467">
        <f>$C$18</f>
        <v>2020.9</v>
      </c>
      <c r="AF16" s="656"/>
      <c r="AG16" s="426"/>
      <c r="AH16" s="93"/>
      <c r="AI16" s="626"/>
    </row>
    <row r="17" spans="1:35" ht="15" customHeight="1">
      <c r="A17" s="400"/>
      <c r="B17" s="671" t="s">
        <v>382</v>
      </c>
      <c r="C17" s="467">
        <v>5868.88</v>
      </c>
      <c r="D17" s="656"/>
      <c r="E17" s="426"/>
      <c r="F17" s="43"/>
      <c r="G17" s="582"/>
      <c r="H17" s="626"/>
      <c r="I17" s="671" t="s">
        <v>382</v>
      </c>
      <c r="J17" s="467">
        <f>$C$17</f>
        <v>5868.88</v>
      </c>
      <c r="K17" s="656"/>
      <c r="L17" s="426"/>
      <c r="M17" s="93"/>
      <c r="N17" s="626"/>
      <c r="O17" s="626"/>
      <c r="P17" s="831"/>
      <c r="Q17" s="87"/>
      <c r="R17" s="426"/>
      <c r="S17" s="426"/>
      <c r="T17" s="93"/>
      <c r="U17" s="626"/>
      <c r="V17" s="626"/>
      <c r="W17" s="831"/>
      <c r="X17" s="87"/>
      <c r="Y17" s="426"/>
      <c r="Z17" s="426"/>
      <c r="AA17" s="93"/>
      <c r="AB17" s="626"/>
      <c r="AC17" s="626"/>
      <c r="AD17" s="831"/>
      <c r="AE17" s="87"/>
      <c r="AF17" s="426"/>
      <c r="AG17" s="426"/>
      <c r="AH17" s="93"/>
      <c r="AI17" s="626"/>
    </row>
    <row r="18" spans="1:35" ht="15" customHeight="1">
      <c r="A18" s="400"/>
      <c r="B18" s="671" t="s">
        <v>385</v>
      </c>
      <c r="C18" s="467">
        <v>2020.9</v>
      </c>
      <c r="D18" s="656"/>
      <c r="E18" s="426"/>
      <c r="F18" s="43"/>
      <c r="G18" s="582"/>
      <c r="H18" s="626"/>
      <c r="I18" s="671" t="s">
        <v>385</v>
      </c>
      <c r="J18" s="467">
        <f>$C$18</f>
        <v>2020.9</v>
      </c>
      <c r="K18" s="656"/>
      <c r="L18" s="426"/>
      <c r="M18" s="93"/>
      <c r="N18" s="626"/>
      <c r="O18" s="626"/>
      <c r="P18" s="771"/>
      <c r="Q18" s="770"/>
      <c r="R18" s="426"/>
      <c r="S18" s="426"/>
      <c r="T18" s="93"/>
      <c r="U18" s="626"/>
      <c r="V18" s="626"/>
      <c r="W18" s="771"/>
      <c r="X18" s="770"/>
      <c r="Y18" s="426"/>
      <c r="Z18" s="426"/>
      <c r="AA18" s="93"/>
      <c r="AB18" s="626"/>
      <c r="AC18" s="626"/>
      <c r="AD18" s="771"/>
      <c r="AE18" s="770"/>
      <c r="AF18" s="426"/>
      <c r="AG18" s="426"/>
      <c r="AH18" s="93"/>
      <c r="AI18" s="626"/>
    </row>
    <row r="19" spans="1:35" ht="15" customHeight="1">
      <c r="A19" s="400"/>
      <c r="B19" s="831"/>
      <c r="C19" s="288"/>
      <c r="D19" s="426"/>
      <c r="E19" s="426"/>
      <c r="F19" s="43"/>
      <c r="G19" s="582"/>
      <c r="H19" s="626"/>
      <c r="I19" s="831"/>
      <c r="J19" s="288"/>
      <c r="K19" s="426"/>
      <c r="L19" s="426"/>
      <c r="M19" s="93"/>
      <c r="N19" s="626"/>
      <c r="O19" s="626"/>
      <c r="P19" s="771"/>
      <c r="Q19" s="426"/>
      <c r="R19" s="426"/>
      <c r="S19" s="426"/>
      <c r="T19" s="93"/>
      <c r="U19" s="626"/>
      <c r="V19" s="626"/>
      <c r="W19" s="771"/>
      <c r="X19" s="426"/>
      <c r="Y19" s="426"/>
      <c r="Z19" s="426"/>
      <c r="AA19" s="93"/>
      <c r="AB19" s="626"/>
      <c r="AC19" s="626"/>
      <c r="AD19" s="771"/>
      <c r="AE19" s="426"/>
      <c r="AF19" s="426"/>
      <c r="AG19" s="426"/>
      <c r="AH19" s="93"/>
      <c r="AI19" s="626"/>
    </row>
    <row r="20" spans="1:35" ht="16.5" customHeight="1">
      <c r="A20" s="400"/>
      <c r="B20" s="711"/>
      <c r="C20" s="679"/>
      <c r="D20" s="679"/>
      <c r="E20" s="679"/>
      <c r="F20" s="856"/>
      <c r="G20" s="145"/>
      <c r="H20" s="626"/>
      <c r="I20" s="711"/>
      <c r="J20" s="679"/>
      <c r="K20" s="679"/>
      <c r="L20" s="679"/>
      <c r="M20" s="123"/>
      <c r="N20" s="626"/>
      <c r="O20" s="626"/>
      <c r="P20" s="711"/>
      <c r="Q20" s="679"/>
      <c r="R20" s="679"/>
      <c r="S20" s="679"/>
      <c r="T20" s="123"/>
      <c r="U20" s="626"/>
      <c r="V20" s="626"/>
      <c r="W20" s="711"/>
      <c r="X20" s="679"/>
      <c r="Y20" s="679"/>
      <c r="Z20" s="679"/>
      <c r="AA20" s="123"/>
      <c r="AB20" s="626"/>
      <c r="AC20" s="626"/>
      <c r="AD20" s="711"/>
      <c r="AE20" s="679"/>
      <c r="AF20" s="679"/>
      <c r="AG20" s="679"/>
      <c r="AH20" s="123"/>
      <c r="AI20" s="626"/>
    </row>
    <row r="21" spans="1:35" ht="15.75" customHeight="1">
      <c r="A21" s="400"/>
      <c r="B21" s="881">
        <f>B7</f>
        <v>1</v>
      </c>
      <c r="C21" s="882"/>
      <c r="D21" s="882"/>
      <c r="E21" s="882"/>
      <c r="F21" s="883"/>
      <c r="G21" s="622"/>
      <c r="H21" s="626"/>
      <c r="I21" s="884">
        <f>I7</f>
        <v>2</v>
      </c>
      <c r="J21" s="885"/>
      <c r="K21" s="885"/>
      <c r="L21" s="885"/>
      <c r="M21" s="886"/>
      <c r="N21" s="626"/>
      <c r="O21" s="626"/>
      <c r="P21" s="881">
        <f>P7</f>
        <v>3</v>
      </c>
      <c r="Q21" s="882"/>
      <c r="R21" s="882"/>
      <c r="S21" s="882"/>
      <c r="T21" s="883"/>
      <c r="U21" s="626"/>
      <c r="V21" s="626"/>
      <c r="W21" s="881">
        <f>W7</f>
        <v>4</v>
      </c>
      <c r="X21" s="882"/>
      <c r="Y21" s="882"/>
      <c r="Z21" s="882"/>
      <c r="AA21" s="883"/>
      <c r="AB21" s="626"/>
      <c r="AC21" s="626"/>
      <c r="AD21" s="881">
        <f>AD7</f>
        <v>5</v>
      </c>
      <c r="AE21" s="882"/>
      <c r="AF21" s="882"/>
      <c r="AG21" s="882"/>
      <c r="AH21" s="883"/>
      <c r="AI21" s="626"/>
    </row>
    <row r="22" spans="1:35" ht="13.5" customHeight="1">
      <c r="A22" s="151"/>
      <c r="B22" s="881"/>
      <c r="C22" s="882"/>
      <c r="D22" s="882"/>
      <c r="E22" s="882"/>
      <c r="F22" s="883"/>
      <c r="G22" s="626"/>
      <c r="H22" s="626"/>
      <c r="I22" s="885"/>
      <c r="J22" s="885"/>
      <c r="K22" s="885"/>
      <c r="L22" s="885"/>
      <c r="M22" s="886"/>
      <c r="N22" s="626"/>
      <c r="O22" s="626"/>
      <c r="P22" s="882"/>
      <c r="Q22" s="882"/>
      <c r="R22" s="882"/>
      <c r="S22" s="882"/>
      <c r="T22" s="883"/>
      <c r="U22" s="626"/>
      <c r="V22" s="626"/>
      <c r="W22" s="882"/>
      <c r="X22" s="882"/>
      <c r="Y22" s="882"/>
      <c r="Z22" s="882"/>
      <c r="AA22" s="883"/>
      <c r="AB22" s="626"/>
      <c r="AC22" s="626"/>
      <c r="AD22" s="882"/>
      <c r="AE22" s="882"/>
      <c r="AF22" s="882"/>
      <c r="AG22" s="882"/>
      <c r="AH22" s="883"/>
      <c r="AI22" s="626"/>
    </row>
    <row r="23" spans="1:35" ht="16.5" customHeight="1">
      <c r="A23" s="400"/>
      <c r="B23" s="887" t="s">
        <v>386</v>
      </c>
      <c r="C23" s="888"/>
      <c r="D23" s="888"/>
      <c r="E23" s="888"/>
      <c r="F23" s="889"/>
      <c r="G23" s="371"/>
      <c r="H23" s="626"/>
      <c r="I23" s="887" t="s">
        <v>386</v>
      </c>
      <c r="J23" s="888"/>
      <c r="K23" s="888"/>
      <c r="L23" s="888"/>
      <c r="M23" s="889"/>
      <c r="N23" s="371"/>
      <c r="O23" s="626"/>
      <c r="P23" s="887" t="s">
        <v>386</v>
      </c>
      <c r="Q23" s="888"/>
      <c r="R23" s="888"/>
      <c r="S23" s="888"/>
      <c r="T23" s="889"/>
      <c r="U23" s="371"/>
      <c r="V23" s="626"/>
      <c r="W23" s="887" t="s">
        <v>386</v>
      </c>
      <c r="X23" s="888"/>
      <c r="Y23" s="888"/>
      <c r="Z23" s="888"/>
      <c r="AA23" s="889"/>
      <c r="AB23" s="371"/>
      <c r="AC23" s="626"/>
      <c r="AD23" s="887" t="s">
        <v>386</v>
      </c>
      <c r="AE23" s="888"/>
      <c r="AF23" s="888"/>
      <c r="AG23" s="888"/>
      <c r="AH23" s="889"/>
      <c r="AI23" s="371"/>
    </row>
    <row r="24" spans="1:35" ht="16.5" customHeight="1">
      <c r="A24" s="400"/>
      <c r="B24" s="597"/>
      <c r="C24" s="760"/>
      <c r="D24" s="760"/>
      <c r="E24" s="760"/>
      <c r="F24" s="842"/>
      <c r="G24" s="371"/>
      <c r="H24" s="626"/>
      <c r="I24" s="597"/>
      <c r="J24" s="760"/>
      <c r="K24" s="760"/>
      <c r="L24" s="760"/>
      <c r="M24" s="842"/>
      <c r="N24" s="371"/>
      <c r="O24" s="626"/>
      <c r="P24" s="597"/>
      <c r="Q24" s="760"/>
      <c r="R24" s="760"/>
      <c r="S24" s="760"/>
      <c r="T24" s="842"/>
      <c r="U24" s="371"/>
      <c r="V24" s="626"/>
      <c r="W24" s="597"/>
      <c r="X24" s="760"/>
      <c r="Y24" s="760"/>
      <c r="Z24" s="760"/>
      <c r="AA24" s="842"/>
      <c r="AB24" s="371"/>
      <c r="AC24" s="626"/>
      <c r="AD24" s="597"/>
      <c r="AE24" s="760"/>
      <c r="AF24" s="760"/>
      <c r="AG24" s="760"/>
      <c r="AH24" s="842"/>
      <c r="AI24" s="371"/>
    </row>
    <row r="25" spans="1:35" ht="30.75" customHeight="1">
      <c r="A25" s="400"/>
      <c r="B25" s="259" t="s">
        <v>387</v>
      </c>
      <c r="C25" s="531" t="s">
        <v>388</v>
      </c>
      <c r="D25" s="259" t="s">
        <v>389</v>
      </c>
      <c r="E25" s="259" t="s">
        <v>390</v>
      </c>
      <c r="F25" s="550"/>
      <c r="G25" s="371"/>
      <c r="H25" s="626"/>
      <c r="I25" s="259" t="s">
        <v>387</v>
      </c>
      <c r="J25" s="531" t="s">
        <v>388</v>
      </c>
      <c r="K25" s="259" t="s">
        <v>389</v>
      </c>
      <c r="L25" s="259" t="s">
        <v>390</v>
      </c>
      <c r="M25" s="550"/>
      <c r="N25" s="371"/>
      <c r="O25" s="626"/>
      <c r="P25" s="259" t="s">
        <v>387</v>
      </c>
      <c r="Q25" s="531" t="s">
        <v>388</v>
      </c>
      <c r="R25" s="259" t="s">
        <v>389</v>
      </c>
      <c r="S25" s="259" t="s">
        <v>390</v>
      </c>
      <c r="T25" s="550"/>
      <c r="U25" s="371"/>
      <c r="V25" s="626"/>
      <c r="W25" s="259" t="s">
        <v>387</v>
      </c>
      <c r="X25" s="531" t="s">
        <v>388</v>
      </c>
      <c r="Y25" s="259" t="s">
        <v>389</v>
      </c>
      <c r="Z25" s="259" t="s">
        <v>390</v>
      </c>
      <c r="AA25" s="550"/>
      <c r="AB25" s="371"/>
      <c r="AC25" s="626"/>
      <c r="AD25" s="259" t="s">
        <v>387</v>
      </c>
      <c r="AE25" s="531" t="s">
        <v>388</v>
      </c>
      <c r="AF25" s="259" t="s">
        <v>389</v>
      </c>
      <c r="AG25" s="259" t="s">
        <v>390</v>
      </c>
      <c r="AH25" s="550"/>
      <c r="AI25" s="371"/>
    </row>
    <row r="26" spans="1:35">
      <c r="A26" s="400"/>
      <c r="B26" s="79" t="s">
        <v>391</v>
      </c>
      <c r="C26" s="28">
        <v>50</v>
      </c>
      <c r="D26" s="28"/>
      <c r="E26" s="516">
        <f>C26+D26</f>
        <v>50</v>
      </c>
      <c r="F26" s="762"/>
      <c r="G26" s="753"/>
      <c r="H26" s="626"/>
      <c r="I26" s="79" t="s">
        <v>391</v>
      </c>
      <c r="J26" s="28">
        <v>50</v>
      </c>
      <c r="K26" s="28"/>
      <c r="L26" s="516">
        <f>J26+K26</f>
        <v>50</v>
      </c>
      <c r="M26" s="762"/>
      <c r="N26" s="753"/>
      <c r="O26" s="626"/>
      <c r="P26" s="79" t="s">
        <v>391</v>
      </c>
      <c r="Q26" s="28">
        <v>50</v>
      </c>
      <c r="R26" s="28"/>
      <c r="S26" s="516">
        <f>Q26+R26</f>
        <v>50</v>
      </c>
      <c r="T26" s="762"/>
      <c r="U26" s="753"/>
      <c r="V26" s="626"/>
      <c r="W26" s="79" t="s">
        <v>391</v>
      </c>
      <c r="X26" s="28">
        <v>50</v>
      </c>
      <c r="Y26" s="28"/>
      <c r="Z26" s="516">
        <f>X26+Y26</f>
        <v>50</v>
      </c>
      <c r="AA26" s="762"/>
      <c r="AB26" s="753"/>
      <c r="AC26" s="626"/>
      <c r="AD26" s="79" t="s">
        <v>391</v>
      </c>
      <c r="AE26" s="28">
        <v>50</v>
      </c>
      <c r="AF26" s="28"/>
      <c r="AG26" s="516">
        <f>AE26+AF26</f>
        <v>50</v>
      </c>
      <c r="AH26" s="762"/>
      <c r="AI26" s="753"/>
    </row>
    <row r="27" spans="1:35">
      <c r="A27" s="400"/>
      <c r="B27" s="159">
        <v>1</v>
      </c>
      <c r="C27" s="121">
        <v>50</v>
      </c>
      <c r="D27" s="121"/>
      <c r="E27" s="632">
        <f>C27+D27</f>
        <v>50</v>
      </c>
      <c r="F27" s="762"/>
      <c r="G27" s="626"/>
      <c r="H27" s="626"/>
      <c r="I27" s="159">
        <v>1</v>
      </c>
      <c r="J27" s="121">
        <v>50</v>
      </c>
      <c r="K27" s="121"/>
      <c r="L27" s="632">
        <f>J27+K27</f>
        <v>50</v>
      </c>
      <c r="M27" s="762"/>
      <c r="N27" s="626"/>
      <c r="O27" s="626"/>
      <c r="P27" s="159">
        <v>1</v>
      </c>
      <c r="Q27" s="121">
        <v>50</v>
      </c>
      <c r="R27" s="121"/>
      <c r="S27" s="632">
        <f>Q27+R27</f>
        <v>50</v>
      </c>
      <c r="T27" s="762"/>
      <c r="U27" s="626"/>
      <c r="V27" s="626"/>
      <c r="W27" s="159">
        <v>1</v>
      </c>
      <c r="X27" s="121">
        <v>50</v>
      </c>
      <c r="Y27" s="121"/>
      <c r="Z27" s="632">
        <f>X27+Y27</f>
        <v>50</v>
      </c>
      <c r="AA27" s="762"/>
      <c r="AB27" s="626"/>
      <c r="AC27" s="626"/>
      <c r="AD27" s="159">
        <v>1</v>
      </c>
      <c r="AE27" s="121">
        <v>50</v>
      </c>
      <c r="AF27" s="121"/>
      <c r="AG27" s="632">
        <f>AE27+AF27</f>
        <v>50</v>
      </c>
      <c r="AH27" s="762"/>
      <c r="AI27" s="626"/>
    </row>
    <row r="28" spans="1:35">
      <c r="A28" s="400"/>
      <c r="B28" s="159">
        <v>2</v>
      </c>
      <c r="C28" s="121">
        <v>50</v>
      </c>
      <c r="D28" s="121"/>
      <c r="E28" s="632">
        <f>C28+D28</f>
        <v>50</v>
      </c>
      <c r="F28" s="762"/>
      <c r="G28" s="626"/>
      <c r="H28" s="626"/>
      <c r="I28" s="159">
        <v>2</v>
      </c>
      <c r="J28" s="121">
        <v>50</v>
      </c>
      <c r="K28" s="121"/>
      <c r="L28" s="632">
        <f>J28+K28</f>
        <v>50</v>
      </c>
      <c r="M28" s="762"/>
      <c r="N28" s="626"/>
      <c r="O28" s="626"/>
      <c r="P28" s="159">
        <v>2</v>
      </c>
      <c r="Q28" s="121">
        <v>50</v>
      </c>
      <c r="R28" s="121"/>
      <c r="S28" s="632">
        <f>Q28+R28</f>
        <v>50</v>
      </c>
      <c r="T28" s="762"/>
      <c r="U28" s="626"/>
      <c r="V28" s="626"/>
      <c r="W28" s="159">
        <v>2</v>
      </c>
      <c r="X28" s="121">
        <v>50</v>
      </c>
      <c r="Y28" s="121"/>
      <c r="Z28" s="632">
        <f>X28+Y28</f>
        <v>50</v>
      </c>
      <c r="AA28" s="762"/>
      <c r="AB28" s="626"/>
      <c r="AC28" s="626"/>
      <c r="AD28" s="159">
        <v>2</v>
      </c>
      <c r="AE28" s="121">
        <v>50</v>
      </c>
      <c r="AF28" s="121"/>
      <c r="AG28" s="632">
        <f>AE28+AF28</f>
        <v>50</v>
      </c>
      <c r="AH28" s="762"/>
      <c r="AI28" s="626"/>
    </row>
    <row r="29" spans="1:35" ht="13.5" customHeight="1">
      <c r="A29" s="400"/>
      <c r="B29" s="159">
        <v>3</v>
      </c>
      <c r="C29" s="121">
        <v>50</v>
      </c>
      <c r="D29" s="121"/>
      <c r="E29" s="281">
        <f>C29+D29</f>
        <v>50</v>
      </c>
      <c r="F29" s="762"/>
      <c r="G29" s="626"/>
      <c r="H29" s="626"/>
      <c r="I29" s="159">
        <v>3</v>
      </c>
      <c r="J29" s="121">
        <v>50</v>
      </c>
      <c r="K29" s="121"/>
      <c r="L29" s="281">
        <f>J29+K29</f>
        <v>50</v>
      </c>
      <c r="M29" s="762"/>
      <c r="N29" s="626"/>
      <c r="O29" s="626"/>
      <c r="P29" s="159">
        <v>3</v>
      </c>
      <c r="Q29" s="121">
        <v>50</v>
      </c>
      <c r="R29" s="121"/>
      <c r="S29" s="281">
        <f>Q29+R29</f>
        <v>50</v>
      </c>
      <c r="T29" s="762"/>
      <c r="U29" s="626"/>
      <c r="V29" s="626"/>
      <c r="W29" s="159">
        <v>3</v>
      </c>
      <c r="X29" s="121">
        <v>50</v>
      </c>
      <c r="Y29" s="121"/>
      <c r="Z29" s="281">
        <f>X29+Y29</f>
        <v>50</v>
      </c>
      <c r="AA29" s="762"/>
      <c r="AB29" s="626"/>
      <c r="AC29" s="626"/>
      <c r="AD29" s="159">
        <v>3</v>
      </c>
      <c r="AE29" s="121">
        <v>50</v>
      </c>
      <c r="AF29" s="121"/>
      <c r="AG29" s="281">
        <f>AE29+AF29</f>
        <v>50</v>
      </c>
      <c r="AH29" s="762"/>
      <c r="AI29" s="626"/>
    </row>
    <row r="30" spans="1:35" ht="13.5" customHeight="1">
      <c r="A30" s="400"/>
      <c r="B30" s="534" t="s">
        <v>392</v>
      </c>
      <c r="C30" s="171">
        <f>SUM(C26:C29)</f>
        <v>200</v>
      </c>
      <c r="D30" s="209">
        <f>SUM(D26:D29)</f>
        <v>0</v>
      </c>
      <c r="E30" s="473">
        <f>C30+D30</f>
        <v>200</v>
      </c>
      <c r="F30" s="550"/>
      <c r="G30" s="626"/>
      <c r="H30" s="626"/>
      <c r="I30" s="534" t="s">
        <v>392</v>
      </c>
      <c r="J30" s="171">
        <f>SUM(J26:J29)</f>
        <v>200</v>
      </c>
      <c r="K30" s="209">
        <f>SUM(K26:K29)</f>
        <v>0</v>
      </c>
      <c r="L30" s="473">
        <f>J30+K30</f>
        <v>200</v>
      </c>
      <c r="M30" s="550"/>
      <c r="N30" s="626"/>
      <c r="O30" s="626"/>
      <c r="P30" s="534" t="s">
        <v>392</v>
      </c>
      <c r="Q30" s="171">
        <f>SUM(Q26:Q29)</f>
        <v>200</v>
      </c>
      <c r="R30" s="209">
        <f>SUM(R26:R29)</f>
        <v>0</v>
      </c>
      <c r="S30" s="473">
        <f>Q30+R30</f>
        <v>200</v>
      </c>
      <c r="T30" s="550"/>
      <c r="U30" s="626"/>
      <c r="V30" s="626"/>
      <c r="W30" s="534" t="s">
        <v>392</v>
      </c>
      <c r="X30" s="171">
        <f>SUM(X26:X29)</f>
        <v>200</v>
      </c>
      <c r="Y30" s="209">
        <f>SUM(Y26:Y29)</f>
        <v>0</v>
      </c>
      <c r="Z30" s="473">
        <f>X30+Y30</f>
        <v>200</v>
      </c>
      <c r="AA30" s="550"/>
      <c r="AB30" s="626"/>
      <c r="AC30" s="626"/>
      <c r="AD30" s="534" t="s">
        <v>392</v>
      </c>
      <c r="AE30" s="171">
        <f>SUM(AE26:AE29)</f>
        <v>200</v>
      </c>
      <c r="AF30" s="209">
        <f>SUM(AF26:AF29)</f>
        <v>0</v>
      </c>
      <c r="AG30" s="473">
        <f>AE30+AF30</f>
        <v>200</v>
      </c>
      <c r="AH30" s="550"/>
      <c r="AI30" s="626"/>
    </row>
    <row r="31" spans="1:35" ht="13.5" customHeight="1">
      <c r="A31" s="400"/>
      <c r="B31" s="571" t="s">
        <v>393</v>
      </c>
      <c r="C31" s="648">
        <v>1</v>
      </c>
      <c r="D31" s="648">
        <v>0.4</v>
      </c>
      <c r="E31" s="655"/>
      <c r="F31" s="400"/>
      <c r="G31" s="626"/>
      <c r="H31" s="626"/>
      <c r="I31" s="571" t="s">
        <v>393</v>
      </c>
      <c r="J31" s="648">
        <v>1</v>
      </c>
      <c r="K31" s="648">
        <v>0.4</v>
      </c>
      <c r="L31" s="655"/>
      <c r="M31" s="400"/>
      <c r="N31" s="626"/>
      <c r="O31" s="626"/>
      <c r="P31" s="571" t="s">
        <v>393</v>
      </c>
      <c r="Q31" s="648">
        <v>1</v>
      </c>
      <c r="R31" s="648">
        <v>0.4</v>
      </c>
      <c r="S31" s="655"/>
      <c r="T31" s="400"/>
      <c r="U31" s="626"/>
      <c r="V31" s="626"/>
      <c r="W31" s="571" t="s">
        <v>393</v>
      </c>
      <c r="X31" s="648">
        <v>1</v>
      </c>
      <c r="Y31" s="648">
        <v>0.4</v>
      </c>
      <c r="Z31" s="655"/>
      <c r="AA31" s="400"/>
      <c r="AB31" s="626"/>
      <c r="AC31" s="626"/>
      <c r="AD31" s="571" t="s">
        <v>393</v>
      </c>
      <c r="AE31" s="648">
        <v>1</v>
      </c>
      <c r="AF31" s="648">
        <v>0.4</v>
      </c>
      <c r="AG31" s="655"/>
      <c r="AH31" s="400"/>
      <c r="AI31" s="626"/>
    </row>
    <row r="32" spans="1:35" ht="13.5" customHeight="1">
      <c r="A32" s="400"/>
      <c r="B32" s="787" t="s">
        <v>394</v>
      </c>
      <c r="C32" s="519">
        <f>C30*C31</f>
        <v>200</v>
      </c>
      <c r="D32" s="519">
        <f>D30*D31</f>
        <v>0</v>
      </c>
      <c r="E32" s="473">
        <f>C32+D32</f>
        <v>200</v>
      </c>
      <c r="F32" s="550"/>
      <c r="G32" s="626"/>
      <c r="H32" s="626"/>
      <c r="I32" s="787" t="s">
        <v>394</v>
      </c>
      <c r="J32" s="519">
        <f>J30*J31</f>
        <v>200</v>
      </c>
      <c r="K32" s="519">
        <f>K30*K31</f>
        <v>0</v>
      </c>
      <c r="L32" s="473">
        <f>J32+K32</f>
        <v>200</v>
      </c>
      <c r="M32" s="550"/>
      <c r="N32" s="626"/>
      <c r="O32" s="626"/>
      <c r="P32" s="787" t="s">
        <v>394</v>
      </c>
      <c r="Q32" s="519">
        <f>Q30*Q31</f>
        <v>200</v>
      </c>
      <c r="R32" s="519">
        <f>R30*R31</f>
        <v>0</v>
      </c>
      <c r="S32" s="473">
        <f>Q32+R32</f>
        <v>200</v>
      </c>
      <c r="T32" s="550"/>
      <c r="U32" s="626"/>
      <c r="V32" s="626"/>
      <c r="W32" s="787" t="s">
        <v>394</v>
      </c>
      <c r="X32" s="519">
        <f>X30*X31</f>
        <v>200</v>
      </c>
      <c r="Y32" s="519">
        <f>Y30*Y31</f>
        <v>0</v>
      </c>
      <c r="Z32" s="473">
        <f>X32+Y32</f>
        <v>200</v>
      </c>
      <c r="AA32" s="550"/>
      <c r="AB32" s="626"/>
      <c r="AC32" s="626"/>
      <c r="AD32" s="787" t="s">
        <v>394</v>
      </c>
      <c r="AE32" s="519">
        <f>AE30*AE31</f>
        <v>200</v>
      </c>
      <c r="AF32" s="519">
        <f>AF30*AF31</f>
        <v>0</v>
      </c>
      <c r="AG32" s="473">
        <f>AE32+AF32</f>
        <v>200</v>
      </c>
      <c r="AH32" s="550"/>
      <c r="AI32" s="626"/>
    </row>
    <row r="33" spans="1:35">
      <c r="A33" s="400"/>
      <c r="B33" s="359"/>
      <c r="C33" s="269"/>
      <c r="D33" s="391"/>
      <c r="E33" s="269"/>
      <c r="F33" s="400"/>
      <c r="G33" s="626"/>
      <c r="H33" s="626"/>
      <c r="I33" s="359"/>
      <c r="J33" s="269"/>
      <c r="K33" s="391"/>
      <c r="L33" s="269"/>
      <c r="M33" s="400"/>
      <c r="N33" s="626"/>
      <c r="O33" s="626"/>
      <c r="P33" s="359"/>
      <c r="Q33" s="269"/>
      <c r="R33" s="391"/>
      <c r="S33" s="269"/>
      <c r="T33" s="400"/>
      <c r="U33" s="626"/>
      <c r="V33" s="626"/>
      <c r="W33" s="359"/>
      <c r="X33" s="269"/>
      <c r="Y33" s="391"/>
      <c r="Z33" s="269"/>
      <c r="AA33" s="400"/>
      <c r="AB33" s="626"/>
      <c r="AC33" s="626"/>
      <c r="AD33" s="359"/>
      <c r="AE33" s="269"/>
      <c r="AF33" s="391"/>
      <c r="AG33" s="269"/>
      <c r="AH33" s="400"/>
      <c r="AI33" s="626"/>
    </row>
    <row r="34" spans="1:35" ht="13.5" customHeight="1">
      <c r="A34" s="400"/>
      <c r="B34" s="175"/>
      <c r="C34" s="574"/>
      <c r="D34" s="151"/>
      <c r="E34" s="19"/>
      <c r="F34" s="400"/>
      <c r="G34" s="626"/>
      <c r="H34" s="626"/>
      <c r="I34" s="175"/>
      <c r="J34" s="574"/>
      <c r="K34" s="151"/>
      <c r="L34" s="19"/>
      <c r="M34" s="400"/>
      <c r="N34" s="626"/>
      <c r="O34" s="626"/>
      <c r="P34" s="175" t="s">
        <v>395</v>
      </c>
      <c r="Q34" s="574"/>
      <c r="R34" s="151"/>
      <c r="S34" s="19"/>
      <c r="T34" s="400"/>
      <c r="U34" s="626"/>
      <c r="V34" s="626"/>
      <c r="W34" s="175"/>
      <c r="X34" s="574"/>
      <c r="Y34" s="151"/>
      <c r="Z34" s="19"/>
      <c r="AA34" s="400"/>
      <c r="AB34" s="626"/>
      <c r="AC34" s="626"/>
      <c r="AD34" s="175"/>
      <c r="AE34" s="574"/>
      <c r="AF34" s="151"/>
      <c r="AG34" s="19"/>
      <c r="AH34" s="400"/>
      <c r="AI34" s="626"/>
    </row>
    <row r="35" spans="1:35" ht="13.5" customHeight="1">
      <c r="A35" s="400"/>
      <c r="B35" s="890" t="s">
        <v>396</v>
      </c>
      <c r="C35" s="891"/>
      <c r="D35" s="676"/>
      <c r="E35" s="19"/>
      <c r="F35" s="400"/>
      <c r="G35" s="626"/>
      <c r="H35" s="626"/>
      <c r="I35" s="890" t="s">
        <v>396</v>
      </c>
      <c r="J35" s="891"/>
      <c r="K35" s="676"/>
      <c r="L35" s="19"/>
      <c r="M35" s="400"/>
      <c r="N35" s="626"/>
      <c r="O35" s="626"/>
      <c r="P35" s="890" t="s">
        <v>396</v>
      </c>
      <c r="Q35" s="891"/>
      <c r="R35" s="676"/>
      <c r="S35" s="19"/>
      <c r="T35" s="400"/>
      <c r="U35" s="626"/>
      <c r="V35" s="626"/>
      <c r="W35" s="890" t="s">
        <v>396</v>
      </c>
      <c r="X35" s="891"/>
      <c r="Y35" s="676"/>
      <c r="Z35" s="19"/>
      <c r="AA35" s="400"/>
      <c r="AB35" s="626"/>
      <c r="AC35" s="626"/>
      <c r="AD35" s="890" t="s">
        <v>396</v>
      </c>
      <c r="AE35" s="891"/>
      <c r="AF35" s="676"/>
      <c r="AG35" s="19"/>
      <c r="AH35" s="400"/>
      <c r="AI35" s="626"/>
    </row>
    <row r="36" spans="1:35">
      <c r="A36" s="400"/>
      <c r="B36" s="446" t="s">
        <v>397</v>
      </c>
      <c r="C36" s="181">
        <f>E32</f>
        <v>200</v>
      </c>
      <c r="D36" s="85"/>
      <c r="E36" s="19"/>
      <c r="F36" s="400"/>
      <c r="G36" s="626"/>
      <c r="H36" s="626"/>
      <c r="I36" s="446" t="s">
        <v>397</v>
      </c>
      <c r="J36" s="181">
        <f>L32</f>
        <v>200</v>
      </c>
      <c r="K36" s="85"/>
      <c r="L36" s="19"/>
      <c r="M36" s="400"/>
      <c r="N36" s="626"/>
      <c r="O36" s="626"/>
      <c r="P36" s="446" t="s">
        <v>397</v>
      </c>
      <c r="Q36" s="181">
        <f>S32</f>
        <v>200</v>
      </c>
      <c r="R36" s="85"/>
      <c r="S36" s="19"/>
      <c r="T36" s="400"/>
      <c r="U36" s="626"/>
      <c r="V36" s="626"/>
      <c r="W36" s="446" t="s">
        <v>397</v>
      </c>
      <c r="X36" s="181">
        <f>Z32</f>
        <v>200</v>
      </c>
      <c r="Y36" s="85"/>
      <c r="Z36" s="19"/>
      <c r="AA36" s="400"/>
      <c r="AB36" s="626"/>
      <c r="AC36" s="626"/>
      <c r="AD36" s="446" t="s">
        <v>397</v>
      </c>
      <c r="AE36" s="181">
        <f>AG32</f>
        <v>200</v>
      </c>
      <c r="AF36" s="85"/>
      <c r="AG36" s="19"/>
      <c r="AH36" s="400"/>
      <c r="AI36" s="626"/>
    </row>
    <row r="37" spans="1:35" ht="13.5" customHeight="1">
      <c r="A37" s="400"/>
      <c r="B37" s="662" t="s">
        <v>398</v>
      </c>
      <c r="C37" s="774">
        <f>C11</f>
        <v>5070.6499999999996</v>
      </c>
      <c r="D37" s="85"/>
      <c r="E37" s="19"/>
      <c r="F37" s="400"/>
      <c r="G37" s="626"/>
      <c r="H37" s="626"/>
      <c r="I37" s="662" t="s">
        <v>398</v>
      </c>
      <c r="J37" s="774">
        <f>J11</f>
        <v>5070.6499999999996</v>
      </c>
      <c r="K37" s="85"/>
      <c r="L37" s="19"/>
      <c r="M37" s="400"/>
      <c r="N37" s="626"/>
      <c r="O37" s="626"/>
      <c r="P37" s="662" t="s">
        <v>398</v>
      </c>
      <c r="Q37" s="774">
        <f>Q11</f>
        <v>5070.6499999999996</v>
      </c>
      <c r="R37" s="85"/>
      <c r="S37" s="19"/>
      <c r="T37" s="400"/>
      <c r="U37" s="626"/>
      <c r="V37" s="626"/>
      <c r="W37" s="662" t="s">
        <v>398</v>
      </c>
      <c r="X37" s="774">
        <f>X11</f>
        <v>5070.6499999999996</v>
      </c>
      <c r="Y37" s="85"/>
      <c r="Z37" s="19"/>
      <c r="AA37" s="400"/>
      <c r="AB37" s="626"/>
      <c r="AC37" s="626"/>
      <c r="AD37" s="662" t="s">
        <v>398</v>
      </c>
      <c r="AE37" s="774">
        <f>AE11</f>
        <v>5070.6499999999996</v>
      </c>
      <c r="AF37" s="85"/>
      <c r="AG37" s="19"/>
      <c r="AH37" s="400"/>
      <c r="AI37" s="626"/>
    </row>
    <row r="38" spans="1:35" ht="15.75" customHeight="1">
      <c r="A38" s="400"/>
      <c r="B38" s="473" t="s">
        <v>399</v>
      </c>
      <c r="C38" s="815">
        <f>C36*C37</f>
        <v>1014129.9999999999</v>
      </c>
      <c r="D38" s="676"/>
      <c r="E38" s="19"/>
      <c r="F38" s="400"/>
      <c r="G38" s="626"/>
      <c r="H38" s="626"/>
      <c r="I38" s="473" t="s">
        <v>399</v>
      </c>
      <c r="J38" s="815">
        <f>J36*J37</f>
        <v>1014129.9999999999</v>
      </c>
      <c r="K38" s="676"/>
      <c r="L38" s="19"/>
      <c r="M38" s="400"/>
      <c r="N38" s="626"/>
      <c r="O38" s="626"/>
      <c r="P38" s="473" t="s">
        <v>399</v>
      </c>
      <c r="Q38" s="815">
        <f>Q36*Q37</f>
        <v>1014129.9999999999</v>
      </c>
      <c r="R38" s="676"/>
      <c r="S38" s="19"/>
      <c r="T38" s="400"/>
      <c r="U38" s="626"/>
      <c r="V38" s="626"/>
      <c r="W38" s="473" t="s">
        <v>399</v>
      </c>
      <c r="X38" s="815">
        <f>X36*X37</f>
        <v>1014129.9999999999</v>
      </c>
      <c r="Y38" s="676"/>
      <c r="Z38" s="19"/>
      <c r="AA38" s="400"/>
      <c r="AB38" s="626"/>
      <c r="AC38" s="626"/>
      <c r="AD38" s="473" t="s">
        <v>399</v>
      </c>
      <c r="AE38" s="815">
        <f>AE36*AE37</f>
        <v>1014129.9999999999</v>
      </c>
      <c r="AF38" s="676"/>
      <c r="AG38" s="19"/>
      <c r="AH38" s="400"/>
      <c r="AI38" s="626"/>
    </row>
    <row r="39" spans="1:35" ht="15" customHeight="1">
      <c r="A39" s="400"/>
      <c r="B39" s="63"/>
      <c r="C39" s="800"/>
      <c r="D39" s="151"/>
      <c r="E39" s="151"/>
      <c r="F39" s="740"/>
      <c r="G39" s="626"/>
      <c r="H39" s="626"/>
      <c r="I39" s="63"/>
      <c r="J39" s="800"/>
      <c r="K39" s="151"/>
      <c r="L39" s="151"/>
      <c r="M39" s="740"/>
      <c r="N39" s="626"/>
      <c r="O39" s="626"/>
      <c r="P39" s="63"/>
      <c r="Q39" s="800"/>
      <c r="R39" s="151"/>
      <c r="S39" s="151"/>
      <c r="T39" s="740"/>
      <c r="U39" s="626"/>
      <c r="V39" s="626"/>
      <c r="W39" s="63"/>
      <c r="X39" s="800"/>
      <c r="Y39" s="151"/>
      <c r="Z39" s="151"/>
      <c r="AA39" s="740"/>
      <c r="AB39" s="626"/>
      <c r="AC39" s="626"/>
      <c r="AD39" s="63"/>
      <c r="AE39" s="800"/>
      <c r="AF39" s="151"/>
      <c r="AG39" s="151"/>
      <c r="AH39" s="740"/>
      <c r="AI39" s="626"/>
    </row>
    <row r="40" spans="1:35" ht="15.75" customHeight="1">
      <c r="A40" s="400"/>
      <c r="B40" s="619"/>
      <c r="C40" s="117"/>
      <c r="D40" s="151"/>
      <c r="E40" s="151"/>
      <c r="F40" s="740"/>
      <c r="G40" s="626"/>
      <c r="H40" s="626"/>
      <c r="I40" s="619"/>
      <c r="J40" s="117"/>
      <c r="K40" s="151"/>
      <c r="L40" s="151"/>
      <c r="M40" s="740"/>
      <c r="N40" s="626"/>
      <c r="O40" s="626"/>
      <c r="P40" s="619"/>
      <c r="Q40" s="117"/>
      <c r="R40" s="151"/>
      <c r="S40" s="151"/>
      <c r="T40" s="740"/>
      <c r="U40" s="626"/>
      <c r="V40" s="626"/>
      <c r="W40" s="619"/>
      <c r="X40" s="117"/>
      <c r="Y40" s="151"/>
      <c r="Z40" s="151"/>
      <c r="AA40" s="740"/>
      <c r="AB40" s="626"/>
      <c r="AC40" s="626"/>
      <c r="AD40" s="619"/>
      <c r="AE40" s="117"/>
      <c r="AF40" s="151"/>
      <c r="AG40" s="151"/>
      <c r="AH40" s="740"/>
      <c r="AI40" s="626"/>
    </row>
    <row r="41" spans="1:35" ht="13.5" customHeight="1">
      <c r="A41" s="400"/>
      <c r="B41" s="890" t="s">
        <v>400</v>
      </c>
      <c r="C41" s="891"/>
      <c r="D41" s="676"/>
      <c r="E41" s="151"/>
      <c r="F41" s="740"/>
      <c r="G41" s="626"/>
      <c r="H41" s="626"/>
      <c r="I41" s="890" t="s">
        <v>400</v>
      </c>
      <c r="J41" s="891"/>
      <c r="K41" s="676"/>
      <c r="L41" s="151"/>
      <c r="M41" s="740"/>
      <c r="N41" s="626"/>
      <c r="O41" s="626"/>
      <c r="P41" s="890" t="s">
        <v>400</v>
      </c>
      <c r="Q41" s="891"/>
      <c r="R41" s="676"/>
      <c r="S41" s="151"/>
      <c r="T41" s="740"/>
      <c r="U41" s="626"/>
      <c r="V41" s="626"/>
      <c r="W41" s="890" t="s">
        <v>400</v>
      </c>
      <c r="X41" s="891"/>
      <c r="Y41" s="676"/>
      <c r="Z41" s="151"/>
      <c r="AA41" s="740"/>
      <c r="AB41" s="626"/>
      <c r="AC41" s="626"/>
      <c r="AD41" s="890" t="s">
        <v>400</v>
      </c>
      <c r="AE41" s="891"/>
      <c r="AF41" s="676"/>
      <c r="AG41" s="151"/>
      <c r="AH41" s="740"/>
      <c r="AI41" s="626"/>
    </row>
    <row r="42" spans="1:35">
      <c r="A42" s="400"/>
      <c r="B42" s="446" t="s">
        <v>401</v>
      </c>
      <c r="C42" s="181">
        <f>E30</f>
        <v>200</v>
      </c>
      <c r="D42" s="85"/>
      <c r="E42" s="151"/>
      <c r="F42" s="740"/>
      <c r="G42" s="626"/>
      <c r="H42" s="626"/>
      <c r="I42" s="446" t="s">
        <v>401</v>
      </c>
      <c r="J42" s="181">
        <f>L30</f>
        <v>200</v>
      </c>
      <c r="K42" s="85"/>
      <c r="L42" s="151"/>
      <c r="M42" s="740"/>
      <c r="N42" s="626"/>
      <c r="O42" s="626"/>
      <c r="P42" s="446" t="s">
        <v>401</v>
      </c>
      <c r="Q42" s="181">
        <f>S30</f>
        <v>200</v>
      </c>
      <c r="R42" s="85"/>
      <c r="S42" s="151"/>
      <c r="T42" s="740"/>
      <c r="U42" s="626"/>
      <c r="V42" s="626"/>
      <c r="W42" s="446" t="s">
        <v>401</v>
      </c>
      <c r="X42" s="181">
        <f>Z30</f>
        <v>200</v>
      </c>
      <c r="Y42" s="85"/>
      <c r="Z42" s="151"/>
      <c r="AA42" s="740"/>
      <c r="AB42" s="626"/>
      <c r="AC42" s="626"/>
      <c r="AD42" s="446" t="s">
        <v>401</v>
      </c>
      <c r="AE42" s="181">
        <f>AG30</f>
        <v>200</v>
      </c>
      <c r="AF42" s="85"/>
      <c r="AG42" s="151"/>
      <c r="AH42" s="740"/>
      <c r="AI42" s="626"/>
    </row>
    <row r="43" spans="1:35" ht="13.5" customHeight="1">
      <c r="A43" s="400"/>
      <c r="B43" s="662" t="s">
        <v>402</v>
      </c>
      <c r="C43" s="774">
        <f>C12</f>
        <v>1758.02</v>
      </c>
      <c r="D43" s="85"/>
      <c r="E43" s="151"/>
      <c r="F43" s="400"/>
      <c r="G43" s="626"/>
      <c r="H43" s="626"/>
      <c r="I43" s="662" t="s">
        <v>402</v>
      </c>
      <c r="J43" s="774">
        <f>J12</f>
        <v>1758.02</v>
      </c>
      <c r="K43" s="85"/>
      <c r="L43" s="151"/>
      <c r="M43" s="400"/>
      <c r="N43" s="626"/>
      <c r="O43" s="626"/>
      <c r="P43" s="662" t="s">
        <v>402</v>
      </c>
      <c r="Q43" s="774">
        <f>Q12</f>
        <v>1758.02</v>
      </c>
      <c r="R43" s="85"/>
      <c r="S43" s="151"/>
      <c r="T43" s="400"/>
      <c r="U43" s="626"/>
      <c r="V43" s="626"/>
      <c r="W43" s="662" t="s">
        <v>402</v>
      </c>
      <c r="X43" s="774">
        <f>X12</f>
        <v>1758.02</v>
      </c>
      <c r="Y43" s="85"/>
      <c r="Z43" s="151"/>
      <c r="AA43" s="400"/>
      <c r="AB43" s="626"/>
      <c r="AC43" s="626"/>
      <c r="AD43" s="662" t="s">
        <v>402</v>
      </c>
      <c r="AE43" s="774">
        <f>AE12</f>
        <v>1758.02</v>
      </c>
      <c r="AF43" s="85"/>
      <c r="AG43" s="151"/>
      <c r="AH43" s="400"/>
      <c r="AI43" s="626"/>
    </row>
    <row r="44" spans="1:35" ht="15.75" customHeight="1">
      <c r="A44" s="400"/>
      <c r="B44" s="473" t="s">
        <v>403</v>
      </c>
      <c r="C44" s="815">
        <f>C42*C43</f>
        <v>351604</v>
      </c>
      <c r="D44" s="676"/>
      <c r="E44" s="151"/>
      <c r="F44" s="400"/>
      <c r="G44" s="626"/>
      <c r="H44" s="626"/>
      <c r="I44" s="473" t="s">
        <v>403</v>
      </c>
      <c r="J44" s="815">
        <f>J42*J43</f>
        <v>351604</v>
      </c>
      <c r="K44" s="676"/>
      <c r="L44" s="151"/>
      <c r="M44" s="400"/>
      <c r="N44" s="626"/>
      <c r="O44" s="626"/>
      <c r="P44" s="473" t="s">
        <v>403</v>
      </c>
      <c r="Q44" s="815">
        <f>Q42*Q43</f>
        <v>351604</v>
      </c>
      <c r="R44" s="676"/>
      <c r="S44" s="151"/>
      <c r="T44" s="400"/>
      <c r="U44" s="626"/>
      <c r="V44" s="626"/>
      <c r="W44" s="473" t="s">
        <v>403</v>
      </c>
      <c r="X44" s="815">
        <f>X42*X43</f>
        <v>351604</v>
      </c>
      <c r="Y44" s="676"/>
      <c r="Z44" s="151"/>
      <c r="AA44" s="400"/>
      <c r="AB44" s="626"/>
      <c r="AC44" s="626"/>
      <c r="AD44" s="473" t="s">
        <v>403</v>
      </c>
      <c r="AE44" s="815">
        <f>AE42*AE43</f>
        <v>351604</v>
      </c>
      <c r="AF44" s="676"/>
      <c r="AG44" s="151"/>
      <c r="AH44" s="400"/>
      <c r="AI44" s="626"/>
    </row>
    <row r="45" spans="1:35">
      <c r="A45" s="400"/>
      <c r="B45" s="741"/>
      <c r="C45" s="270"/>
      <c r="D45" s="43"/>
      <c r="E45" s="778"/>
      <c r="F45" s="738"/>
      <c r="G45" s="626"/>
      <c r="H45" s="626"/>
      <c r="I45" s="741"/>
      <c r="J45" s="270"/>
      <c r="K45" s="43"/>
      <c r="L45" s="778"/>
      <c r="M45" s="738"/>
      <c r="N45" s="626"/>
      <c r="O45" s="626"/>
      <c r="P45" s="741"/>
      <c r="Q45" s="270"/>
      <c r="R45" s="43"/>
      <c r="S45" s="778"/>
      <c r="T45" s="738"/>
      <c r="U45" s="626"/>
      <c r="V45" s="626"/>
      <c r="W45" s="741"/>
      <c r="X45" s="270"/>
      <c r="Y45" s="43"/>
      <c r="Z45" s="778"/>
      <c r="AA45" s="738"/>
      <c r="AB45" s="626"/>
      <c r="AC45" s="626"/>
      <c r="AD45" s="741"/>
      <c r="AE45" s="270"/>
      <c r="AF45" s="43"/>
      <c r="AG45" s="778"/>
      <c r="AH45" s="738"/>
      <c r="AI45" s="626"/>
    </row>
    <row r="46" spans="1:35" ht="13.5" customHeight="1">
      <c r="A46" s="400"/>
      <c r="B46" s="307"/>
      <c r="C46" s="856"/>
      <c r="D46" s="43"/>
      <c r="E46" s="778"/>
      <c r="F46" s="738"/>
      <c r="G46" s="626"/>
      <c r="H46" s="626"/>
      <c r="I46" s="307"/>
      <c r="J46" s="856"/>
      <c r="K46" s="43"/>
      <c r="L46" s="778"/>
      <c r="M46" s="738"/>
      <c r="N46" s="626"/>
      <c r="O46" s="626"/>
      <c r="P46" s="307"/>
      <c r="Q46" s="856"/>
      <c r="R46" s="43"/>
      <c r="S46" s="778"/>
      <c r="T46" s="738"/>
      <c r="U46" s="626"/>
      <c r="V46" s="626"/>
      <c r="W46" s="307"/>
      <c r="X46" s="856"/>
      <c r="Y46" s="43"/>
      <c r="Z46" s="778"/>
      <c r="AA46" s="738"/>
      <c r="AB46" s="626"/>
      <c r="AC46" s="626"/>
      <c r="AD46" s="307"/>
      <c r="AE46" s="856"/>
      <c r="AF46" s="43"/>
      <c r="AG46" s="778"/>
      <c r="AH46" s="738"/>
      <c r="AI46" s="626"/>
    </row>
    <row r="47" spans="1:35" ht="13.5" customHeight="1">
      <c r="A47" s="400"/>
      <c r="B47" s="105" t="s">
        <v>404</v>
      </c>
      <c r="C47" s="141"/>
      <c r="D47" s="795"/>
      <c r="E47" s="778"/>
      <c r="F47" s="738"/>
      <c r="G47" s="626"/>
      <c r="H47" s="626"/>
      <c r="I47" s="105" t="s">
        <v>404</v>
      </c>
      <c r="J47" s="141"/>
      <c r="K47" s="795"/>
      <c r="L47" s="778"/>
      <c r="M47" s="738"/>
      <c r="N47" s="626"/>
      <c r="O47" s="626"/>
      <c r="P47" s="105" t="s">
        <v>404</v>
      </c>
      <c r="Q47" s="141"/>
      <c r="R47" s="795"/>
      <c r="S47" s="778"/>
      <c r="T47" s="738"/>
      <c r="U47" s="626"/>
      <c r="V47" s="626"/>
      <c r="W47" s="105" t="s">
        <v>404</v>
      </c>
      <c r="X47" s="141"/>
      <c r="Y47" s="795"/>
      <c r="Z47" s="778"/>
      <c r="AA47" s="738"/>
      <c r="AB47" s="626"/>
      <c r="AC47" s="626"/>
      <c r="AD47" s="105" t="s">
        <v>404</v>
      </c>
      <c r="AE47" s="141"/>
      <c r="AF47" s="795"/>
      <c r="AG47" s="778"/>
      <c r="AH47" s="738"/>
      <c r="AI47" s="626"/>
    </row>
    <row r="48" spans="1:35">
      <c r="A48" s="400"/>
      <c r="B48" s="458" t="s">
        <v>399</v>
      </c>
      <c r="C48" s="786">
        <f>C38</f>
        <v>1014129.9999999999</v>
      </c>
      <c r="D48" s="274"/>
      <c r="E48" s="778"/>
      <c r="F48" s="738"/>
      <c r="G48" s="626"/>
      <c r="H48" s="626"/>
      <c r="I48" s="458" t="s">
        <v>399</v>
      </c>
      <c r="J48" s="786">
        <f>J38</f>
        <v>1014129.9999999999</v>
      </c>
      <c r="K48" s="274"/>
      <c r="L48" s="778"/>
      <c r="M48" s="738"/>
      <c r="N48" s="626"/>
      <c r="O48" s="626"/>
      <c r="P48" s="458" t="s">
        <v>399</v>
      </c>
      <c r="Q48" s="786">
        <f>Q38</f>
        <v>1014129.9999999999</v>
      </c>
      <c r="R48" s="274"/>
      <c r="S48" s="778"/>
      <c r="T48" s="738"/>
      <c r="U48" s="626"/>
      <c r="V48" s="626"/>
      <c r="W48" s="458" t="s">
        <v>399</v>
      </c>
      <c r="X48" s="786">
        <f>X38</f>
        <v>1014129.9999999999</v>
      </c>
      <c r="Y48" s="274"/>
      <c r="Z48" s="778"/>
      <c r="AA48" s="738"/>
      <c r="AB48" s="626"/>
      <c r="AC48" s="626"/>
      <c r="AD48" s="458" t="s">
        <v>399</v>
      </c>
      <c r="AE48" s="786">
        <f>AE38</f>
        <v>1014129.9999999999</v>
      </c>
      <c r="AF48" s="274"/>
      <c r="AG48" s="778"/>
      <c r="AH48" s="738"/>
      <c r="AI48" s="626"/>
    </row>
    <row r="49" spans="1:35" ht="13.5" customHeight="1">
      <c r="A49" s="400"/>
      <c r="B49" s="801" t="s">
        <v>403</v>
      </c>
      <c r="C49" s="774">
        <f>C44</f>
        <v>351604</v>
      </c>
      <c r="D49" s="274"/>
      <c r="E49" s="778"/>
      <c r="F49" s="738"/>
      <c r="G49" s="626"/>
      <c r="H49" s="626"/>
      <c r="I49" s="801" t="s">
        <v>403</v>
      </c>
      <c r="J49" s="774">
        <f>J44</f>
        <v>351604</v>
      </c>
      <c r="K49" s="274"/>
      <c r="L49" s="778"/>
      <c r="M49" s="738"/>
      <c r="N49" s="626"/>
      <c r="O49" s="626"/>
      <c r="P49" s="801" t="s">
        <v>403</v>
      </c>
      <c r="Q49" s="774">
        <f>Q44</f>
        <v>351604</v>
      </c>
      <c r="R49" s="274"/>
      <c r="S49" s="778"/>
      <c r="T49" s="738"/>
      <c r="U49" s="626"/>
      <c r="V49" s="626"/>
      <c r="W49" s="801" t="s">
        <v>403</v>
      </c>
      <c r="X49" s="774">
        <f>X44</f>
        <v>351604</v>
      </c>
      <c r="Y49" s="274"/>
      <c r="Z49" s="778"/>
      <c r="AA49" s="738"/>
      <c r="AB49" s="626"/>
      <c r="AC49" s="626"/>
      <c r="AD49" s="801" t="s">
        <v>403</v>
      </c>
      <c r="AE49" s="774">
        <f>AE44</f>
        <v>351604</v>
      </c>
      <c r="AF49" s="274"/>
      <c r="AG49" s="778"/>
      <c r="AH49" s="738"/>
      <c r="AI49" s="626"/>
    </row>
    <row r="50" spans="1:35" ht="15.75" customHeight="1">
      <c r="A50" s="400"/>
      <c r="B50" s="375" t="s">
        <v>405</v>
      </c>
      <c r="C50" s="815">
        <f>C48+C49</f>
        <v>1365734</v>
      </c>
      <c r="D50" s="795"/>
      <c r="E50" s="778"/>
      <c r="F50" s="738"/>
      <c r="G50" s="626"/>
      <c r="H50" s="626"/>
      <c r="I50" s="375" t="s">
        <v>405</v>
      </c>
      <c r="J50" s="815">
        <f>J48+J49</f>
        <v>1365734</v>
      </c>
      <c r="K50" s="795"/>
      <c r="L50" s="778"/>
      <c r="M50" s="738"/>
      <c r="N50" s="626"/>
      <c r="O50" s="626"/>
      <c r="P50" s="375" t="s">
        <v>405</v>
      </c>
      <c r="Q50" s="815">
        <f>Q48+Q49</f>
        <v>1365734</v>
      </c>
      <c r="R50" s="795"/>
      <c r="S50" s="778"/>
      <c r="T50" s="738"/>
      <c r="U50" s="626"/>
      <c r="V50" s="626"/>
      <c r="W50" s="375" t="s">
        <v>405</v>
      </c>
      <c r="X50" s="815">
        <f>X48+X49</f>
        <v>1365734</v>
      </c>
      <c r="Y50" s="795"/>
      <c r="Z50" s="778"/>
      <c r="AA50" s="738"/>
      <c r="AB50" s="626"/>
      <c r="AC50" s="626"/>
      <c r="AD50" s="375" t="s">
        <v>405</v>
      </c>
      <c r="AE50" s="815">
        <f>AE48+AE49</f>
        <v>1365734</v>
      </c>
      <c r="AF50" s="795"/>
      <c r="AG50" s="778"/>
      <c r="AH50" s="738"/>
      <c r="AI50" s="626"/>
    </row>
    <row r="51" spans="1:35">
      <c r="A51" s="400"/>
      <c r="B51" s="741"/>
      <c r="C51" s="270"/>
      <c r="D51" s="43"/>
      <c r="E51" s="778"/>
      <c r="F51" s="738"/>
      <c r="G51" s="626"/>
      <c r="H51" s="626"/>
      <c r="I51" s="741"/>
      <c r="J51" s="270"/>
      <c r="K51" s="43"/>
      <c r="L51" s="778"/>
      <c r="M51" s="738"/>
      <c r="N51" s="626"/>
      <c r="O51" s="626"/>
      <c r="P51" s="741"/>
      <c r="Q51" s="270"/>
      <c r="R51" s="43"/>
      <c r="S51" s="778"/>
      <c r="T51" s="738"/>
      <c r="U51" s="626"/>
      <c r="V51" s="626"/>
      <c r="W51" s="741"/>
      <c r="X51" s="270"/>
      <c r="Y51" s="43"/>
      <c r="Z51" s="778"/>
      <c r="AA51" s="738"/>
      <c r="AB51" s="626"/>
      <c r="AC51" s="626"/>
      <c r="AD51" s="741"/>
      <c r="AE51" s="270"/>
      <c r="AF51" s="43"/>
      <c r="AG51" s="778"/>
      <c r="AH51" s="738"/>
      <c r="AI51" s="626"/>
    </row>
    <row r="52" spans="1:35" ht="13.5" customHeight="1">
      <c r="A52" s="400"/>
      <c r="B52" s="751"/>
      <c r="C52" s="195"/>
      <c r="D52" s="195"/>
      <c r="E52" s="195"/>
      <c r="F52" s="410"/>
      <c r="G52" s="626"/>
      <c r="H52" s="626"/>
      <c r="I52" s="751"/>
      <c r="J52" s="195"/>
      <c r="K52" s="195"/>
      <c r="L52" s="195"/>
      <c r="M52" s="410"/>
      <c r="N52" s="626"/>
      <c r="O52" s="626"/>
      <c r="P52" s="751"/>
      <c r="Q52" s="195"/>
      <c r="R52" s="195"/>
      <c r="S52" s="195"/>
      <c r="T52" s="410"/>
      <c r="U52" s="626"/>
      <c r="V52" s="626"/>
      <c r="W52" s="751"/>
      <c r="X52" s="195"/>
      <c r="Y52" s="195"/>
      <c r="Z52" s="195"/>
      <c r="AA52" s="410"/>
      <c r="AB52" s="626"/>
      <c r="AC52" s="626"/>
      <c r="AD52" s="751"/>
      <c r="AE52" s="195"/>
      <c r="AF52" s="195"/>
      <c r="AG52" s="195"/>
      <c r="AH52" s="410"/>
      <c r="AI52" s="626"/>
    </row>
    <row r="53" spans="1:35">
      <c r="A53" s="400"/>
      <c r="B53" s="241"/>
      <c r="C53" s="623"/>
      <c r="D53" s="623"/>
      <c r="E53" s="623"/>
      <c r="F53" s="761"/>
      <c r="G53" s="626"/>
      <c r="H53" s="626"/>
      <c r="I53" s="241"/>
      <c r="J53" s="623"/>
      <c r="K53" s="623"/>
      <c r="L53" s="623"/>
      <c r="M53" s="761"/>
      <c r="N53" s="626"/>
      <c r="O53" s="626"/>
      <c r="P53" s="241"/>
      <c r="Q53" s="623"/>
      <c r="R53" s="623"/>
      <c r="S53" s="623"/>
      <c r="T53" s="761"/>
      <c r="U53" s="626"/>
      <c r="V53" s="626"/>
      <c r="W53" s="241"/>
      <c r="X53" s="623"/>
      <c r="Y53" s="623"/>
      <c r="Z53" s="623"/>
      <c r="AA53" s="761"/>
      <c r="AB53" s="626"/>
      <c r="AC53" s="626"/>
      <c r="AD53" s="241"/>
      <c r="AE53" s="623"/>
      <c r="AF53" s="623"/>
      <c r="AG53" s="623"/>
      <c r="AH53" s="761"/>
      <c r="AI53" s="626"/>
    </row>
    <row r="54" spans="1:35">
      <c r="A54" s="400"/>
      <c r="B54" s="525"/>
      <c r="C54" s="518"/>
      <c r="D54" s="518"/>
      <c r="E54" s="518"/>
      <c r="F54" s="93"/>
      <c r="G54" s="626"/>
      <c r="H54" s="626"/>
      <c r="I54" s="525"/>
      <c r="J54" s="518"/>
      <c r="K54" s="518"/>
      <c r="L54" s="518"/>
      <c r="M54" s="93"/>
      <c r="N54" s="626"/>
      <c r="O54" s="626"/>
      <c r="P54" s="525"/>
      <c r="Q54" s="518"/>
      <c r="R54" s="518"/>
      <c r="S54" s="518"/>
      <c r="T54" s="93"/>
      <c r="U54" s="626"/>
      <c r="V54" s="626"/>
      <c r="W54" s="525"/>
      <c r="X54" s="518"/>
      <c r="Y54" s="518"/>
      <c r="Z54" s="518"/>
      <c r="AA54" s="93"/>
      <c r="AB54" s="626"/>
      <c r="AC54" s="626"/>
      <c r="AD54" s="525"/>
      <c r="AE54" s="518"/>
      <c r="AF54" s="518"/>
      <c r="AG54" s="518"/>
      <c r="AH54" s="93"/>
      <c r="AI54" s="626"/>
    </row>
    <row r="55" spans="1:35">
      <c r="A55" s="400"/>
      <c r="B55" s="525"/>
      <c r="C55" s="518"/>
      <c r="D55" s="518"/>
      <c r="E55" s="518"/>
      <c r="F55" s="93"/>
      <c r="G55" s="626"/>
      <c r="H55" s="626"/>
      <c r="I55" s="525"/>
      <c r="J55" s="518"/>
      <c r="K55" s="518"/>
      <c r="L55" s="518"/>
      <c r="M55" s="93"/>
      <c r="N55" s="626"/>
      <c r="O55" s="626"/>
      <c r="P55" s="525"/>
      <c r="Q55" s="518"/>
      <c r="R55" s="518"/>
      <c r="S55" s="518"/>
      <c r="T55" s="93"/>
      <c r="U55" s="626"/>
      <c r="V55" s="626"/>
      <c r="W55" s="525"/>
      <c r="X55" s="518"/>
      <c r="Y55" s="518"/>
      <c r="Z55" s="518"/>
      <c r="AA55" s="93"/>
      <c r="AB55" s="626"/>
      <c r="AC55" s="626"/>
      <c r="AD55" s="525"/>
      <c r="AE55" s="518"/>
      <c r="AF55" s="518"/>
      <c r="AG55" s="518"/>
      <c r="AH55" s="93"/>
      <c r="AI55" s="626"/>
    </row>
    <row r="56" spans="1:35" ht="13.5" customHeight="1">
      <c r="A56" s="400"/>
      <c r="B56" s="240"/>
      <c r="C56" s="229"/>
      <c r="D56" s="229"/>
      <c r="E56" s="229"/>
      <c r="F56" s="123"/>
      <c r="G56" s="539"/>
      <c r="H56" s="539"/>
      <c r="I56" s="240"/>
      <c r="J56" s="229"/>
      <c r="K56" s="229"/>
      <c r="L56" s="229"/>
      <c r="M56" s="123"/>
      <c r="N56" s="626"/>
      <c r="O56" s="626"/>
      <c r="P56" s="240"/>
      <c r="Q56" s="229"/>
      <c r="R56" s="229"/>
      <c r="S56" s="229"/>
      <c r="T56" s="123"/>
      <c r="U56" s="626"/>
      <c r="V56" s="626"/>
      <c r="W56" s="240"/>
      <c r="X56" s="229"/>
      <c r="Y56" s="229"/>
      <c r="Z56" s="229"/>
      <c r="AA56" s="123"/>
      <c r="AB56" s="626"/>
      <c r="AC56" s="626"/>
      <c r="AD56" s="240"/>
      <c r="AE56" s="229"/>
      <c r="AF56" s="229"/>
      <c r="AG56" s="229"/>
      <c r="AH56" s="123"/>
      <c r="AI56" s="626"/>
    </row>
    <row r="57" spans="1:35" ht="16.5" customHeight="1">
      <c r="A57" s="400"/>
      <c r="B57" s="887" t="s">
        <v>406</v>
      </c>
      <c r="C57" s="888"/>
      <c r="D57" s="888"/>
      <c r="E57" s="888"/>
      <c r="F57" s="889"/>
      <c r="G57" s="759"/>
      <c r="H57" s="383"/>
      <c r="I57" s="887" t="s">
        <v>406</v>
      </c>
      <c r="J57" s="888"/>
      <c r="K57" s="888"/>
      <c r="L57" s="888"/>
      <c r="M57" s="889"/>
      <c r="N57" s="753"/>
      <c r="O57" s="626"/>
      <c r="P57" s="887" t="s">
        <v>406</v>
      </c>
      <c r="Q57" s="888"/>
      <c r="R57" s="888"/>
      <c r="S57" s="888"/>
      <c r="T57" s="889"/>
      <c r="U57" s="753"/>
      <c r="V57" s="626"/>
      <c r="W57" s="887" t="s">
        <v>406</v>
      </c>
      <c r="X57" s="888"/>
      <c r="Y57" s="888"/>
      <c r="Z57" s="888"/>
      <c r="AA57" s="889"/>
      <c r="AB57" s="753"/>
      <c r="AC57" s="626"/>
      <c r="AD57" s="887" t="s">
        <v>406</v>
      </c>
      <c r="AE57" s="888"/>
      <c r="AF57" s="888"/>
      <c r="AG57" s="888"/>
      <c r="AH57" s="889"/>
      <c r="AI57" s="753"/>
    </row>
    <row r="58" spans="1:35" ht="36" customHeight="1">
      <c r="A58" s="400"/>
      <c r="B58" s="892" t="s">
        <v>407</v>
      </c>
      <c r="C58" s="893"/>
      <c r="D58" s="893"/>
      <c r="E58" s="893"/>
      <c r="F58" s="894"/>
      <c r="G58" s="8"/>
      <c r="H58" s="622"/>
      <c r="I58" s="892" t="s">
        <v>407</v>
      </c>
      <c r="J58" s="893"/>
      <c r="K58" s="893"/>
      <c r="L58" s="893"/>
      <c r="M58" s="894"/>
      <c r="N58" s="753"/>
      <c r="O58" s="626"/>
      <c r="P58" s="892" t="s">
        <v>408</v>
      </c>
      <c r="Q58" s="893"/>
      <c r="R58" s="893"/>
      <c r="S58" s="893"/>
      <c r="T58" s="894"/>
      <c r="U58" s="753"/>
      <c r="V58" s="626"/>
      <c r="W58" s="892" t="s">
        <v>408</v>
      </c>
      <c r="X58" s="893"/>
      <c r="Y58" s="893"/>
      <c r="Z58" s="893"/>
      <c r="AA58" s="894"/>
      <c r="AB58" s="753"/>
      <c r="AC58" s="626"/>
      <c r="AD58" s="892" t="s">
        <v>408</v>
      </c>
      <c r="AE58" s="893"/>
      <c r="AF58" s="893"/>
      <c r="AG58" s="893"/>
      <c r="AH58" s="894"/>
      <c r="AI58" s="753"/>
    </row>
    <row r="59" spans="1:35" ht="16.5" customHeight="1">
      <c r="A59" s="400"/>
      <c r="B59" s="597"/>
      <c r="C59" s="760"/>
      <c r="D59" s="760"/>
      <c r="E59" s="760"/>
      <c r="F59" s="842"/>
      <c r="G59" s="626"/>
      <c r="H59" s="626"/>
      <c r="I59" s="597"/>
      <c r="J59" s="760"/>
      <c r="K59" s="760"/>
      <c r="L59" s="760"/>
      <c r="M59" s="842"/>
      <c r="N59" s="626"/>
      <c r="O59" s="626"/>
      <c r="P59" s="597"/>
      <c r="Q59" s="760"/>
      <c r="R59" s="760"/>
      <c r="S59" s="760"/>
      <c r="T59" s="842"/>
      <c r="U59" s="626"/>
      <c r="V59" s="626"/>
      <c r="W59" s="597"/>
      <c r="X59" s="760"/>
      <c r="Y59" s="760"/>
      <c r="Z59" s="760"/>
      <c r="AA59" s="842"/>
      <c r="AB59" s="626"/>
      <c r="AC59" s="626"/>
      <c r="AD59" s="597"/>
      <c r="AE59" s="760"/>
      <c r="AF59" s="760"/>
      <c r="AG59" s="760"/>
      <c r="AH59" s="842"/>
      <c r="AI59" s="626"/>
    </row>
    <row r="60" spans="1:35" ht="26.25" customHeight="1">
      <c r="A60" s="400"/>
      <c r="B60" s="787" t="s">
        <v>387</v>
      </c>
      <c r="C60" s="403" t="s">
        <v>388</v>
      </c>
      <c r="D60" s="787" t="s">
        <v>389</v>
      </c>
      <c r="E60" s="787" t="s">
        <v>390</v>
      </c>
      <c r="F60" s="550"/>
      <c r="G60" s="626"/>
      <c r="H60" s="626"/>
      <c r="I60" s="787" t="s">
        <v>387</v>
      </c>
      <c r="J60" s="403" t="s">
        <v>388</v>
      </c>
      <c r="K60" s="787" t="s">
        <v>389</v>
      </c>
      <c r="L60" s="787" t="s">
        <v>390</v>
      </c>
      <c r="M60" s="550"/>
      <c r="N60" s="626"/>
      <c r="O60" s="626"/>
      <c r="P60" s="787" t="s">
        <v>387</v>
      </c>
      <c r="Q60" s="403" t="s">
        <v>388</v>
      </c>
      <c r="R60" s="787" t="s">
        <v>389</v>
      </c>
      <c r="S60" s="787" t="s">
        <v>390</v>
      </c>
      <c r="T60" s="550"/>
      <c r="U60" s="626"/>
      <c r="V60" s="626"/>
      <c r="W60" s="787" t="s">
        <v>387</v>
      </c>
      <c r="X60" s="403" t="s">
        <v>388</v>
      </c>
      <c r="Y60" s="787" t="s">
        <v>389</v>
      </c>
      <c r="Z60" s="787" t="s">
        <v>390</v>
      </c>
      <c r="AA60" s="550"/>
      <c r="AB60" s="626"/>
      <c r="AC60" s="626"/>
      <c r="AD60" s="787" t="s">
        <v>387</v>
      </c>
      <c r="AE60" s="403" t="s">
        <v>388</v>
      </c>
      <c r="AF60" s="787" t="s">
        <v>389</v>
      </c>
      <c r="AG60" s="787" t="s">
        <v>390</v>
      </c>
      <c r="AH60" s="550"/>
      <c r="AI60" s="626"/>
    </row>
    <row r="61" spans="1:35">
      <c r="A61" s="400"/>
      <c r="B61" s="79">
        <v>4</v>
      </c>
      <c r="C61" s="28">
        <v>50</v>
      </c>
      <c r="D61" s="28"/>
      <c r="E61" s="516">
        <f>C61+D61</f>
        <v>50</v>
      </c>
      <c r="F61" s="762"/>
      <c r="G61" s="626"/>
      <c r="H61" s="626"/>
      <c r="I61" s="79">
        <v>4</v>
      </c>
      <c r="J61" s="28">
        <v>50</v>
      </c>
      <c r="K61" s="28"/>
      <c r="L61" s="516">
        <f>J61+K61</f>
        <v>50</v>
      </c>
      <c r="M61" s="762"/>
      <c r="N61" s="626"/>
      <c r="O61" s="626"/>
      <c r="P61" s="79">
        <v>4</v>
      </c>
      <c r="Q61" s="28">
        <v>50</v>
      </c>
      <c r="R61" s="28"/>
      <c r="S61" s="516">
        <f>Q61+R61</f>
        <v>50</v>
      </c>
      <c r="T61" s="762"/>
      <c r="U61" s="626"/>
      <c r="V61" s="626"/>
      <c r="W61" s="79">
        <v>4</v>
      </c>
      <c r="X61" s="28">
        <v>50</v>
      </c>
      <c r="Y61" s="28"/>
      <c r="Z61" s="516">
        <f>X61+Y61</f>
        <v>50</v>
      </c>
      <c r="AA61" s="762"/>
      <c r="AB61" s="626"/>
      <c r="AC61" s="626"/>
      <c r="AD61" s="79">
        <v>4</v>
      </c>
      <c r="AE61" s="28">
        <v>50</v>
      </c>
      <c r="AF61" s="28"/>
      <c r="AG61" s="516">
        <f>AE61+AF61</f>
        <v>50</v>
      </c>
      <c r="AH61" s="762"/>
      <c r="AI61" s="626"/>
    </row>
    <row r="62" spans="1:35">
      <c r="A62" s="400"/>
      <c r="B62" s="159">
        <v>5</v>
      </c>
      <c r="C62" s="121">
        <v>50</v>
      </c>
      <c r="D62" s="121"/>
      <c r="E62" s="632">
        <f>C62+D62</f>
        <v>50</v>
      </c>
      <c r="F62" s="762"/>
      <c r="G62" s="626"/>
      <c r="H62" s="626"/>
      <c r="I62" s="159">
        <v>5</v>
      </c>
      <c r="J62" s="121">
        <v>50</v>
      </c>
      <c r="K62" s="121"/>
      <c r="L62" s="632">
        <f>J62+K62</f>
        <v>50</v>
      </c>
      <c r="M62" s="762"/>
      <c r="N62" s="626"/>
      <c r="O62" s="626"/>
      <c r="P62" s="159">
        <v>5</v>
      </c>
      <c r="Q62" s="121">
        <v>50</v>
      </c>
      <c r="R62" s="121"/>
      <c r="S62" s="632">
        <f>Q62+R62</f>
        <v>50</v>
      </c>
      <c r="T62" s="762"/>
      <c r="U62" s="626"/>
      <c r="V62" s="626"/>
      <c r="W62" s="159">
        <v>5</v>
      </c>
      <c r="X62" s="121">
        <v>50</v>
      </c>
      <c r="Y62" s="121"/>
      <c r="Z62" s="632">
        <f>X62+Y62</f>
        <v>50</v>
      </c>
      <c r="AA62" s="762"/>
      <c r="AB62" s="626"/>
      <c r="AC62" s="626"/>
      <c r="AD62" s="159">
        <v>5</v>
      </c>
      <c r="AE62" s="121">
        <v>50</v>
      </c>
      <c r="AF62" s="121"/>
      <c r="AG62" s="632">
        <f>AE62+AF62</f>
        <v>50</v>
      </c>
      <c r="AH62" s="762"/>
      <c r="AI62" s="626"/>
    </row>
    <row r="63" spans="1:35">
      <c r="A63" s="400"/>
      <c r="B63" s="159">
        <v>6</v>
      </c>
      <c r="C63" s="121">
        <v>50</v>
      </c>
      <c r="D63" s="121"/>
      <c r="E63" s="632">
        <f>C63+D63</f>
        <v>50</v>
      </c>
      <c r="F63" s="762"/>
      <c r="G63" s="626"/>
      <c r="H63" s="626"/>
      <c r="I63" s="159">
        <v>6</v>
      </c>
      <c r="J63" s="121"/>
      <c r="K63" s="121"/>
      <c r="L63" s="632">
        <f>J63+K63</f>
        <v>0</v>
      </c>
      <c r="M63" s="762"/>
      <c r="N63" s="626"/>
      <c r="O63" s="626"/>
      <c r="P63" s="159">
        <v>6</v>
      </c>
      <c r="Q63" s="121">
        <v>50</v>
      </c>
      <c r="R63" s="121"/>
      <c r="S63" s="632">
        <f>Q63+R63</f>
        <v>50</v>
      </c>
      <c r="T63" s="762"/>
      <c r="U63" s="626"/>
      <c r="V63" s="626"/>
      <c r="W63" s="159">
        <v>6</v>
      </c>
      <c r="X63" s="121">
        <v>50</v>
      </c>
      <c r="Y63" s="121"/>
      <c r="Z63" s="632">
        <f>X63+Y63</f>
        <v>50</v>
      </c>
      <c r="AA63" s="762"/>
      <c r="AB63" s="626"/>
      <c r="AC63" s="626"/>
      <c r="AD63" s="159">
        <v>6</v>
      </c>
      <c r="AE63" s="121">
        <v>50</v>
      </c>
      <c r="AF63" s="121"/>
      <c r="AG63" s="632">
        <f>AE63+AF63</f>
        <v>50</v>
      </c>
      <c r="AH63" s="762"/>
      <c r="AI63" s="626"/>
    </row>
    <row r="64" spans="1:35">
      <c r="A64" s="400"/>
      <c r="B64" s="159">
        <v>7</v>
      </c>
      <c r="C64" s="121">
        <v>50</v>
      </c>
      <c r="D64" s="121"/>
      <c r="E64" s="632">
        <f>C64+D64</f>
        <v>50</v>
      </c>
      <c r="F64" s="762"/>
      <c r="G64" s="626"/>
      <c r="H64" s="626"/>
      <c r="I64" s="159">
        <v>7</v>
      </c>
      <c r="J64" s="121"/>
      <c r="K64" s="121"/>
      <c r="L64" s="632">
        <f>J64+K64</f>
        <v>0</v>
      </c>
      <c r="M64" s="762"/>
      <c r="N64" s="626"/>
      <c r="O64" s="626"/>
      <c r="P64" s="159">
        <v>7</v>
      </c>
      <c r="Q64" s="121">
        <v>50</v>
      </c>
      <c r="R64" s="121"/>
      <c r="S64" s="632">
        <f>Q64+R64</f>
        <v>50</v>
      </c>
      <c r="T64" s="762"/>
      <c r="U64" s="626"/>
      <c r="V64" s="626"/>
      <c r="W64" s="159">
        <v>7</v>
      </c>
      <c r="X64" s="121">
        <v>50</v>
      </c>
      <c r="Y64" s="121"/>
      <c r="Z64" s="632">
        <f>X64+Y64</f>
        <v>50</v>
      </c>
      <c r="AA64" s="762"/>
      <c r="AB64" s="626"/>
      <c r="AC64" s="626"/>
      <c r="AD64" s="159">
        <v>7</v>
      </c>
      <c r="AE64" s="121">
        <v>50</v>
      </c>
      <c r="AF64" s="121"/>
      <c r="AG64" s="632">
        <f>AE64+AF64</f>
        <v>50</v>
      </c>
      <c r="AH64" s="762"/>
      <c r="AI64" s="626"/>
    </row>
    <row r="65" spans="1:35" ht="13.5" customHeight="1">
      <c r="A65" s="400"/>
      <c r="B65" s="159">
        <v>8</v>
      </c>
      <c r="C65" s="121">
        <v>50</v>
      </c>
      <c r="D65" s="121"/>
      <c r="E65" s="281">
        <f>C65+D65</f>
        <v>50</v>
      </c>
      <c r="F65" s="762"/>
      <c r="G65" s="626"/>
      <c r="H65" s="626"/>
      <c r="I65" s="159">
        <v>8</v>
      </c>
      <c r="J65" s="121"/>
      <c r="K65" s="121"/>
      <c r="L65" s="281">
        <f>J65+K65</f>
        <v>0</v>
      </c>
      <c r="M65" s="762"/>
      <c r="N65" s="626"/>
      <c r="O65" s="626"/>
      <c r="P65" s="159">
        <v>8</v>
      </c>
      <c r="Q65" s="121">
        <v>50</v>
      </c>
      <c r="R65" s="121"/>
      <c r="S65" s="281">
        <f>Q65+R65</f>
        <v>50</v>
      </c>
      <c r="T65" s="762"/>
      <c r="U65" s="626"/>
      <c r="V65" s="626"/>
      <c r="W65" s="159">
        <v>8</v>
      </c>
      <c r="X65" s="121">
        <v>50</v>
      </c>
      <c r="Y65" s="121"/>
      <c r="Z65" s="281">
        <f>X65+Y65</f>
        <v>50</v>
      </c>
      <c r="AA65" s="762"/>
      <c r="AB65" s="626"/>
      <c r="AC65" s="626"/>
      <c r="AD65" s="159">
        <v>8</v>
      </c>
      <c r="AE65" s="121">
        <v>50</v>
      </c>
      <c r="AF65" s="121"/>
      <c r="AG65" s="281">
        <f>AE65+AF65</f>
        <v>50</v>
      </c>
      <c r="AH65" s="762"/>
      <c r="AI65" s="626"/>
    </row>
    <row r="66" spans="1:35" ht="13.5" customHeight="1">
      <c r="A66" s="400"/>
      <c r="B66" s="534" t="s">
        <v>316</v>
      </c>
      <c r="C66" s="171">
        <f>SUM(C61:C65)</f>
        <v>250</v>
      </c>
      <c r="D66" s="209">
        <f>SUM(D61:D65)</f>
        <v>0</v>
      </c>
      <c r="E66" s="519">
        <f>SUM(E61:E65)</f>
        <v>250</v>
      </c>
      <c r="F66" s="550"/>
      <c r="G66" s="626"/>
      <c r="H66" s="626"/>
      <c r="I66" s="534" t="s">
        <v>316</v>
      </c>
      <c r="J66" s="171">
        <f>SUM(J61:J65)</f>
        <v>100</v>
      </c>
      <c r="K66" s="209">
        <f>SUM(K61:K65)</f>
        <v>0</v>
      </c>
      <c r="L66" s="519">
        <f>SUM(L61:L65)</f>
        <v>100</v>
      </c>
      <c r="M66" s="550"/>
      <c r="N66" s="626"/>
      <c r="O66" s="626"/>
      <c r="P66" s="534" t="s">
        <v>316</v>
      </c>
      <c r="Q66" s="171">
        <f>SUM(Q61:Q65)</f>
        <v>250</v>
      </c>
      <c r="R66" s="209">
        <f>SUM(R61:R65)</f>
        <v>0</v>
      </c>
      <c r="S66" s="519">
        <f>SUM(S61:S65)</f>
        <v>250</v>
      </c>
      <c r="T66" s="550"/>
      <c r="U66" s="626"/>
      <c r="V66" s="626"/>
      <c r="W66" s="534" t="s">
        <v>316</v>
      </c>
      <c r="X66" s="171">
        <f>SUM(X61:X65)</f>
        <v>250</v>
      </c>
      <c r="Y66" s="209">
        <f>SUM(Y61:Y65)</f>
        <v>0</v>
      </c>
      <c r="Z66" s="519">
        <f>SUM(Z61:Z65)</f>
        <v>250</v>
      </c>
      <c r="AA66" s="550"/>
      <c r="AB66" s="626"/>
      <c r="AC66" s="626"/>
      <c r="AD66" s="534" t="s">
        <v>316</v>
      </c>
      <c r="AE66" s="171">
        <f>SUM(AE61:AE65)</f>
        <v>250</v>
      </c>
      <c r="AF66" s="209">
        <f>SUM(AF61:AF65)</f>
        <v>0</v>
      </c>
      <c r="AG66" s="519">
        <f>SUM(AG61:AG65)</f>
        <v>250</v>
      </c>
      <c r="AH66" s="550"/>
      <c r="AI66" s="626"/>
    </row>
    <row r="67" spans="1:35" ht="13.5" customHeight="1">
      <c r="A67" s="400"/>
      <c r="B67" s="571" t="s">
        <v>393</v>
      </c>
      <c r="C67" s="648">
        <v>1</v>
      </c>
      <c r="D67" s="648">
        <v>0.4</v>
      </c>
      <c r="E67" s="655"/>
      <c r="F67" s="400"/>
      <c r="G67" s="626"/>
      <c r="H67" s="626"/>
      <c r="I67" s="571" t="s">
        <v>393</v>
      </c>
      <c r="J67" s="648">
        <v>1</v>
      </c>
      <c r="K67" s="648">
        <v>0.4</v>
      </c>
      <c r="L67" s="655"/>
      <c r="M67" s="400"/>
      <c r="N67" s="626"/>
      <c r="O67" s="626"/>
      <c r="P67" s="571" t="s">
        <v>393</v>
      </c>
      <c r="Q67" s="648">
        <v>1</v>
      </c>
      <c r="R67" s="648">
        <v>0.4</v>
      </c>
      <c r="S67" s="655"/>
      <c r="T67" s="400"/>
      <c r="U67" s="626"/>
      <c r="V67" s="626"/>
      <c r="W67" s="571" t="s">
        <v>393</v>
      </c>
      <c r="X67" s="648">
        <v>1</v>
      </c>
      <c r="Y67" s="648">
        <v>0.4</v>
      </c>
      <c r="Z67" s="655"/>
      <c r="AA67" s="400"/>
      <c r="AB67" s="626"/>
      <c r="AC67" s="626"/>
      <c r="AD67" s="571" t="s">
        <v>393</v>
      </c>
      <c r="AE67" s="648">
        <v>1</v>
      </c>
      <c r="AF67" s="648">
        <v>0.4</v>
      </c>
      <c r="AG67" s="655"/>
      <c r="AH67" s="400"/>
      <c r="AI67" s="626"/>
    </row>
    <row r="68" spans="1:35" ht="13.5" customHeight="1">
      <c r="A68" s="400"/>
      <c r="B68" s="787" t="s">
        <v>317</v>
      </c>
      <c r="C68" s="519">
        <f>C66*C67</f>
        <v>250</v>
      </c>
      <c r="D68" s="470">
        <f>D66*D67</f>
        <v>0</v>
      </c>
      <c r="E68" s="706">
        <f>C68+D68</f>
        <v>250</v>
      </c>
      <c r="F68" s="550"/>
      <c r="G68" s="626"/>
      <c r="H68" s="626"/>
      <c r="I68" s="787" t="s">
        <v>317</v>
      </c>
      <c r="J68" s="519">
        <f>J66*J67</f>
        <v>100</v>
      </c>
      <c r="K68" s="470">
        <f>K66*K67</f>
        <v>0</v>
      </c>
      <c r="L68" s="706">
        <f>J68+K68</f>
        <v>100</v>
      </c>
      <c r="M68" s="550"/>
      <c r="N68" s="626"/>
      <c r="O68" s="626"/>
      <c r="P68" s="787" t="s">
        <v>317</v>
      </c>
      <c r="Q68" s="519">
        <f>Q66*Q67</f>
        <v>250</v>
      </c>
      <c r="R68" s="470">
        <f>R66*R67</f>
        <v>0</v>
      </c>
      <c r="S68" s="706">
        <f>Q68+R68</f>
        <v>250</v>
      </c>
      <c r="T68" s="550"/>
      <c r="U68" s="626"/>
      <c r="V68" s="626"/>
      <c r="W68" s="787" t="s">
        <v>317</v>
      </c>
      <c r="X68" s="519">
        <f>X66*X67</f>
        <v>250</v>
      </c>
      <c r="Y68" s="470">
        <f>Y66*Y67</f>
        <v>0</v>
      </c>
      <c r="Z68" s="706">
        <f>X68+Y68</f>
        <v>250</v>
      </c>
      <c r="AA68" s="550"/>
      <c r="AB68" s="626"/>
      <c r="AC68" s="626"/>
      <c r="AD68" s="787" t="s">
        <v>317</v>
      </c>
      <c r="AE68" s="519">
        <f>AE66*AE67</f>
        <v>250</v>
      </c>
      <c r="AF68" s="470">
        <f>AF66*AF67</f>
        <v>0</v>
      </c>
      <c r="AG68" s="706">
        <f>AE68+AF68</f>
        <v>250</v>
      </c>
      <c r="AH68" s="550"/>
      <c r="AI68" s="626"/>
    </row>
    <row r="69" spans="1:35">
      <c r="A69" s="400"/>
      <c r="B69" s="359"/>
      <c r="C69" s="269"/>
      <c r="D69" s="391"/>
      <c r="E69" s="269"/>
      <c r="F69" s="400"/>
      <c r="G69" s="626"/>
      <c r="H69" s="626"/>
      <c r="I69" s="359"/>
      <c r="J69" s="269"/>
      <c r="K69" s="391"/>
      <c r="L69" s="269"/>
      <c r="M69" s="400"/>
      <c r="N69" s="626"/>
      <c r="O69" s="626"/>
      <c r="P69" s="359"/>
      <c r="Q69" s="269"/>
      <c r="R69" s="391"/>
      <c r="S69" s="269"/>
      <c r="T69" s="400"/>
      <c r="U69" s="626"/>
      <c r="V69" s="626"/>
      <c r="W69" s="359"/>
      <c r="X69" s="269"/>
      <c r="Y69" s="391"/>
      <c r="Z69" s="269"/>
      <c r="AA69" s="400"/>
      <c r="AB69" s="626"/>
      <c r="AC69" s="626"/>
      <c r="AD69" s="359"/>
      <c r="AE69" s="269"/>
      <c r="AF69" s="391"/>
      <c r="AG69" s="269"/>
      <c r="AH69" s="400"/>
      <c r="AI69" s="626"/>
    </row>
    <row r="70" spans="1:35" ht="13.5" customHeight="1">
      <c r="A70" s="400"/>
      <c r="B70" s="175"/>
      <c r="C70" s="574"/>
      <c r="D70" s="151"/>
      <c r="E70" s="19"/>
      <c r="F70" s="400"/>
      <c r="G70" s="626"/>
      <c r="H70" s="626"/>
      <c r="I70" s="175"/>
      <c r="J70" s="574"/>
      <c r="K70" s="151"/>
      <c r="L70" s="19"/>
      <c r="M70" s="400"/>
      <c r="N70" s="626"/>
      <c r="O70" s="626"/>
      <c r="P70" s="175"/>
      <c r="Q70" s="574"/>
      <c r="R70" s="151"/>
      <c r="S70" s="19"/>
      <c r="T70" s="400"/>
      <c r="U70" s="626"/>
      <c r="V70" s="626"/>
      <c r="W70" s="175"/>
      <c r="X70" s="574"/>
      <c r="Y70" s="151"/>
      <c r="Z70" s="19"/>
      <c r="AA70" s="400"/>
      <c r="AB70" s="626"/>
      <c r="AC70" s="626"/>
      <c r="AD70" s="175"/>
      <c r="AE70" s="574"/>
      <c r="AF70" s="151"/>
      <c r="AG70" s="19"/>
      <c r="AH70" s="400"/>
      <c r="AI70" s="626"/>
    </row>
    <row r="71" spans="1:35" ht="13.5" customHeight="1">
      <c r="A71" s="400"/>
      <c r="B71" s="890" t="s">
        <v>318</v>
      </c>
      <c r="C71" s="891"/>
      <c r="D71" s="676"/>
      <c r="E71" s="19"/>
      <c r="F71" s="400"/>
      <c r="G71" s="626"/>
      <c r="H71" s="626"/>
      <c r="I71" s="890" t="s">
        <v>318</v>
      </c>
      <c r="J71" s="891"/>
      <c r="K71" s="676"/>
      <c r="L71" s="19"/>
      <c r="M71" s="400"/>
      <c r="N71" s="626"/>
      <c r="O71" s="626"/>
      <c r="P71" s="890" t="s">
        <v>318</v>
      </c>
      <c r="Q71" s="891"/>
      <c r="R71" s="676"/>
      <c r="S71" s="19"/>
      <c r="T71" s="400"/>
      <c r="U71" s="626"/>
      <c r="V71" s="626"/>
      <c r="W71" s="890" t="s">
        <v>318</v>
      </c>
      <c r="X71" s="891"/>
      <c r="Y71" s="676"/>
      <c r="Z71" s="19"/>
      <c r="AA71" s="400"/>
      <c r="AB71" s="626"/>
      <c r="AC71" s="626"/>
      <c r="AD71" s="890" t="s">
        <v>318</v>
      </c>
      <c r="AE71" s="891"/>
      <c r="AF71" s="676"/>
      <c r="AG71" s="19"/>
      <c r="AH71" s="400"/>
      <c r="AI71" s="626"/>
    </row>
    <row r="72" spans="1:35">
      <c r="A72" s="400"/>
      <c r="B72" s="446" t="s">
        <v>319</v>
      </c>
      <c r="C72" s="575">
        <f>E68</f>
        <v>250</v>
      </c>
      <c r="D72" s="85"/>
      <c r="E72" s="19"/>
      <c r="F72" s="400"/>
      <c r="G72" s="626"/>
      <c r="H72" s="626"/>
      <c r="I72" s="446" t="s">
        <v>319</v>
      </c>
      <c r="J72" s="503">
        <f>L68</f>
        <v>100</v>
      </c>
      <c r="K72" s="85"/>
      <c r="L72" s="19"/>
      <c r="M72" s="400"/>
      <c r="N72" s="626"/>
      <c r="O72" s="626"/>
      <c r="P72" s="446" t="s">
        <v>319</v>
      </c>
      <c r="Q72" s="503">
        <f>S68</f>
        <v>250</v>
      </c>
      <c r="R72" s="85"/>
      <c r="S72" s="19"/>
      <c r="T72" s="400"/>
      <c r="U72" s="626"/>
      <c r="V72" s="626"/>
      <c r="W72" s="446" t="s">
        <v>319</v>
      </c>
      <c r="X72" s="503">
        <f>Z68</f>
        <v>250</v>
      </c>
      <c r="Y72" s="85"/>
      <c r="Z72" s="19"/>
      <c r="AA72" s="400"/>
      <c r="AB72" s="626"/>
      <c r="AC72" s="626"/>
      <c r="AD72" s="446" t="s">
        <v>319</v>
      </c>
      <c r="AE72" s="503">
        <f>AG68</f>
        <v>250</v>
      </c>
      <c r="AF72" s="85"/>
      <c r="AG72" s="19"/>
      <c r="AH72" s="400"/>
      <c r="AI72" s="626"/>
    </row>
    <row r="73" spans="1:35" ht="13.5" customHeight="1">
      <c r="A73" s="400"/>
      <c r="B73" s="662" t="s">
        <v>320</v>
      </c>
      <c r="C73" s="774">
        <f>C13</f>
        <v>4738.92</v>
      </c>
      <c r="D73" s="85"/>
      <c r="E73" s="19"/>
      <c r="F73" s="400"/>
      <c r="G73" s="626"/>
      <c r="H73" s="626"/>
      <c r="I73" s="662" t="s">
        <v>320</v>
      </c>
      <c r="J73" s="774">
        <f>J13</f>
        <v>4738.92</v>
      </c>
      <c r="K73" s="85"/>
      <c r="L73" s="19"/>
      <c r="M73" s="400"/>
      <c r="N73" s="626"/>
      <c r="O73" s="626"/>
      <c r="P73" s="662" t="s">
        <v>320</v>
      </c>
      <c r="Q73" s="774">
        <f>Q13</f>
        <v>4738.92</v>
      </c>
      <c r="R73" s="85"/>
      <c r="S73" s="19"/>
      <c r="T73" s="400"/>
      <c r="U73" s="626"/>
      <c r="V73" s="626"/>
      <c r="W73" s="662" t="s">
        <v>320</v>
      </c>
      <c r="X73" s="774">
        <f>X13</f>
        <v>4738.92</v>
      </c>
      <c r="Y73" s="85"/>
      <c r="Z73" s="19"/>
      <c r="AA73" s="400"/>
      <c r="AB73" s="626"/>
      <c r="AC73" s="626"/>
      <c r="AD73" s="662" t="s">
        <v>320</v>
      </c>
      <c r="AE73" s="774">
        <f>AE13</f>
        <v>4738.92</v>
      </c>
      <c r="AF73" s="85"/>
      <c r="AG73" s="19"/>
      <c r="AH73" s="400"/>
      <c r="AI73" s="626"/>
    </row>
    <row r="74" spans="1:35" ht="15.75" customHeight="1">
      <c r="A74" s="400"/>
      <c r="B74" s="473" t="s">
        <v>321</v>
      </c>
      <c r="C74" s="815">
        <f>C72*C73</f>
        <v>1184730</v>
      </c>
      <c r="D74" s="676"/>
      <c r="E74" s="19"/>
      <c r="F74" s="400"/>
      <c r="G74" s="626"/>
      <c r="H74" s="626"/>
      <c r="I74" s="473" t="s">
        <v>321</v>
      </c>
      <c r="J74" s="815">
        <f>J72*J73</f>
        <v>473892</v>
      </c>
      <c r="K74" s="676"/>
      <c r="L74" s="19"/>
      <c r="M74" s="400"/>
      <c r="N74" s="626"/>
      <c r="O74" s="626"/>
      <c r="P74" s="473" t="s">
        <v>321</v>
      </c>
      <c r="Q74" s="815">
        <f>Q72*Q73</f>
        <v>1184730</v>
      </c>
      <c r="R74" s="676"/>
      <c r="S74" s="19"/>
      <c r="T74" s="400"/>
      <c r="U74" s="626"/>
      <c r="V74" s="626"/>
      <c r="W74" s="473" t="s">
        <v>321</v>
      </c>
      <c r="X74" s="815">
        <f>X72*X73</f>
        <v>1184730</v>
      </c>
      <c r="Y74" s="676"/>
      <c r="Z74" s="19"/>
      <c r="AA74" s="400"/>
      <c r="AB74" s="626"/>
      <c r="AC74" s="626"/>
      <c r="AD74" s="473" t="s">
        <v>321</v>
      </c>
      <c r="AE74" s="815">
        <f>AE72*AE73</f>
        <v>1184730</v>
      </c>
      <c r="AF74" s="676"/>
      <c r="AG74" s="19"/>
      <c r="AH74" s="400"/>
      <c r="AI74" s="626"/>
    </row>
    <row r="75" spans="1:35" ht="15" customHeight="1">
      <c r="A75" s="400"/>
      <c r="B75" s="63"/>
      <c r="C75" s="800"/>
      <c r="D75" s="151"/>
      <c r="E75" s="151"/>
      <c r="F75" s="740"/>
      <c r="G75" s="34"/>
      <c r="H75" s="626"/>
      <c r="I75" s="63"/>
      <c r="J75" s="800"/>
      <c r="K75" s="151"/>
      <c r="L75" s="151"/>
      <c r="M75" s="740"/>
      <c r="N75" s="34"/>
      <c r="O75" s="626"/>
      <c r="P75" s="63"/>
      <c r="Q75" s="800"/>
      <c r="R75" s="151"/>
      <c r="S75" s="151"/>
      <c r="T75" s="740"/>
      <c r="U75" s="34"/>
      <c r="V75" s="626"/>
      <c r="W75" s="63"/>
      <c r="X75" s="800"/>
      <c r="Y75" s="151"/>
      <c r="Z75" s="151"/>
      <c r="AA75" s="740"/>
      <c r="AB75" s="34"/>
      <c r="AC75" s="626"/>
      <c r="AD75" s="63"/>
      <c r="AE75" s="800"/>
      <c r="AF75" s="151"/>
      <c r="AG75" s="151"/>
      <c r="AH75" s="740"/>
      <c r="AI75" s="34"/>
    </row>
    <row r="76" spans="1:35" ht="15.75" customHeight="1">
      <c r="A76" s="400"/>
      <c r="B76" s="619"/>
      <c r="C76" s="117"/>
      <c r="D76" s="151"/>
      <c r="E76" s="151"/>
      <c r="F76" s="740"/>
      <c r="G76" s="34"/>
      <c r="H76" s="626"/>
      <c r="I76" s="619"/>
      <c r="J76" s="117"/>
      <c r="K76" s="151"/>
      <c r="L76" s="151"/>
      <c r="M76" s="740"/>
      <c r="N76" s="34"/>
      <c r="O76" s="626"/>
      <c r="P76" s="619"/>
      <c r="Q76" s="117"/>
      <c r="R76" s="151"/>
      <c r="S76" s="151"/>
      <c r="T76" s="740"/>
      <c r="U76" s="34"/>
      <c r="V76" s="626"/>
      <c r="W76" s="619"/>
      <c r="X76" s="117"/>
      <c r="Y76" s="151"/>
      <c r="Z76" s="151"/>
      <c r="AA76" s="740"/>
      <c r="AB76" s="34"/>
      <c r="AC76" s="626"/>
      <c r="AD76" s="619"/>
      <c r="AE76" s="117"/>
      <c r="AF76" s="151"/>
      <c r="AG76" s="151"/>
      <c r="AH76" s="740"/>
      <c r="AI76" s="34"/>
    </row>
    <row r="77" spans="1:35" ht="13.5" customHeight="1">
      <c r="A77" s="400"/>
      <c r="B77" s="890" t="s">
        <v>322</v>
      </c>
      <c r="C77" s="891"/>
      <c r="D77" s="676"/>
      <c r="E77" s="151"/>
      <c r="F77" s="740"/>
      <c r="G77" s="753"/>
      <c r="H77" s="626"/>
      <c r="I77" s="890" t="s">
        <v>322</v>
      </c>
      <c r="J77" s="891"/>
      <c r="K77" s="676"/>
      <c r="L77" s="151"/>
      <c r="M77" s="740"/>
      <c r="N77" s="753"/>
      <c r="O77" s="626"/>
      <c r="P77" s="890" t="s">
        <v>322</v>
      </c>
      <c r="Q77" s="891"/>
      <c r="R77" s="676"/>
      <c r="S77" s="151"/>
      <c r="T77" s="740"/>
      <c r="U77" s="753"/>
      <c r="V77" s="626"/>
      <c r="W77" s="890" t="s">
        <v>322</v>
      </c>
      <c r="X77" s="891"/>
      <c r="Y77" s="676"/>
      <c r="Z77" s="151"/>
      <c r="AA77" s="740"/>
      <c r="AB77" s="753"/>
      <c r="AC77" s="626"/>
      <c r="AD77" s="890" t="s">
        <v>322</v>
      </c>
      <c r="AE77" s="891"/>
      <c r="AF77" s="676"/>
      <c r="AG77" s="151"/>
      <c r="AH77" s="740"/>
      <c r="AI77" s="753"/>
    </row>
    <row r="78" spans="1:35">
      <c r="A78" s="400"/>
      <c r="B78" s="446" t="s">
        <v>323</v>
      </c>
      <c r="C78" s="181">
        <f>E66</f>
        <v>250</v>
      </c>
      <c r="D78" s="85"/>
      <c r="E78" s="151"/>
      <c r="F78" s="740"/>
      <c r="G78" s="626"/>
      <c r="H78" s="626"/>
      <c r="I78" s="446" t="s">
        <v>323</v>
      </c>
      <c r="J78" s="181">
        <f>L66</f>
        <v>100</v>
      </c>
      <c r="K78" s="85"/>
      <c r="L78" s="151"/>
      <c r="M78" s="740"/>
      <c r="N78" s="626"/>
      <c r="O78" s="626"/>
      <c r="P78" s="446" t="s">
        <v>323</v>
      </c>
      <c r="Q78" s="181">
        <f>S66</f>
        <v>250</v>
      </c>
      <c r="R78" s="85"/>
      <c r="S78" s="151"/>
      <c r="T78" s="740"/>
      <c r="U78" s="626"/>
      <c r="V78" s="626"/>
      <c r="W78" s="446" t="s">
        <v>323</v>
      </c>
      <c r="X78" s="181">
        <f>Z66</f>
        <v>250</v>
      </c>
      <c r="Y78" s="85"/>
      <c r="Z78" s="151"/>
      <c r="AA78" s="740"/>
      <c r="AB78" s="626"/>
      <c r="AC78" s="626"/>
      <c r="AD78" s="446" t="s">
        <v>323</v>
      </c>
      <c r="AE78" s="181">
        <f>AG66</f>
        <v>250</v>
      </c>
      <c r="AF78" s="85"/>
      <c r="AG78" s="151"/>
      <c r="AH78" s="740"/>
      <c r="AI78" s="626"/>
    </row>
    <row r="79" spans="1:35" ht="13.5" customHeight="1">
      <c r="A79" s="400"/>
      <c r="B79" s="662" t="s">
        <v>324</v>
      </c>
      <c r="C79" s="774">
        <f>C14</f>
        <v>1643.01</v>
      </c>
      <c r="D79" s="85"/>
      <c r="E79" s="151"/>
      <c r="F79" s="400"/>
      <c r="G79" s="626"/>
      <c r="H79" s="626"/>
      <c r="I79" s="662" t="s">
        <v>324</v>
      </c>
      <c r="J79" s="774">
        <f>J14</f>
        <v>1643.01</v>
      </c>
      <c r="K79" s="85"/>
      <c r="L79" s="151"/>
      <c r="M79" s="400"/>
      <c r="N79" s="626"/>
      <c r="O79" s="626"/>
      <c r="P79" s="662" t="s">
        <v>324</v>
      </c>
      <c r="Q79" s="774">
        <f>Q14</f>
        <v>1643.01</v>
      </c>
      <c r="R79" s="85"/>
      <c r="S79" s="151"/>
      <c r="T79" s="400"/>
      <c r="U79" s="626"/>
      <c r="V79" s="626"/>
      <c r="W79" s="662" t="s">
        <v>324</v>
      </c>
      <c r="X79" s="774">
        <f>X14</f>
        <v>1643.01</v>
      </c>
      <c r="Y79" s="85"/>
      <c r="Z79" s="151"/>
      <c r="AA79" s="400"/>
      <c r="AB79" s="626"/>
      <c r="AC79" s="626"/>
      <c r="AD79" s="662" t="s">
        <v>324</v>
      </c>
      <c r="AE79" s="774">
        <f>AE14</f>
        <v>1643.01</v>
      </c>
      <c r="AF79" s="85"/>
      <c r="AG79" s="151"/>
      <c r="AH79" s="400"/>
      <c r="AI79" s="626"/>
    </row>
    <row r="80" spans="1:35" ht="15.75" customHeight="1">
      <c r="A80" s="400"/>
      <c r="B80" s="473" t="s">
        <v>325</v>
      </c>
      <c r="C80" s="815">
        <f>C78*C79</f>
        <v>410752.5</v>
      </c>
      <c r="D80" s="676"/>
      <c r="E80" s="151"/>
      <c r="F80" s="400"/>
      <c r="G80" s="626"/>
      <c r="H80" s="626"/>
      <c r="I80" s="473" t="s">
        <v>325</v>
      </c>
      <c r="J80" s="815">
        <f>J78*J79</f>
        <v>164301</v>
      </c>
      <c r="K80" s="676"/>
      <c r="L80" s="151"/>
      <c r="M80" s="400"/>
      <c r="N80" s="626"/>
      <c r="O80" s="626"/>
      <c r="P80" s="473" t="s">
        <v>325</v>
      </c>
      <c r="Q80" s="815">
        <f>Q78*Q79</f>
        <v>410752.5</v>
      </c>
      <c r="R80" s="676"/>
      <c r="S80" s="151"/>
      <c r="T80" s="400"/>
      <c r="U80" s="626"/>
      <c r="V80" s="626"/>
      <c r="W80" s="473" t="s">
        <v>325</v>
      </c>
      <c r="X80" s="815">
        <f>X78*X79</f>
        <v>410752.5</v>
      </c>
      <c r="Y80" s="676"/>
      <c r="Z80" s="151"/>
      <c r="AA80" s="400"/>
      <c r="AB80" s="626"/>
      <c r="AC80" s="626"/>
      <c r="AD80" s="473" t="s">
        <v>325</v>
      </c>
      <c r="AE80" s="815">
        <f>AE78*AE79</f>
        <v>410752.5</v>
      </c>
      <c r="AF80" s="676"/>
      <c r="AG80" s="151"/>
      <c r="AH80" s="400"/>
      <c r="AI80" s="626"/>
    </row>
    <row r="81" spans="1:35">
      <c r="A81" s="400"/>
      <c r="B81" s="741"/>
      <c r="C81" s="270"/>
      <c r="D81" s="43"/>
      <c r="E81" s="778"/>
      <c r="F81" s="738"/>
      <c r="G81" s="626"/>
      <c r="H81" s="626"/>
      <c r="I81" s="741"/>
      <c r="J81" s="270"/>
      <c r="K81" s="43"/>
      <c r="L81" s="778"/>
      <c r="M81" s="738"/>
      <c r="N81" s="626"/>
      <c r="O81" s="626"/>
      <c r="P81" s="741"/>
      <c r="Q81" s="270"/>
      <c r="R81" s="43"/>
      <c r="S81" s="778"/>
      <c r="T81" s="738"/>
      <c r="U81" s="626"/>
      <c r="V81" s="626"/>
      <c r="W81" s="741"/>
      <c r="X81" s="270"/>
      <c r="Y81" s="43"/>
      <c r="Z81" s="778"/>
      <c r="AA81" s="738"/>
      <c r="AB81" s="626"/>
      <c r="AC81" s="626"/>
      <c r="AD81" s="741"/>
      <c r="AE81" s="270"/>
      <c r="AF81" s="43"/>
      <c r="AG81" s="778"/>
      <c r="AH81" s="738"/>
      <c r="AI81" s="626"/>
    </row>
    <row r="82" spans="1:35" ht="13.5" customHeight="1">
      <c r="A82" s="400"/>
      <c r="B82" s="307"/>
      <c r="C82" s="856"/>
      <c r="D82" s="43"/>
      <c r="E82" s="778"/>
      <c r="F82" s="738"/>
      <c r="G82" s="626"/>
      <c r="H82" s="626"/>
      <c r="I82" s="307"/>
      <c r="J82" s="856"/>
      <c r="K82" s="43"/>
      <c r="L82" s="778"/>
      <c r="M82" s="738"/>
      <c r="N82" s="626"/>
      <c r="O82" s="626"/>
      <c r="P82" s="307"/>
      <c r="Q82" s="856"/>
      <c r="R82" s="43"/>
      <c r="S82" s="778"/>
      <c r="T82" s="738"/>
      <c r="U82" s="626"/>
      <c r="V82" s="626"/>
      <c r="W82" s="307"/>
      <c r="X82" s="856"/>
      <c r="Y82" s="43"/>
      <c r="Z82" s="778"/>
      <c r="AA82" s="738"/>
      <c r="AB82" s="626"/>
      <c r="AC82" s="626"/>
      <c r="AD82" s="307"/>
      <c r="AE82" s="856"/>
      <c r="AF82" s="43"/>
      <c r="AG82" s="778"/>
      <c r="AH82" s="738"/>
      <c r="AI82" s="626"/>
    </row>
    <row r="83" spans="1:35" ht="13.5" customHeight="1">
      <c r="A83" s="400"/>
      <c r="B83" s="890" t="s">
        <v>326</v>
      </c>
      <c r="C83" s="891"/>
      <c r="D83" s="795"/>
      <c r="E83" s="778"/>
      <c r="F83" s="738"/>
      <c r="G83" s="626"/>
      <c r="H83" s="626"/>
      <c r="I83" s="890" t="s">
        <v>326</v>
      </c>
      <c r="J83" s="891"/>
      <c r="K83" s="795"/>
      <c r="L83" s="778"/>
      <c r="M83" s="738"/>
      <c r="N83" s="626"/>
      <c r="O83" s="626"/>
      <c r="P83" s="890" t="s">
        <v>326</v>
      </c>
      <c r="Q83" s="891"/>
      <c r="R83" s="795"/>
      <c r="S83" s="778"/>
      <c r="T83" s="738"/>
      <c r="U83" s="626"/>
      <c r="V83" s="626"/>
      <c r="W83" s="890" t="s">
        <v>326</v>
      </c>
      <c r="X83" s="891"/>
      <c r="Y83" s="795"/>
      <c r="Z83" s="778"/>
      <c r="AA83" s="738"/>
      <c r="AB83" s="626"/>
      <c r="AC83" s="626"/>
      <c r="AD83" s="890" t="s">
        <v>326</v>
      </c>
      <c r="AE83" s="891"/>
      <c r="AF83" s="795"/>
      <c r="AG83" s="778"/>
      <c r="AH83" s="738"/>
      <c r="AI83" s="626"/>
    </row>
    <row r="84" spans="1:35">
      <c r="A84" s="400"/>
      <c r="B84" s="446" t="s">
        <v>321</v>
      </c>
      <c r="C84" s="776">
        <f>C74</f>
        <v>1184730</v>
      </c>
      <c r="D84" s="274"/>
      <c r="E84" s="778"/>
      <c r="F84" s="738"/>
      <c r="G84" s="626"/>
      <c r="H84" s="626"/>
      <c r="I84" s="446" t="s">
        <v>321</v>
      </c>
      <c r="J84" s="776">
        <f>J74</f>
        <v>473892</v>
      </c>
      <c r="K84" s="274"/>
      <c r="L84" s="778"/>
      <c r="M84" s="738"/>
      <c r="N84" s="626"/>
      <c r="O84" s="626"/>
      <c r="P84" s="446" t="s">
        <v>321</v>
      </c>
      <c r="Q84" s="776">
        <f>Q74</f>
        <v>1184730</v>
      </c>
      <c r="R84" s="274"/>
      <c r="S84" s="778"/>
      <c r="T84" s="738"/>
      <c r="U84" s="626"/>
      <c r="V84" s="626"/>
      <c r="W84" s="446" t="s">
        <v>321</v>
      </c>
      <c r="X84" s="776">
        <f>X74</f>
        <v>1184730</v>
      </c>
      <c r="Y84" s="274"/>
      <c r="Z84" s="778"/>
      <c r="AA84" s="738"/>
      <c r="AB84" s="626"/>
      <c r="AC84" s="626"/>
      <c r="AD84" s="446" t="s">
        <v>321</v>
      </c>
      <c r="AE84" s="776">
        <f>AE74</f>
        <v>1184730</v>
      </c>
      <c r="AF84" s="274"/>
      <c r="AG84" s="778"/>
      <c r="AH84" s="738"/>
      <c r="AI84" s="626"/>
    </row>
    <row r="85" spans="1:35" ht="13.5" customHeight="1">
      <c r="A85" s="400"/>
      <c r="B85" s="781" t="s">
        <v>325</v>
      </c>
      <c r="C85" s="460">
        <f>C80</f>
        <v>410752.5</v>
      </c>
      <c r="D85" s="274"/>
      <c r="E85" s="778"/>
      <c r="F85" s="738"/>
      <c r="G85" s="626"/>
      <c r="H85" s="626"/>
      <c r="I85" s="781" t="s">
        <v>325</v>
      </c>
      <c r="J85" s="460">
        <f>J80</f>
        <v>164301</v>
      </c>
      <c r="K85" s="274"/>
      <c r="L85" s="778"/>
      <c r="M85" s="738"/>
      <c r="N85" s="626"/>
      <c r="O85" s="626"/>
      <c r="P85" s="781" t="s">
        <v>325</v>
      </c>
      <c r="Q85" s="460">
        <f>Q80</f>
        <v>410752.5</v>
      </c>
      <c r="R85" s="274"/>
      <c r="S85" s="778"/>
      <c r="T85" s="738"/>
      <c r="U85" s="626"/>
      <c r="V85" s="626"/>
      <c r="W85" s="781" t="s">
        <v>325</v>
      </c>
      <c r="X85" s="460">
        <f>X80</f>
        <v>410752.5</v>
      </c>
      <c r="Y85" s="274"/>
      <c r="Z85" s="778"/>
      <c r="AA85" s="738"/>
      <c r="AB85" s="626"/>
      <c r="AC85" s="626"/>
      <c r="AD85" s="781" t="s">
        <v>325</v>
      </c>
      <c r="AE85" s="460">
        <f>AE80</f>
        <v>410752.5</v>
      </c>
      <c r="AF85" s="274"/>
      <c r="AG85" s="778"/>
      <c r="AH85" s="738"/>
      <c r="AI85" s="626"/>
    </row>
    <row r="86" spans="1:35" ht="15.75" customHeight="1">
      <c r="A86" s="400"/>
      <c r="B86" s="375" t="s">
        <v>327</v>
      </c>
      <c r="C86" s="815">
        <f>C84+C85</f>
        <v>1595482.5</v>
      </c>
      <c r="D86" s="795"/>
      <c r="E86" s="778"/>
      <c r="F86" s="738"/>
      <c r="G86" s="626"/>
      <c r="H86" s="626"/>
      <c r="I86" s="375" t="s">
        <v>327</v>
      </c>
      <c r="J86" s="815">
        <f>J84+J85</f>
        <v>638193</v>
      </c>
      <c r="K86" s="795"/>
      <c r="L86" s="778"/>
      <c r="M86" s="738"/>
      <c r="N86" s="626"/>
      <c r="O86" s="626"/>
      <c r="P86" s="375" t="s">
        <v>327</v>
      </c>
      <c r="Q86" s="815">
        <f>Q84+Q85</f>
        <v>1595482.5</v>
      </c>
      <c r="R86" s="795"/>
      <c r="S86" s="778"/>
      <c r="T86" s="738"/>
      <c r="U86" s="626"/>
      <c r="V86" s="626"/>
      <c r="W86" s="375" t="s">
        <v>327</v>
      </c>
      <c r="X86" s="815">
        <f>X84+X85</f>
        <v>1595482.5</v>
      </c>
      <c r="Y86" s="795"/>
      <c r="Z86" s="778"/>
      <c r="AA86" s="738"/>
      <c r="AB86" s="626"/>
      <c r="AC86" s="626"/>
      <c r="AD86" s="375" t="s">
        <v>327</v>
      </c>
      <c r="AE86" s="815">
        <f>AE84+AE85</f>
        <v>1595482.5</v>
      </c>
      <c r="AF86" s="795"/>
      <c r="AG86" s="778"/>
      <c r="AH86" s="738"/>
      <c r="AI86" s="626"/>
    </row>
    <row r="87" spans="1:35">
      <c r="A87" s="400"/>
      <c r="B87" s="741"/>
      <c r="C87" s="270"/>
      <c r="D87" s="43"/>
      <c r="E87" s="778"/>
      <c r="F87" s="738"/>
      <c r="G87" s="626"/>
      <c r="H87" s="626"/>
      <c r="I87" s="741"/>
      <c r="J87" s="270"/>
      <c r="K87" s="43"/>
      <c r="L87" s="778"/>
      <c r="M87" s="738"/>
      <c r="N87" s="626"/>
      <c r="O87" s="626"/>
      <c r="P87" s="741"/>
      <c r="Q87" s="270"/>
      <c r="R87" s="43"/>
      <c r="S87" s="778"/>
      <c r="T87" s="738"/>
      <c r="U87" s="626"/>
      <c r="V87" s="626"/>
      <c r="W87" s="741"/>
      <c r="X87" s="270"/>
      <c r="Y87" s="43"/>
      <c r="Z87" s="778"/>
      <c r="AA87" s="738"/>
      <c r="AB87" s="626"/>
      <c r="AC87" s="626"/>
      <c r="AD87" s="741"/>
      <c r="AE87" s="270"/>
      <c r="AF87" s="43"/>
      <c r="AG87" s="778"/>
      <c r="AH87" s="738"/>
      <c r="AI87" s="626"/>
    </row>
    <row r="88" spans="1:35">
      <c r="A88" s="400"/>
      <c r="B88" s="795"/>
      <c r="C88" s="43"/>
      <c r="D88" s="43"/>
      <c r="E88" s="778"/>
      <c r="F88" s="738"/>
      <c r="G88" s="626"/>
      <c r="H88" s="626"/>
      <c r="I88" s="795"/>
      <c r="J88" s="43"/>
      <c r="K88" s="43"/>
      <c r="L88" s="778"/>
      <c r="M88" s="738"/>
      <c r="N88" s="626"/>
      <c r="O88" s="626"/>
      <c r="P88" s="795"/>
      <c r="Q88" s="43"/>
      <c r="R88" s="43"/>
      <c r="S88" s="778"/>
      <c r="T88" s="738"/>
      <c r="U88" s="626"/>
      <c r="V88" s="626"/>
      <c r="W88" s="795"/>
      <c r="X88" s="43"/>
      <c r="Y88" s="43"/>
      <c r="Z88" s="778"/>
      <c r="AA88" s="738"/>
      <c r="AB88" s="626"/>
      <c r="AC88" s="626"/>
      <c r="AD88" s="795"/>
      <c r="AE88" s="43"/>
      <c r="AF88" s="43"/>
      <c r="AG88" s="778"/>
      <c r="AH88" s="738"/>
      <c r="AI88" s="626"/>
    </row>
    <row r="89" spans="1:35">
      <c r="A89" s="400"/>
      <c r="B89" s="795"/>
      <c r="C89" s="43"/>
      <c r="D89" s="43"/>
      <c r="E89" s="778"/>
      <c r="F89" s="738"/>
      <c r="G89" s="626"/>
      <c r="H89" s="626"/>
      <c r="I89" s="795"/>
      <c r="J89" s="43"/>
      <c r="K89" s="43"/>
      <c r="L89" s="778"/>
      <c r="M89" s="738"/>
      <c r="N89" s="626"/>
      <c r="O89" s="626"/>
      <c r="P89" s="795"/>
      <c r="Q89" s="43"/>
      <c r="R89" s="43"/>
      <c r="S89" s="778"/>
      <c r="T89" s="738"/>
      <c r="U89" s="626"/>
      <c r="V89" s="626"/>
      <c r="W89" s="795"/>
      <c r="X89" s="43"/>
      <c r="Y89" s="43"/>
      <c r="Z89" s="778"/>
      <c r="AA89" s="738"/>
      <c r="AB89" s="626"/>
      <c r="AC89" s="626"/>
      <c r="AD89" s="795"/>
      <c r="AE89" s="43"/>
      <c r="AF89" s="43"/>
      <c r="AG89" s="778"/>
      <c r="AH89" s="738"/>
      <c r="AI89" s="626"/>
    </row>
    <row r="90" spans="1:35" ht="13.5" customHeight="1">
      <c r="A90" s="400"/>
      <c r="B90" s="307"/>
      <c r="C90" s="856"/>
      <c r="D90" s="856"/>
      <c r="E90" s="195"/>
      <c r="F90" s="410"/>
      <c r="G90" s="539"/>
      <c r="H90" s="539"/>
      <c r="I90" s="307"/>
      <c r="J90" s="856"/>
      <c r="K90" s="856"/>
      <c r="L90" s="195"/>
      <c r="M90" s="410"/>
      <c r="N90" s="626"/>
      <c r="O90" s="626"/>
      <c r="P90" s="307"/>
      <c r="Q90" s="856"/>
      <c r="R90" s="856"/>
      <c r="S90" s="195"/>
      <c r="T90" s="410"/>
      <c r="U90" s="626"/>
      <c r="V90" s="626"/>
      <c r="W90" s="307"/>
      <c r="X90" s="856"/>
      <c r="Y90" s="856"/>
      <c r="Z90" s="195"/>
      <c r="AA90" s="410"/>
      <c r="AB90" s="626"/>
      <c r="AC90" s="626"/>
      <c r="AD90" s="307"/>
      <c r="AE90" s="856"/>
      <c r="AF90" s="856"/>
      <c r="AG90" s="195"/>
      <c r="AH90" s="410"/>
      <c r="AI90" s="626"/>
    </row>
    <row r="91" spans="1:35" ht="16.5" customHeight="1">
      <c r="A91" s="400"/>
      <c r="B91" s="887" t="s">
        <v>328</v>
      </c>
      <c r="C91" s="888"/>
      <c r="D91" s="888"/>
      <c r="E91" s="888"/>
      <c r="F91" s="889"/>
      <c r="G91" s="825"/>
      <c r="H91" s="705"/>
      <c r="I91" s="887" t="s">
        <v>328</v>
      </c>
      <c r="J91" s="888"/>
      <c r="K91" s="888"/>
      <c r="L91" s="888"/>
      <c r="M91" s="889"/>
      <c r="N91" s="626"/>
      <c r="O91" s="626"/>
      <c r="P91" s="887" t="s">
        <v>328</v>
      </c>
      <c r="Q91" s="888"/>
      <c r="R91" s="888"/>
      <c r="S91" s="888"/>
      <c r="T91" s="889"/>
      <c r="U91" s="626"/>
      <c r="V91" s="626"/>
      <c r="W91" s="887" t="s">
        <v>328</v>
      </c>
      <c r="X91" s="888"/>
      <c r="Y91" s="888"/>
      <c r="Z91" s="888"/>
      <c r="AA91" s="889"/>
      <c r="AB91" s="626"/>
      <c r="AC91" s="626"/>
      <c r="AD91" s="887" t="s">
        <v>328</v>
      </c>
      <c r="AE91" s="888"/>
      <c r="AF91" s="888"/>
      <c r="AG91" s="888"/>
      <c r="AH91" s="889"/>
      <c r="AI91" s="626"/>
    </row>
    <row r="92" spans="1:35" ht="34.5" customHeight="1">
      <c r="A92" s="400"/>
      <c r="B92" s="892" t="s">
        <v>329</v>
      </c>
      <c r="C92" s="893"/>
      <c r="D92" s="893"/>
      <c r="E92" s="893"/>
      <c r="F92" s="894"/>
      <c r="G92" s="317"/>
      <c r="H92" s="827"/>
      <c r="I92" s="892" t="s">
        <v>330</v>
      </c>
      <c r="J92" s="893"/>
      <c r="K92" s="893"/>
      <c r="L92" s="893"/>
      <c r="M92" s="894"/>
      <c r="N92" s="626"/>
      <c r="O92" s="626"/>
      <c r="P92" s="895" t="s">
        <v>331</v>
      </c>
      <c r="Q92" s="896"/>
      <c r="R92" s="896"/>
      <c r="S92" s="896"/>
      <c r="T92" s="897"/>
      <c r="U92" s="626"/>
      <c r="V92" s="626"/>
      <c r="W92" s="895" t="s">
        <v>331</v>
      </c>
      <c r="X92" s="896"/>
      <c r="Y92" s="896"/>
      <c r="Z92" s="896"/>
      <c r="AA92" s="897"/>
      <c r="AB92" s="626"/>
      <c r="AC92" s="626"/>
      <c r="AD92" s="895" t="s">
        <v>331</v>
      </c>
      <c r="AE92" s="896"/>
      <c r="AF92" s="896"/>
      <c r="AG92" s="896"/>
      <c r="AH92" s="897"/>
      <c r="AI92" s="626"/>
    </row>
    <row r="93" spans="1:35" ht="16.5" customHeight="1">
      <c r="A93" s="400"/>
      <c r="B93" s="597"/>
      <c r="C93" s="760"/>
      <c r="D93" s="760"/>
      <c r="E93" s="760"/>
      <c r="F93" s="148"/>
      <c r="G93" s="437"/>
      <c r="H93" s="115"/>
      <c r="I93" s="597"/>
      <c r="J93" s="760"/>
      <c r="K93" s="760"/>
      <c r="L93" s="760"/>
      <c r="M93" s="148"/>
      <c r="N93" s="626"/>
      <c r="O93" s="626"/>
      <c r="P93" s="597"/>
      <c r="Q93" s="760"/>
      <c r="R93" s="760"/>
      <c r="S93" s="760"/>
      <c r="T93" s="842"/>
      <c r="U93" s="626"/>
      <c r="V93" s="626"/>
      <c r="W93" s="597"/>
      <c r="X93" s="760"/>
      <c r="Y93" s="760"/>
      <c r="Z93" s="760"/>
      <c r="AA93" s="842"/>
      <c r="AB93" s="626"/>
      <c r="AC93" s="626"/>
      <c r="AD93" s="597"/>
      <c r="AE93" s="760"/>
      <c r="AF93" s="760"/>
      <c r="AG93" s="760"/>
      <c r="AH93" s="842"/>
      <c r="AI93" s="626"/>
    </row>
    <row r="94" spans="1:35" ht="26.25" customHeight="1">
      <c r="A94" s="400"/>
      <c r="B94" s="787" t="s">
        <v>387</v>
      </c>
      <c r="C94" s="403" t="s">
        <v>388</v>
      </c>
      <c r="D94" s="787" t="s">
        <v>332</v>
      </c>
      <c r="E94" s="787" t="s">
        <v>333</v>
      </c>
      <c r="F94" s="787" t="s">
        <v>334</v>
      </c>
      <c r="G94" s="507"/>
      <c r="H94" s="2"/>
      <c r="I94" s="787" t="s">
        <v>387</v>
      </c>
      <c r="J94" s="403" t="s">
        <v>388</v>
      </c>
      <c r="K94" s="787" t="s">
        <v>332</v>
      </c>
      <c r="L94" s="787" t="s">
        <v>333</v>
      </c>
      <c r="M94" s="787" t="s">
        <v>334</v>
      </c>
      <c r="N94" s="626"/>
      <c r="O94" s="626"/>
      <c r="P94" s="787" t="s">
        <v>387</v>
      </c>
      <c r="Q94" s="403" t="s">
        <v>388</v>
      </c>
      <c r="R94" s="787" t="s">
        <v>389</v>
      </c>
      <c r="S94" s="787" t="s">
        <v>390</v>
      </c>
      <c r="T94" s="550"/>
      <c r="U94" s="626"/>
      <c r="V94" s="626"/>
      <c r="W94" s="787" t="s">
        <v>387</v>
      </c>
      <c r="X94" s="403" t="s">
        <v>388</v>
      </c>
      <c r="Y94" s="787" t="s">
        <v>389</v>
      </c>
      <c r="Z94" s="787" t="s">
        <v>390</v>
      </c>
      <c r="AA94" s="550"/>
      <c r="AB94" s="626"/>
      <c r="AC94" s="626"/>
      <c r="AD94" s="787" t="s">
        <v>387</v>
      </c>
      <c r="AE94" s="403" t="s">
        <v>388</v>
      </c>
      <c r="AF94" s="787" t="s">
        <v>389</v>
      </c>
      <c r="AG94" s="787" t="s">
        <v>390</v>
      </c>
      <c r="AH94" s="550"/>
      <c r="AI94" s="626"/>
    </row>
    <row r="95" spans="1:35">
      <c r="A95" s="400"/>
      <c r="B95" s="79">
        <v>6</v>
      </c>
      <c r="C95" s="28"/>
      <c r="D95" s="28"/>
      <c r="E95" s="144"/>
      <c r="F95" s="265">
        <f>SUM(C95:E95)</f>
        <v>0</v>
      </c>
      <c r="G95" s="812"/>
      <c r="H95" s="559"/>
      <c r="I95" s="79">
        <v>6</v>
      </c>
      <c r="J95" s="28">
        <v>50</v>
      </c>
      <c r="K95" s="28"/>
      <c r="L95" s="144"/>
      <c r="M95" s="265">
        <f>SUM(J95:L95)</f>
        <v>50</v>
      </c>
      <c r="N95" s="626"/>
      <c r="O95" s="626"/>
      <c r="P95" s="79">
        <v>6</v>
      </c>
      <c r="Q95" s="455" t="s">
        <v>488</v>
      </c>
      <c r="R95" s="455" t="s">
        <v>488</v>
      </c>
      <c r="S95" s="455" t="s">
        <v>488</v>
      </c>
      <c r="T95" s="762"/>
      <c r="U95" s="626"/>
      <c r="V95" s="626"/>
      <c r="W95" s="79">
        <v>6</v>
      </c>
      <c r="X95" s="455" t="s">
        <v>488</v>
      </c>
      <c r="Y95" s="455" t="s">
        <v>488</v>
      </c>
      <c r="Z95" s="455" t="s">
        <v>488</v>
      </c>
      <c r="AA95" s="762"/>
      <c r="AB95" s="626"/>
      <c r="AC95" s="626"/>
      <c r="AD95" s="79">
        <v>6</v>
      </c>
      <c r="AE95" s="455" t="s">
        <v>488</v>
      </c>
      <c r="AF95" s="455" t="s">
        <v>488</v>
      </c>
      <c r="AG95" s="455" t="s">
        <v>488</v>
      </c>
      <c r="AH95" s="762"/>
      <c r="AI95" s="626"/>
    </row>
    <row r="96" spans="1:35">
      <c r="A96" s="400"/>
      <c r="B96" s="159">
        <v>7</v>
      </c>
      <c r="C96" s="121"/>
      <c r="D96" s="121"/>
      <c r="E96" s="439"/>
      <c r="F96" s="185">
        <f>SUM(C96:E96)</f>
        <v>0</v>
      </c>
      <c r="G96" s="812"/>
      <c r="H96" s="559"/>
      <c r="I96" s="159">
        <v>7</v>
      </c>
      <c r="J96" s="121">
        <v>50</v>
      </c>
      <c r="K96" s="121"/>
      <c r="L96" s="439"/>
      <c r="M96" s="185">
        <f>SUM(J96:L96)</f>
        <v>50</v>
      </c>
      <c r="N96" s="626"/>
      <c r="O96" s="626"/>
      <c r="P96" s="159">
        <v>7</v>
      </c>
      <c r="Q96" s="746" t="s">
        <v>488</v>
      </c>
      <c r="R96" s="746" t="s">
        <v>488</v>
      </c>
      <c r="S96" s="746" t="s">
        <v>488</v>
      </c>
      <c r="T96" s="762"/>
      <c r="U96" s="626"/>
      <c r="V96" s="626"/>
      <c r="W96" s="159">
        <v>7</v>
      </c>
      <c r="X96" s="746" t="s">
        <v>488</v>
      </c>
      <c r="Y96" s="746" t="s">
        <v>488</v>
      </c>
      <c r="Z96" s="746" t="s">
        <v>488</v>
      </c>
      <c r="AA96" s="762"/>
      <c r="AB96" s="626"/>
      <c r="AC96" s="626"/>
      <c r="AD96" s="159">
        <v>7</v>
      </c>
      <c r="AE96" s="746" t="s">
        <v>488</v>
      </c>
      <c r="AF96" s="746" t="s">
        <v>488</v>
      </c>
      <c r="AG96" s="746" t="s">
        <v>488</v>
      </c>
      <c r="AH96" s="762"/>
      <c r="AI96" s="626"/>
    </row>
    <row r="97" spans="1:35" ht="13.5" customHeight="1">
      <c r="A97" s="400"/>
      <c r="B97" s="159">
        <v>8</v>
      </c>
      <c r="C97" s="121"/>
      <c r="D97" s="67"/>
      <c r="E97" s="224"/>
      <c r="F97" s="11">
        <f>SUM(C97:E97)</f>
        <v>0</v>
      </c>
      <c r="G97" s="812"/>
      <c r="H97" s="559"/>
      <c r="I97" s="159">
        <v>8</v>
      </c>
      <c r="J97" s="121">
        <v>50</v>
      </c>
      <c r="K97" s="121"/>
      <c r="L97" s="224"/>
      <c r="M97" s="11">
        <f>SUM(J97:L97)</f>
        <v>50</v>
      </c>
      <c r="N97" s="626"/>
      <c r="O97" s="626"/>
      <c r="P97" s="159">
        <v>8</v>
      </c>
      <c r="Q97" s="746" t="s">
        <v>488</v>
      </c>
      <c r="R97" s="746" t="s">
        <v>488</v>
      </c>
      <c r="S97" s="746" t="s">
        <v>488</v>
      </c>
      <c r="T97" s="762"/>
      <c r="U97" s="626"/>
      <c r="V97" s="626"/>
      <c r="W97" s="159">
        <v>8</v>
      </c>
      <c r="X97" s="746" t="s">
        <v>488</v>
      </c>
      <c r="Y97" s="746" t="s">
        <v>488</v>
      </c>
      <c r="Z97" s="746" t="s">
        <v>488</v>
      </c>
      <c r="AA97" s="762"/>
      <c r="AB97" s="626"/>
      <c r="AC97" s="626"/>
      <c r="AD97" s="159">
        <v>8</v>
      </c>
      <c r="AE97" s="746" t="s">
        <v>488</v>
      </c>
      <c r="AF97" s="746" t="s">
        <v>488</v>
      </c>
      <c r="AG97" s="746" t="s">
        <v>488</v>
      </c>
      <c r="AH97" s="762"/>
      <c r="AI97" s="626"/>
    </row>
    <row r="98" spans="1:35" ht="13.5" customHeight="1">
      <c r="A98" s="400"/>
      <c r="B98" s="534" t="s">
        <v>335</v>
      </c>
      <c r="C98" s="209">
        <f>SUM(C95:C97)</f>
        <v>0</v>
      </c>
      <c r="D98" s="519">
        <f>SUM(D95:D97)</f>
        <v>0</v>
      </c>
      <c r="E98" s="519">
        <f>SUM(E95:E97)</f>
        <v>0</v>
      </c>
      <c r="F98" s="473">
        <f>SUM(F95:F97)</f>
        <v>0</v>
      </c>
      <c r="G98" s="507"/>
      <c r="H98" s="733"/>
      <c r="I98" s="534" t="s">
        <v>335</v>
      </c>
      <c r="J98" s="171">
        <f>SUM(J95:J97)</f>
        <v>150</v>
      </c>
      <c r="K98" s="209">
        <f>SUM(K95:K97)</f>
        <v>0</v>
      </c>
      <c r="L98" s="519">
        <f>SUM(L95:L97)</f>
        <v>0</v>
      </c>
      <c r="M98" s="473">
        <f>SUM(M95:M97)</f>
        <v>150</v>
      </c>
      <c r="N98" s="626"/>
      <c r="O98" s="626"/>
      <c r="P98" s="534" t="s">
        <v>335</v>
      </c>
      <c r="Q98" s="171">
        <f>SUM(Q95:Q97)</f>
        <v>0</v>
      </c>
      <c r="R98" s="209">
        <f>SUM(R95:R97)</f>
        <v>0</v>
      </c>
      <c r="S98" s="73">
        <f>SUM(S95:S97)</f>
        <v>0</v>
      </c>
      <c r="T98" s="550"/>
      <c r="U98" s="626"/>
      <c r="V98" s="626"/>
      <c r="W98" s="534" t="s">
        <v>335</v>
      </c>
      <c r="X98" s="171">
        <f>SUM(X95:X97)</f>
        <v>0</v>
      </c>
      <c r="Y98" s="209">
        <f>SUM(Y95:Y97)</f>
        <v>0</v>
      </c>
      <c r="Z98" s="73">
        <f>SUM(Z95:Z97)</f>
        <v>0</v>
      </c>
      <c r="AA98" s="550"/>
      <c r="AB98" s="626"/>
      <c r="AC98" s="626"/>
      <c r="AD98" s="534" t="s">
        <v>335</v>
      </c>
      <c r="AE98" s="171">
        <f>SUM(AE95:AE97)</f>
        <v>0</v>
      </c>
      <c r="AF98" s="209">
        <f>SUM(AF95:AF97)</f>
        <v>0</v>
      </c>
      <c r="AG98" s="73">
        <f>SUM(AG95:AG97)</f>
        <v>0</v>
      </c>
      <c r="AH98" s="550"/>
      <c r="AI98" s="626"/>
    </row>
    <row r="99" spans="1:35" ht="13.5" customHeight="1">
      <c r="A99" s="400"/>
      <c r="B99" s="571" t="s">
        <v>393</v>
      </c>
      <c r="C99" s="648">
        <v>1</v>
      </c>
      <c r="D99" s="757">
        <v>0.7</v>
      </c>
      <c r="E99" s="420">
        <v>0.4</v>
      </c>
      <c r="F99" s="109"/>
      <c r="G99" s="507"/>
      <c r="H99" s="252"/>
      <c r="I99" s="571" t="s">
        <v>393</v>
      </c>
      <c r="J99" s="648">
        <v>1</v>
      </c>
      <c r="K99" s="199">
        <v>0.7</v>
      </c>
      <c r="L99" s="420">
        <v>0.4</v>
      </c>
      <c r="M99" s="109"/>
      <c r="N99" s="626"/>
      <c r="O99" s="626"/>
      <c r="P99" s="571" t="s">
        <v>393</v>
      </c>
      <c r="Q99" s="648">
        <v>1</v>
      </c>
      <c r="R99" s="648">
        <v>0.4</v>
      </c>
      <c r="S99" s="244"/>
      <c r="T99" s="400"/>
      <c r="U99" s="626"/>
      <c r="V99" s="626"/>
      <c r="W99" s="571" t="s">
        <v>393</v>
      </c>
      <c r="X99" s="648">
        <v>1</v>
      </c>
      <c r="Y99" s="648">
        <v>0.4</v>
      </c>
      <c r="Z99" s="244"/>
      <c r="AA99" s="400"/>
      <c r="AB99" s="626"/>
      <c r="AC99" s="626"/>
      <c r="AD99" s="571" t="s">
        <v>393</v>
      </c>
      <c r="AE99" s="648">
        <v>1</v>
      </c>
      <c r="AF99" s="648">
        <v>0.4</v>
      </c>
      <c r="AG99" s="244"/>
      <c r="AH99" s="400"/>
      <c r="AI99" s="626"/>
    </row>
    <row r="100" spans="1:35" ht="13.5" customHeight="1">
      <c r="A100" s="400"/>
      <c r="B100" s="787" t="s">
        <v>336</v>
      </c>
      <c r="C100" s="519">
        <f>C98*C99</f>
        <v>0</v>
      </c>
      <c r="D100" s="519">
        <f>D98*D99</f>
        <v>0</v>
      </c>
      <c r="E100" s="519">
        <f>E98*E99</f>
        <v>0</v>
      </c>
      <c r="F100" s="473">
        <f>SUM(C100:E100)</f>
        <v>0</v>
      </c>
      <c r="G100" s="507"/>
      <c r="H100" s="733"/>
      <c r="I100" s="787" t="s">
        <v>336</v>
      </c>
      <c r="J100" s="519">
        <f>J98*J99</f>
        <v>150</v>
      </c>
      <c r="K100" s="519">
        <f>K98*K99</f>
        <v>0</v>
      </c>
      <c r="L100" s="519">
        <f>L98*L99</f>
        <v>0</v>
      </c>
      <c r="M100" s="473">
        <f>SUM(J100:L100)</f>
        <v>150</v>
      </c>
      <c r="N100" s="626"/>
      <c r="O100" s="626"/>
      <c r="P100" s="787" t="s">
        <v>336</v>
      </c>
      <c r="Q100" s="519">
        <f>Q98*Q99</f>
        <v>0</v>
      </c>
      <c r="R100" s="519">
        <f>R98*R99</f>
        <v>0</v>
      </c>
      <c r="S100" s="473">
        <f>Q100+R100</f>
        <v>0</v>
      </c>
      <c r="T100" s="550"/>
      <c r="U100" s="626"/>
      <c r="V100" s="626"/>
      <c r="W100" s="787" t="s">
        <v>336</v>
      </c>
      <c r="X100" s="519">
        <f>X98*X99</f>
        <v>0</v>
      </c>
      <c r="Y100" s="519">
        <f>Y98*Y99</f>
        <v>0</v>
      </c>
      <c r="Z100" s="473">
        <f>X100+Y100</f>
        <v>0</v>
      </c>
      <c r="AA100" s="550"/>
      <c r="AB100" s="626"/>
      <c r="AC100" s="626"/>
      <c r="AD100" s="787" t="s">
        <v>336</v>
      </c>
      <c r="AE100" s="519">
        <f>AE98*AE99</f>
        <v>0</v>
      </c>
      <c r="AF100" s="519">
        <f>AF98*AF99</f>
        <v>0</v>
      </c>
      <c r="AG100" s="473">
        <f>AE100+AF100</f>
        <v>0</v>
      </c>
      <c r="AH100" s="550"/>
      <c r="AI100" s="626"/>
    </row>
    <row r="101" spans="1:35">
      <c r="A101" s="400"/>
      <c r="B101" s="359"/>
      <c r="C101" s="269"/>
      <c r="D101" s="391"/>
      <c r="E101" s="269"/>
      <c r="F101" s="207"/>
      <c r="G101" s="812"/>
      <c r="H101" s="775"/>
      <c r="I101" s="359"/>
      <c r="J101" s="269"/>
      <c r="K101" s="391"/>
      <c r="L101" s="269"/>
      <c r="M101" s="207"/>
      <c r="N101" s="626"/>
      <c r="O101" s="626"/>
      <c r="P101" s="359"/>
      <c r="Q101" s="269"/>
      <c r="R101" s="391"/>
      <c r="S101" s="269"/>
      <c r="T101" s="400"/>
      <c r="U101" s="626"/>
      <c r="V101" s="626"/>
      <c r="W101" s="359"/>
      <c r="X101" s="269"/>
      <c r="Y101" s="391"/>
      <c r="Z101" s="269"/>
      <c r="AA101" s="400"/>
      <c r="AB101" s="626"/>
      <c r="AC101" s="626"/>
      <c r="AD101" s="359"/>
      <c r="AE101" s="269"/>
      <c r="AF101" s="391"/>
      <c r="AG101" s="269"/>
      <c r="AH101" s="400"/>
      <c r="AI101" s="626"/>
    </row>
    <row r="102" spans="1:35" ht="13.5" customHeight="1">
      <c r="A102" s="400"/>
      <c r="B102" s="175"/>
      <c r="C102" s="574"/>
      <c r="D102" s="151"/>
      <c r="E102" s="19"/>
      <c r="F102" s="400"/>
      <c r="G102" s="812"/>
      <c r="H102" s="775"/>
      <c r="I102" s="175"/>
      <c r="J102" s="574"/>
      <c r="K102" s="151"/>
      <c r="L102" s="19"/>
      <c r="M102" s="400"/>
      <c r="N102" s="626"/>
      <c r="O102" s="626"/>
      <c r="P102" s="175"/>
      <c r="Q102" s="574"/>
      <c r="R102" s="151"/>
      <c r="S102" s="19"/>
      <c r="T102" s="400"/>
      <c r="U102" s="626"/>
      <c r="V102" s="626"/>
      <c r="W102" s="175"/>
      <c r="X102" s="574"/>
      <c r="Y102" s="151"/>
      <c r="Z102" s="19"/>
      <c r="AA102" s="400"/>
      <c r="AB102" s="626"/>
      <c r="AC102" s="626"/>
      <c r="AD102" s="175"/>
      <c r="AE102" s="574"/>
      <c r="AF102" s="151"/>
      <c r="AG102" s="19"/>
      <c r="AH102" s="400"/>
      <c r="AI102" s="626"/>
    </row>
    <row r="103" spans="1:35" ht="13.5" customHeight="1">
      <c r="A103" s="400"/>
      <c r="B103" s="890" t="s">
        <v>337</v>
      </c>
      <c r="C103" s="891"/>
      <c r="D103" s="676"/>
      <c r="E103" s="19"/>
      <c r="F103" s="400"/>
      <c r="G103" s="898"/>
      <c r="H103" s="899"/>
      <c r="I103" s="890" t="s">
        <v>337</v>
      </c>
      <c r="J103" s="891"/>
      <c r="K103" s="676"/>
      <c r="L103" s="19"/>
      <c r="M103" s="400"/>
      <c r="N103" s="626"/>
      <c r="O103" s="626"/>
      <c r="P103" s="890" t="s">
        <v>337</v>
      </c>
      <c r="Q103" s="891"/>
      <c r="R103" s="676"/>
      <c r="S103" s="19"/>
      <c r="T103" s="400"/>
      <c r="U103" s="626"/>
      <c r="V103" s="626"/>
      <c r="W103" s="890" t="s">
        <v>337</v>
      </c>
      <c r="X103" s="891"/>
      <c r="Y103" s="676"/>
      <c r="Z103" s="19"/>
      <c r="AA103" s="400"/>
      <c r="AB103" s="626"/>
      <c r="AC103" s="626"/>
      <c r="AD103" s="890" t="s">
        <v>337</v>
      </c>
      <c r="AE103" s="891"/>
      <c r="AF103" s="676"/>
      <c r="AG103" s="19"/>
      <c r="AH103" s="400"/>
      <c r="AI103" s="626"/>
    </row>
    <row r="104" spans="1:35">
      <c r="A104" s="400"/>
      <c r="B104" s="446" t="s">
        <v>338</v>
      </c>
      <c r="C104" s="181">
        <f>F100</f>
        <v>0</v>
      </c>
      <c r="D104" s="85"/>
      <c r="E104" s="19"/>
      <c r="F104" s="400"/>
      <c r="G104" s="492"/>
      <c r="H104" s="362"/>
      <c r="I104" s="446" t="s">
        <v>338</v>
      </c>
      <c r="J104" s="181">
        <f>M100</f>
        <v>150</v>
      </c>
      <c r="K104" s="85"/>
      <c r="L104" s="19"/>
      <c r="M104" s="400"/>
      <c r="N104" s="626"/>
      <c r="O104" s="626"/>
      <c r="P104" s="446" t="s">
        <v>338</v>
      </c>
      <c r="Q104" s="181">
        <f>S100</f>
        <v>0</v>
      </c>
      <c r="R104" s="85"/>
      <c r="S104" s="19"/>
      <c r="T104" s="400"/>
      <c r="U104" s="626"/>
      <c r="V104" s="626"/>
      <c r="W104" s="446" t="s">
        <v>338</v>
      </c>
      <c r="X104" s="181">
        <f>Z100</f>
        <v>0</v>
      </c>
      <c r="Y104" s="85"/>
      <c r="Z104" s="19"/>
      <c r="AA104" s="400"/>
      <c r="AB104" s="626"/>
      <c r="AC104" s="626"/>
      <c r="AD104" s="446" t="s">
        <v>338</v>
      </c>
      <c r="AE104" s="181">
        <f>AG100</f>
        <v>0</v>
      </c>
      <c r="AF104" s="85"/>
      <c r="AG104" s="19"/>
      <c r="AH104" s="400"/>
      <c r="AI104" s="626"/>
    </row>
    <row r="105" spans="1:35" ht="13.5" customHeight="1">
      <c r="A105" s="400"/>
      <c r="B105" s="662" t="s">
        <v>339</v>
      </c>
      <c r="C105" s="774">
        <f>C15</f>
        <v>5497.1471999999994</v>
      </c>
      <c r="D105" s="85"/>
      <c r="E105" s="19"/>
      <c r="F105" s="400"/>
      <c r="G105" s="325"/>
      <c r="H105" s="149"/>
      <c r="I105" s="662" t="s">
        <v>339</v>
      </c>
      <c r="J105" s="774">
        <f>J15</f>
        <v>5118.0336000000007</v>
      </c>
      <c r="K105" s="85"/>
      <c r="L105" s="19"/>
      <c r="M105" s="400"/>
      <c r="N105" s="626"/>
      <c r="O105" s="626"/>
      <c r="P105" s="662" t="s">
        <v>339</v>
      </c>
      <c r="Q105" s="774"/>
      <c r="R105" s="85"/>
      <c r="S105" s="19"/>
      <c r="T105" s="400"/>
      <c r="U105" s="626"/>
      <c r="V105" s="626"/>
      <c r="W105" s="662" t="s">
        <v>339</v>
      </c>
      <c r="X105" s="774"/>
      <c r="Y105" s="85"/>
      <c r="Z105" s="19"/>
      <c r="AA105" s="400"/>
      <c r="AB105" s="626"/>
      <c r="AC105" s="626"/>
      <c r="AD105" s="662" t="s">
        <v>339</v>
      </c>
      <c r="AE105" s="774"/>
      <c r="AF105" s="85"/>
      <c r="AG105" s="19"/>
      <c r="AH105" s="400"/>
      <c r="AI105" s="626"/>
    </row>
    <row r="106" spans="1:35" ht="15.75" customHeight="1">
      <c r="A106" s="400"/>
      <c r="B106" s="473" t="s">
        <v>340</v>
      </c>
      <c r="C106" s="815">
        <f>C104*C105</f>
        <v>0</v>
      </c>
      <c r="D106" s="676"/>
      <c r="E106" s="19"/>
      <c r="F106" s="400"/>
      <c r="G106" s="107"/>
      <c r="H106" s="790"/>
      <c r="I106" s="473" t="s">
        <v>340</v>
      </c>
      <c r="J106" s="815">
        <f>J104*J105</f>
        <v>767705.04000000015</v>
      </c>
      <c r="K106" s="676"/>
      <c r="L106" s="19"/>
      <c r="M106" s="400"/>
      <c r="N106" s="626"/>
      <c r="O106" s="626"/>
      <c r="P106" s="473" t="s">
        <v>340</v>
      </c>
      <c r="Q106" s="815">
        <f>Q104*Q105</f>
        <v>0</v>
      </c>
      <c r="R106" s="676"/>
      <c r="S106" s="19"/>
      <c r="T106" s="400"/>
      <c r="U106" s="626"/>
      <c r="V106" s="626"/>
      <c r="W106" s="473" t="s">
        <v>340</v>
      </c>
      <c r="X106" s="815">
        <f>X104*X105</f>
        <v>0</v>
      </c>
      <c r="Y106" s="676"/>
      <c r="Z106" s="19"/>
      <c r="AA106" s="400"/>
      <c r="AB106" s="626"/>
      <c r="AC106" s="626"/>
      <c r="AD106" s="473" t="s">
        <v>340</v>
      </c>
      <c r="AE106" s="815">
        <f>AE104*AE105</f>
        <v>0</v>
      </c>
      <c r="AF106" s="676"/>
      <c r="AG106" s="19"/>
      <c r="AH106" s="400"/>
      <c r="AI106" s="626"/>
    </row>
    <row r="107" spans="1:35" ht="15" customHeight="1">
      <c r="A107" s="400"/>
      <c r="B107" s="63"/>
      <c r="C107" s="800"/>
      <c r="D107" s="151"/>
      <c r="E107" s="151"/>
      <c r="F107" s="740"/>
      <c r="G107" s="107"/>
      <c r="H107" s="790"/>
      <c r="I107" s="63"/>
      <c r="J107" s="800"/>
      <c r="K107" s="151"/>
      <c r="L107" s="151"/>
      <c r="M107" s="740"/>
      <c r="N107" s="626"/>
      <c r="O107" s="626"/>
      <c r="P107" s="63"/>
      <c r="Q107" s="800"/>
      <c r="R107" s="151"/>
      <c r="S107" s="151"/>
      <c r="T107" s="740"/>
      <c r="U107" s="626"/>
      <c r="V107" s="626"/>
      <c r="W107" s="63"/>
      <c r="X107" s="800"/>
      <c r="Y107" s="151"/>
      <c r="Z107" s="151"/>
      <c r="AA107" s="740"/>
      <c r="AB107" s="626"/>
      <c r="AC107" s="626"/>
      <c r="AD107" s="63"/>
      <c r="AE107" s="800"/>
      <c r="AF107" s="151"/>
      <c r="AG107" s="151"/>
      <c r="AH107" s="740"/>
      <c r="AI107" s="626"/>
    </row>
    <row r="108" spans="1:35" ht="15.75" customHeight="1">
      <c r="A108" s="400"/>
      <c r="B108" s="619"/>
      <c r="C108" s="117"/>
      <c r="D108" s="151"/>
      <c r="E108" s="151"/>
      <c r="F108" s="740"/>
      <c r="G108" s="107"/>
      <c r="H108" s="790"/>
      <c r="I108" s="619"/>
      <c r="J108" s="117"/>
      <c r="K108" s="151"/>
      <c r="L108" s="151"/>
      <c r="M108" s="740"/>
      <c r="N108" s="626"/>
      <c r="O108" s="626"/>
      <c r="P108" s="619"/>
      <c r="Q108" s="117"/>
      <c r="R108" s="151"/>
      <c r="S108" s="151"/>
      <c r="T108" s="740"/>
      <c r="U108" s="626"/>
      <c r="V108" s="626"/>
      <c r="W108" s="619"/>
      <c r="X108" s="117"/>
      <c r="Y108" s="151"/>
      <c r="Z108" s="151"/>
      <c r="AA108" s="740"/>
      <c r="AB108" s="626"/>
      <c r="AC108" s="626"/>
      <c r="AD108" s="619"/>
      <c r="AE108" s="117"/>
      <c r="AF108" s="151"/>
      <c r="AG108" s="151"/>
      <c r="AH108" s="740"/>
      <c r="AI108" s="626"/>
    </row>
    <row r="109" spans="1:35" ht="13.5" customHeight="1">
      <c r="A109" s="400"/>
      <c r="B109" s="890" t="s">
        <v>341</v>
      </c>
      <c r="C109" s="891"/>
      <c r="D109" s="676"/>
      <c r="E109" s="151"/>
      <c r="F109" s="740"/>
      <c r="G109" s="898"/>
      <c r="H109" s="899"/>
      <c r="I109" s="890" t="s">
        <v>341</v>
      </c>
      <c r="J109" s="891"/>
      <c r="K109" s="676"/>
      <c r="L109" s="151"/>
      <c r="M109" s="740"/>
      <c r="N109" s="626"/>
      <c r="O109" s="626"/>
      <c r="P109" s="890" t="s">
        <v>341</v>
      </c>
      <c r="Q109" s="891"/>
      <c r="R109" s="676"/>
      <c r="S109" s="151"/>
      <c r="T109" s="740"/>
      <c r="U109" s="626"/>
      <c r="V109" s="626"/>
      <c r="W109" s="890" t="s">
        <v>341</v>
      </c>
      <c r="X109" s="891"/>
      <c r="Y109" s="676"/>
      <c r="Z109" s="151"/>
      <c r="AA109" s="740"/>
      <c r="AB109" s="626"/>
      <c r="AC109" s="626"/>
      <c r="AD109" s="890" t="s">
        <v>341</v>
      </c>
      <c r="AE109" s="891"/>
      <c r="AF109" s="676"/>
      <c r="AG109" s="151"/>
      <c r="AH109" s="740"/>
      <c r="AI109" s="626"/>
    </row>
    <row r="110" spans="1:35">
      <c r="A110" s="400"/>
      <c r="B110" s="446" t="s">
        <v>342</v>
      </c>
      <c r="C110" s="181">
        <f>F98</f>
        <v>0</v>
      </c>
      <c r="D110" s="85"/>
      <c r="E110" s="151"/>
      <c r="F110" s="740"/>
      <c r="G110" s="492"/>
      <c r="H110" s="362"/>
      <c r="I110" s="446" t="s">
        <v>342</v>
      </c>
      <c r="J110" s="181">
        <f>M98</f>
        <v>150</v>
      </c>
      <c r="K110" s="85"/>
      <c r="L110" s="151"/>
      <c r="M110" s="740"/>
      <c r="N110" s="626"/>
      <c r="O110" s="626"/>
      <c r="P110" s="446" t="s">
        <v>342</v>
      </c>
      <c r="Q110" s="181">
        <f>S98</f>
        <v>0</v>
      </c>
      <c r="R110" s="85"/>
      <c r="S110" s="151"/>
      <c r="T110" s="740"/>
      <c r="U110" s="626"/>
      <c r="V110" s="626"/>
      <c r="W110" s="446" t="s">
        <v>342</v>
      </c>
      <c r="X110" s="181">
        <f>Z98</f>
        <v>0</v>
      </c>
      <c r="Y110" s="85"/>
      <c r="Z110" s="151"/>
      <c r="AA110" s="740"/>
      <c r="AB110" s="626"/>
      <c r="AC110" s="626"/>
      <c r="AD110" s="446" t="s">
        <v>342</v>
      </c>
      <c r="AE110" s="181">
        <f>AG98</f>
        <v>0</v>
      </c>
      <c r="AF110" s="85"/>
      <c r="AG110" s="151"/>
      <c r="AH110" s="740"/>
      <c r="AI110" s="626"/>
    </row>
    <row r="111" spans="1:35" ht="13.5" customHeight="1">
      <c r="A111" s="400"/>
      <c r="B111" s="662" t="s">
        <v>343</v>
      </c>
      <c r="C111" s="774">
        <f>C16</f>
        <v>1905.8915999999999</v>
      </c>
      <c r="D111" s="85"/>
      <c r="E111" s="151"/>
      <c r="F111" s="400"/>
      <c r="G111" s="325"/>
      <c r="H111" s="149"/>
      <c r="I111" s="662" t="s">
        <v>343</v>
      </c>
      <c r="J111" s="774">
        <f>J16</f>
        <v>1774.4508000000001</v>
      </c>
      <c r="K111" s="85"/>
      <c r="L111" s="151"/>
      <c r="M111" s="400"/>
      <c r="N111" s="626"/>
      <c r="O111" s="626"/>
      <c r="P111" s="662" t="s">
        <v>343</v>
      </c>
      <c r="Q111" s="774"/>
      <c r="R111" s="85"/>
      <c r="S111" s="151"/>
      <c r="T111" s="400"/>
      <c r="U111" s="626"/>
      <c r="V111" s="626"/>
      <c r="W111" s="662" t="s">
        <v>343</v>
      </c>
      <c r="X111" s="774"/>
      <c r="Y111" s="85"/>
      <c r="Z111" s="151"/>
      <c r="AA111" s="400"/>
      <c r="AB111" s="626"/>
      <c r="AC111" s="626"/>
      <c r="AD111" s="662" t="s">
        <v>343</v>
      </c>
      <c r="AE111" s="774"/>
      <c r="AF111" s="85"/>
      <c r="AG111" s="151"/>
      <c r="AH111" s="400"/>
      <c r="AI111" s="626"/>
    </row>
    <row r="112" spans="1:35" ht="15.75" customHeight="1">
      <c r="A112" s="400"/>
      <c r="B112" s="473" t="s">
        <v>344</v>
      </c>
      <c r="C112" s="815">
        <f>C110*C111</f>
        <v>0</v>
      </c>
      <c r="D112" s="676"/>
      <c r="E112" s="151"/>
      <c r="F112" s="400"/>
      <c r="G112" s="107"/>
      <c r="H112" s="790"/>
      <c r="I112" s="473" t="s">
        <v>344</v>
      </c>
      <c r="J112" s="815">
        <f>J110*J111</f>
        <v>266167.62</v>
      </c>
      <c r="K112" s="676"/>
      <c r="L112" s="151"/>
      <c r="M112" s="400"/>
      <c r="N112" s="626"/>
      <c r="O112" s="626"/>
      <c r="P112" s="473" t="s">
        <v>344</v>
      </c>
      <c r="Q112" s="815">
        <f>Q110*Q111</f>
        <v>0</v>
      </c>
      <c r="R112" s="676"/>
      <c r="S112" s="151"/>
      <c r="T112" s="400"/>
      <c r="U112" s="626"/>
      <c r="V112" s="626"/>
      <c r="W112" s="473" t="s">
        <v>344</v>
      </c>
      <c r="X112" s="815">
        <f>X110*X111</f>
        <v>0</v>
      </c>
      <c r="Y112" s="676"/>
      <c r="Z112" s="151"/>
      <c r="AA112" s="400"/>
      <c r="AB112" s="626"/>
      <c r="AC112" s="626"/>
      <c r="AD112" s="473" t="s">
        <v>344</v>
      </c>
      <c r="AE112" s="815">
        <f>AE110*AE111</f>
        <v>0</v>
      </c>
      <c r="AF112" s="676"/>
      <c r="AG112" s="151"/>
      <c r="AH112" s="400"/>
      <c r="AI112" s="626"/>
    </row>
    <row r="113" spans="1:35">
      <c r="A113" s="400"/>
      <c r="B113" s="741"/>
      <c r="C113" s="270"/>
      <c r="D113" s="43"/>
      <c r="E113" s="778"/>
      <c r="F113" s="738"/>
      <c r="G113" s="812"/>
      <c r="H113" s="775"/>
      <c r="I113" s="741"/>
      <c r="J113" s="270"/>
      <c r="K113" s="43"/>
      <c r="L113" s="778"/>
      <c r="M113" s="738"/>
      <c r="N113" s="626"/>
      <c r="O113" s="626"/>
      <c r="P113" s="741"/>
      <c r="Q113" s="270"/>
      <c r="R113" s="43"/>
      <c r="S113" s="778"/>
      <c r="T113" s="738"/>
      <c r="U113" s="626"/>
      <c r="V113" s="626"/>
      <c r="W113" s="741"/>
      <c r="X113" s="270"/>
      <c r="Y113" s="43"/>
      <c r="Z113" s="778"/>
      <c r="AA113" s="738"/>
      <c r="AB113" s="626"/>
      <c r="AC113" s="626"/>
      <c r="AD113" s="741"/>
      <c r="AE113" s="270"/>
      <c r="AF113" s="43"/>
      <c r="AG113" s="778"/>
      <c r="AH113" s="738"/>
      <c r="AI113" s="626"/>
    </row>
    <row r="114" spans="1:35" ht="13.5" customHeight="1">
      <c r="A114" s="400"/>
      <c r="B114" s="307"/>
      <c r="C114" s="856"/>
      <c r="D114" s="43"/>
      <c r="E114" s="778"/>
      <c r="F114" s="738"/>
      <c r="G114" s="812"/>
      <c r="H114" s="775"/>
      <c r="I114" s="307"/>
      <c r="J114" s="856"/>
      <c r="K114" s="43"/>
      <c r="L114" s="778"/>
      <c r="M114" s="738"/>
      <c r="N114" s="626"/>
      <c r="O114" s="626"/>
      <c r="P114" s="307"/>
      <c r="Q114" s="856"/>
      <c r="R114" s="43"/>
      <c r="S114" s="778"/>
      <c r="T114" s="738"/>
      <c r="U114" s="626"/>
      <c r="V114" s="626"/>
      <c r="W114" s="307"/>
      <c r="X114" s="856"/>
      <c r="Y114" s="43"/>
      <c r="Z114" s="778"/>
      <c r="AA114" s="738"/>
      <c r="AB114" s="626"/>
      <c r="AC114" s="626"/>
      <c r="AD114" s="307"/>
      <c r="AE114" s="856"/>
      <c r="AF114" s="43"/>
      <c r="AG114" s="778"/>
      <c r="AH114" s="738"/>
      <c r="AI114" s="626"/>
    </row>
    <row r="115" spans="1:35" ht="13.5" customHeight="1">
      <c r="A115" s="400"/>
      <c r="B115" s="890" t="s">
        <v>345</v>
      </c>
      <c r="C115" s="891"/>
      <c r="D115" s="795"/>
      <c r="E115" s="778"/>
      <c r="F115" s="738"/>
      <c r="G115" s="898"/>
      <c r="H115" s="899"/>
      <c r="I115" s="890" t="s">
        <v>345</v>
      </c>
      <c r="J115" s="891"/>
      <c r="K115" s="795"/>
      <c r="L115" s="778"/>
      <c r="M115" s="738"/>
      <c r="N115" s="626"/>
      <c r="O115" s="626"/>
      <c r="P115" s="890" t="s">
        <v>345</v>
      </c>
      <c r="Q115" s="891"/>
      <c r="R115" s="795"/>
      <c r="S115" s="778"/>
      <c r="T115" s="738"/>
      <c r="U115" s="626"/>
      <c r="V115" s="626"/>
      <c r="W115" s="890" t="s">
        <v>345</v>
      </c>
      <c r="X115" s="891"/>
      <c r="Y115" s="795"/>
      <c r="Z115" s="778"/>
      <c r="AA115" s="738"/>
      <c r="AB115" s="626"/>
      <c r="AC115" s="626"/>
      <c r="AD115" s="890" t="s">
        <v>345</v>
      </c>
      <c r="AE115" s="891"/>
      <c r="AF115" s="795"/>
      <c r="AG115" s="778"/>
      <c r="AH115" s="738"/>
      <c r="AI115" s="626"/>
    </row>
    <row r="116" spans="1:35">
      <c r="A116" s="400"/>
      <c r="B116" s="446" t="s">
        <v>340</v>
      </c>
      <c r="C116" s="776">
        <f>C106</f>
        <v>0</v>
      </c>
      <c r="D116" s="274"/>
      <c r="E116" s="778"/>
      <c r="F116" s="738"/>
      <c r="G116" s="492"/>
      <c r="H116" s="5"/>
      <c r="I116" s="446" t="s">
        <v>340</v>
      </c>
      <c r="J116" s="776">
        <f>J106</f>
        <v>767705.04000000015</v>
      </c>
      <c r="K116" s="274"/>
      <c r="L116" s="778"/>
      <c r="M116" s="738"/>
      <c r="N116" s="626"/>
      <c r="O116" s="626"/>
      <c r="P116" s="446" t="s">
        <v>340</v>
      </c>
      <c r="Q116" s="776">
        <f>Q106</f>
        <v>0</v>
      </c>
      <c r="R116" s="274"/>
      <c r="S116" s="778"/>
      <c r="T116" s="738"/>
      <c r="U116" s="626"/>
      <c r="V116" s="626"/>
      <c r="W116" s="446" t="s">
        <v>340</v>
      </c>
      <c r="X116" s="776">
        <f>X106</f>
        <v>0</v>
      </c>
      <c r="Y116" s="274"/>
      <c r="Z116" s="778"/>
      <c r="AA116" s="738"/>
      <c r="AB116" s="626"/>
      <c r="AC116" s="626"/>
      <c r="AD116" s="446" t="s">
        <v>340</v>
      </c>
      <c r="AE116" s="776">
        <f>AE106</f>
        <v>0</v>
      </c>
      <c r="AF116" s="274"/>
      <c r="AG116" s="778"/>
      <c r="AH116" s="738"/>
      <c r="AI116" s="626"/>
    </row>
    <row r="117" spans="1:35" ht="13.5" customHeight="1">
      <c r="A117" s="400"/>
      <c r="B117" s="781" t="s">
        <v>344</v>
      </c>
      <c r="C117" s="460">
        <f>C112</f>
        <v>0</v>
      </c>
      <c r="D117" s="274"/>
      <c r="E117" s="778"/>
      <c r="F117" s="738"/>
      <c r="G117" s="492"/>
      <c r="H117" s="5"/>
      <c r="I117" s="781" t="s">
        <v>344</v>
      </c>
      <c r="J117" s="460">
        <f>J112</f>
        <v>266167.62</v>
      </c>
      <c r="K117" s="274"/>
      <c r="L117" s="778"/>
      <c r="M117" s="738"/>
      <c r="N117" s="626"/>
      <c r="O117" s="626"/>
      <c r="P117" s="781" t="s">
        <v>344</v>
      </c>
      <c r="Q117" s="460">
        <f>Q112</f>
        <v>0</v>
      </c>
      <c r="R117" s="274"/>
      <c r="S117" s="778"/>
      <c r="T117" s="738"/>
      <c r="U117" s="626"/>
      <c r="V117" s="626"/>
      <c r="W117" s="781" t="s">
        <v>344</v>
      </c>
      <c r="X117" s="460">
        <f>X112</f>
        <v>0</v>
      </c>
      <c r="Y117" s="274"/>
      <c r="Z117" s="778"/>
      <c r="AA117" s="738"/>
      <c r="AB117" s="626"/>
      <c r="AC117" s="626"/>
      <c r="AD117" s="781" t="s">
        <v>344</v>
      </c>
      <c r="AE117" s="460">
        <f>AE112</f>
        <v>0</v>
      </c>
      <c r="AF117" s="274"/>
      <c r="AG117" s="778"/>
      <c r="AH117" s="738"/>
      <c r="AI117" s="626"/>
    </row>
    <row r="118" spans="1:35" ht="15.75" customHeight="1">
      <c r="A118" s="400"/>
      <c r="B118" s="375" t="s">
        <v>346</v>
      </c>
      <c r="C118" s="815">
        <f>C116+C117</f>
        <v>0</v>
      </c>
      <c r="D118" s="307"/>
      <c r="E118" s="195"/>
      <c r="F118" s="410"/>
      <c r="G118" s="417"/>
      <c r="H118" s="700"/>
      <c r="I118" s="375" t="s">
        <v>346</v>
      </c>
      <c r="J118" s="815">
        <f>J116+J117</f>
        <v>1033872.6600000001</v>
      </c>
      <c r="K118" s="795"/>
      <c r="L118" s="778"/>
      <c r="M118" s="738"/>
      <c r="N118" s="626"/>
      <c r="O118" s="626"/>
      <c r="P118" s="375" t="s">
        <v>346</v>
      </c>
      <c r="Q118" s="815">
        <f>Q116+Q117</f>
        <v>0</v>
      </c>
      <c r="R118" s="795"/>
      <c r="S118" s="778"/>
      <c r="T118" s="738"/>
      <c r="U118" s="626"/>
      <c r="V118" s="626"/>
      <c r="W118" s="375" t="s">
        <v>346</v>
      </c>
      <c r="X118" s="815">
        <f>X116+X117</f>
        <v>0</v>
      </c>
      <c r="Y118" s="795"/>
      <c r="Z118" s="778"/>
      <c r="AA118" s="738"/>
      <c r="AB118" s="626"/>
      <c r="AC118" s="626"/>
      <c r="AD118" s="375" t="s">
        <v>346</v>
      </c>
      <c r="AE118" s="815">
        <f>AE116+AE117</f>
        <v>0</v>
      </c>
      <c r="AF118" s="795"/>
      <c r="AG118" s="778"/>
      <c r="AH118" s="738"/>
      <c r="AI118" s="626"/>
    </row>
    <row r="119" spans="1:35">
      <c r="A119" s="400"/>
      <c r="B119" s="741"/>
      <c r="C119" s="722"/>
      <c r="D119" s="270"/>
      <c r="E119" s="270"/>
      <c r="F119" s="752"/>
      <c r="G119" s="622"/>
      <c r="H119" s="622"/>
      <c r="I119" s="741"/>
      <c r="J119" s="722"/>
      <c r="K119" s="43"/>
      <c r="L119" s="43"/>
      <c r="M119" s="93"/>
      <c r="N119" s="626"/>
      <c r="O119" s="626"/>
      <c r="P119" s="741"/>
      <c r="Q119" s="722"/>
      <c r="R119" s="43"/>
      <c r="S119" s="43"/>
      <c r="T119" s="93"/>
      <c r="U119" s="626"/>
      <c r="V119" s="626"/>
      <c r="W119" s="741"/>
      <c r="X119" s="722"/>
      <c r="Y119" s="43"/>
      <c r="Z119" s="43"/>
      <c r="AA119" s="93"/>
      <c r="AB119" s="626"/>
      <c r="AC119" s="626"/>
      <c r="AD119" s="741"/>
      <c r="AE119" s="722"/>
      <c r="AF119" s="43"/>
      <c r="AG119" s="43"/>
      <c r="AH119" s="93"/>
      <c r="AI119" s="626"/>
    </row>
    <row r="120" spans="1:35">
      <c r="A120" s="400"/>
      <c r="B120" s="795"/>
      <c r="C120" s="832"/>
      <c r="D120" s="43"/>
      <c r="E120" s="43"/>
      <c r="F120" s="93"/>
      <c r="G120" s="626"/>
      <c r="H120" s="626"/>
      <c r="I120" s="795"/>
      <c r="J120" s="832"/>
      <c r="K120" s="43"/>
      <c r="L120" s="43"/>
      <c r="M120" s="93"/>
      <c r="N120" s="626"/>
      <c r="O120" s="626"/>
      <c r="P120" s="795"/>
      <c r="Q120" s="832"/>
      <c r="R120" s="43"/>
      <c r="S120" s="43"/>
      <c r="T120" s="93"/>
      <c r="U120" s="626"/>
      <c r="V120" s="626"/>
      <c r="W120" s="795"/>
      <c r="X120" s="832"/>
      <c r="Y120" s="43"/>
      <c r="Z120" s="43"/>
      <c r="AA120" s="93"/>
      <c r="AB120" s="626"/>
      <c r="AC120" s="626"/>
      <c r="AD120" s="795"/>
      <c r="AE120" s="832"/>
      <c r="AF120" s="43"/>
      <c r="AG120" s="43"/>
      <c r="AH120" s="93"/>
      <c r="AI120" s="626"/>
    </row>
    <row r="121" spans="1:35">
      <c r="A121" s="400"/>
      <c r="B121" s="795"/>
      <c r="C121" s="832"/>
      <c r="D121" s="43"/>
      <c r="E121" s="43"/>
      <c r="F121" s="93"/>
      <c r="G121" s="626"/>
      <c r="H121" s="626"/>
      <c r="I121" s="795"/>
      <c r="J121" s="832"/>
      <c r="K121" s="43"/>
      <c r="L121" s="43"/>
      <c r="M121" s="93"/>
      <c r="N121" s="626"/>
      <c r="O121" s="626"/>
      <c r="P121" s="795"/>
      <c r="Q121" s="832"/>
      <c r="R121" s="43"/>
      <c r="S121" s="43"/>
      <c r="T121" s="93"/>
      <c r="U121" s="626"/>
      <c r="V121" s="626"/>
      <c r="W121" s="795"/>
      <c r="X121" s="832"/>
      <c r="Y121" s="43"/>
      <c r="Z121" s="43"/>
      <c r="AA121" s="93"/>
      <c r="AB121" s="626"/>
      <c r="AC121" s="626"/>
      <c r="AD121" s="795"/>
      <c r="AE121" s="832"/>
      <c r="AF121" s="43"/>
      <c r="AG121" s="43"/>
      <c r="AH121" s="93"/>
      <c r="AI121" s="626"/>
    </row>
    <row r="122" spans="1:35" ht="32.25" customHeight="1">
      <c r="A122" s="400"/>
      <c r="B122" s="307"/>
      <c r="C122" s="404"/>
      <c r="D122" s="856"/>
      <c r="E122" s="856"/>
      <c r="F122" s="123"/>
      <c r="G122" s="626"/>
      <c r="H122" s="626"/>
      <c r="I122" s="307"/>
      <c r="J122" s="404"/>
      <c r="K122" s="856"/>
      <c r="L122" s="856"/>
      <c r="M122" s="123"/>
      <c r="N122" s="626"/>
      <c r="O122" s="626"/>
      <c r="P122" s="307"/>
      <c r="Q122" s="404"/>
      <c r="R122" s="856"/>
      <c r="S122" s="856"/>
      <c r="T122" s="123"/>
      <c r="U122" s="626"/>
      <c r="V122" s="626"/>
      <c r="W122" s="307"/>
      <c r="X122" s="404"/>
      <c r="Y122" s="856"/>
      <c r="Z122" s="856"/>
      <c r="AA122" s="123"/>
      <c r="AB122" s="626"/>
      <c r="AC122" s="626"/>
      <c r="AD122" s="307"/>
      <c r="AE122" s="404"/>
      <c r="AF122" s="856"/>
      <c r="AG122" s="856"/>
      <c r="AH122" s="123"/>
      <c r="AI122" s="626"/>
    </row>
    <row r="123" spans="1:35" ht="16.5" customHeight="1">
      <c r="A123" s="400"/>
      <c r="B123" s="887" t="s">
        <v>347</v>
      </c>
      <c r="C123" s="888"/>
      <c r="D123" s="888"/>
      <c r="E123" s="888"/>
      <c r="F123" s="889"/>
      <c r="G123" s="626"/>
      <c r="H123" s="626"/>
      <c r="I123" s="887" t="s">
        <v>347</v>
      </c>
      <c r="J123" s="888"/>
      <c r="K123" s="888"/>
      <c r="L123" s="888"/>
      <c r="M123" s="889"/>
      <c r="N123" s="626"/>
      <c r="O123" s="626"/>
      <c r="P123" s="887" t="s">
        <v>347</v>
      </c>
      <c r="Q123" s="888"/>
      <c r="R123" s="888"/>
      <c r="S123" s="888"/>
      <c r="T123" s="889"/>
      <c r="U123" s="626"/>
      <c r="V123" s="626"/>
      <c r="W123" s="887" t="s">
        <v>347</v>
      </c>
      <c r="X123" s="888"/>
      <c r="Y123" s="888"/>
      <c r="Z123" s="888"/>
      <c r="AA123" s="889"/>
      <c r="AB123" s="626"/>
      <c r="AC123" s="626"/>
      <c r="AD123" s="887" t="s">
        <v>347</v>
      </c>
      <c r="AE123" s="888"/>
      <c r="AF123" s="888"/>
      <c r="AG123" s="888"/>
      <c r="AH123" s="889"/>
      <c r="AI123" s="626"/>
    </row>
    <row r="124" spans="1:35" ht="16.5" customHeight="1">
      <c r="A124" s="400"/>
      <c r="B124" s="597"/>
      <c r="C124" s="760"/>
      <c r="D124" s="760"/>
      <c r="E124" s="760"/>
      <c r="F124" s="148"/>
      <c r="G124" s="626"/>
      <c r="H124" s="626"/>
      <c r="I124" s="597"/>
      <c r="J124" s="760"/>
      <c r="K124" s="760"/>
      <c r="L124" s="760"/>
      <c r="M124" s="148"/>
      <c r="N124" s="626"/>
      <c r="O124" s="626"/>
      <c r="P124" s="597"/>
      <c r="Q124" s="760"/>
      <c r="R124" s="760"/>
      <c r="S124" s="760"/>
      <c r="T124" s="148"/>
      <c r="U124" s="626"/>
      <c r="V124" s="626"/>
      <c r="W124" s="597"/>
      <c r="X124" s="760"/>
      <c r="Y124" s="760"/>
      <c r="Z124" s="760"/>
      <c r="AA124" s="148"/>
      <c r="AB124" s="626"/>
      <c r="AC124" s="626"/>
      <c r="AD124" s="597"/>
      <c r="AE124" s="760"/>
      <c r="AF124" s="760"/>
      <c r="AG124" s="760"/>
      <c r="AH124" s="148"/>
      <c r="AI124" s="626"/>
    </row>
    <row r="125" spans="1:35" ht="26.25" customHeight="1">
      <c r="A125" s="400"/>
      <c r="B125" s="787" t="s">
        <v>387</v>
      </c>
      <c r="C125" s="403" t="s">
        <v>348</v>
      </c>
      <c r="D125" s="787" t="s">
        <v>332</v>
      </c>
      <c r="E125" s="787" t="s">
        <v>389</v>
      </c>
      <c r="F125" s="787" t="s">
        <v>334</v>
      </c>
      <c r="G125" s="626"/>
      <c r="H125" s="626"/>
      <c r="I125" s="787" t="s">
        <v>387</v>
      </c>
      <c r="J125" s="403" t="s">
        <v>348</v>
      </c>
      <c r="K125" s="787" t="s">
        <v>332</v>
      </c>
      <c r="L125" s="787" t="s">
        <v>389</v>
      </c>
      <c r="M125" s="787" t="s">
        <v>334</v>
      </c>
      <c r="N125" s="626"/>
      <c r="O125" s="626"/>
      <c r="P125" s="787" t="s">
        <v>387</v>
      </c>
      <c r="Q125" s="403" t="s">
        <v>348</v>
      </c>
      <c r="R125" s="787" t="s">
        <v>332</v>
      </c>
      <c r="S125" s="787" t="s">
        <v>389</v>
      </c>
      <c r="T125" s="787" t="s">
        <v>334</v>
      </c>
      <c r="U125" s="626"/>
      <c r="V125" s="626"/>
      <c r="W125" s="787" t="s">
        <v>387</v>
      </c>
      <c r="X125" s="403" t="s">
        <v>348</v>
      </c>
      <c r="Y125" s="787" t="s">
        <v>332</v>
      </c>
      <c r="Z125" s="787" t="s">
        <v>389</v>
      </c>
      <c r="AA125" s="787" t="s">
        <v>334</v>
      </c>
      <c r="AB125" s="626"/>
      <c r="AC125" s="626"/>
      <c r="AD125" s="787" t="s">
        <v>387</v>
      </c>
      <c r="AE125" s="403" t="s">
        <v>348</v>
      </c>
      <c r="AF125" s="787" t="s">
        <v>332</v>
      </c>
      <c r="AG125" s="787" t="s">
        <v>389</v>
      </c>
      <c r="AH125" s="787" t="s">
        <v>334</v>
      </c>
      <c r="AI125" s="626"/>
    </row>
    <row r="126" spans="1:35">
      <c r="A126" s="400"/>
      <c r="B126" s="79">
        <v>9</v>
      </c>
      <c r="C126" s="28"/>
      <c r="D126" s="28"/>
      <c r="E126" s="108"/>
      <c r="F126" s="265">
        <f>SUM(C126:E126)</f>
        <v>0</v>
      </c>
      <c r="G126" s="626"/>
      <c r="H126" s="626"/>
      <c r="I126" s="79">
        <v>9</v>
      </c>
      <c r="J126" s="28">
        <v>75</v>
      </c>
      <c r="K126" s="28"/>
      <c r="L126" s="108"/>
      <c r="M126" s="265">
        <f>SUM(J126:L126)</f>
        <v>75</v>
      </c>
      <c r="N126" s="626"/>
      <c r="O126" s="626"/>
      <c r="P126" s="79">
        <v>9</v>
      </c>
      <c r="Q126" s="28">
        <v>75</v>
      </c>
      <c r="R126" s="28"/>
      <c r="S126" s="108"/>
      <c r="T126" s="265">
        <f>SUM(Q126:S126)</f>
        <v>75</v>
      </c>
      <c r="U126" s="626"/>
      <c r="V126" s="626"/>
      <c r="W126" s="79">
        <v>9</v>
      </c>
      <c r="X126" s="28">
        <v>75</v>
      </c>
      <c r="Y126" s="28"/>
      <c r="Z126" s="108"/>
      <c r="AA126" s="265">
        <f>SUM(X126:Z126)</f>
        <v>75</v>
      </c>
      <c r="AB126" s="626"/>
      <c r="AC126" s="626"/>
      <c r="AD126" s="79">
        <v>9</v>
      </c>
      <c r="AE126" s="730">
        <v>75</v>
      </c>
      <c r="AF126" s="730"/>
      <c r="AG126" s="144"/>
      <c r="AH126" s="265">
        <f>SUM(AE126:AG126)</f>
        <v>75</v>
      </c>
      <c r="AI126" s="626"/>
    </row>
    <row r="127" spans="1:35">
      <c r="A127" s="400"/>
      <c r="B127" s="159">
        <v>10</v>
      </c>
      <c r="C127" s="121"/>
      <c r="D127" s="121"/>
      <c r="E127" s="665"/>
      <c r="F127" s="185">
        <f>SUM(C127:E127)</f>
        <v>0</v>
      </c>
      <c r="G127" s="626"/>
      <c r="H127" s="626"/>
      <c r="I127" s="159">
        <v>10</v>
      </c>
      <c r="J127" s="121"/>
      <c r="K127" s="121"/>
      <c r="L127" s="665"/>
      <c r="M127" s="185">
        <f>SUM(J127:L127)</f>
        <v>0</v>
      </c>
      <c r="N127" s="626"/>
      <c r="O127" s="626"/>
      <c r="P127" s="159">
        <v>10</v>
      </c>
      <c r="Q127" s="121">
        <v>70</v>
      </c>
      <c r="R127" s="121"/>
      <c r="S127" s="665"/>
      <c r="T127" s="185">
        <f>SUM(Q127:S127)</f>
        <v>70</v>
      </c>
      <c r="U127" s="626"/>
      <c r="V127" s="626"/>
      <c r="W127" s="159">
        <v>10</v>
      </c>
      <c r="X127" s="121">
        <v>70</v>
      </c>
      <c r="Y127" s="121"/>
      <c r="Z127" s="665"/>
      <c r="AA127" s="185">
        <f>SUM(X127:Z127)</f>
        <v>70</v>
      </c>
      <c r="AB127" s="626"/>
      <c r="AC127" s="626"/>
      <c r="AD127" s="159">
        <v>10</v>
      </c>
      <c r="AE127" s="91">
        <v>70</v>
      </c>
      <c r="AF127" s="91"/>
      <c r="AG127" s="439"/>
      <c r="AH127" s="185">
        <f>SUM(AE127:AG127)</f>
        <v>70</v>
      </c>
      <c r="AI127" s="626"/>
    </row>
    <row r="128" spans="1:35">
      <c r="A128" s="400"/>
      <c r="B128" s="159">
        <v>11</v>
      </c>
      <c r="C128" s="121"/>
      <c r="D128" s="121"/>
      <c r="E128" s="665"/>
      <c r="F128" s="185">
        <f>SUM(C128:E128)</f>
        <v>0</v>
      </c>
      <c r="G128" s="626"/>
      <c r="H128" s="626"/>
      <c r="I128" s="159">
        <v>11</v>
      </c>
      <c r="J128" s="121"/>
      <c r="K128" s="121"/>
      <c r="L128" s="665"/>
      <c r="M128" s="185">
        <f>SUM(J128:L128)</f>
        <v>0</v>
      </c>
      <c r="N128" s="626"/>
      <c r="O128" s="626"/>
      <c r="P128" s="159">
        <v>11</v>
      </c>
      <c r="Q128" s="121"/>
      <c r="R128" s="121"/>
      <c r="S128" s="665"/>
      <c r="T128" s="185">
        <f>SUM(Q128:S128)</f>
        <v>0</v>
      </c>
      <c r="U128" s="626"/>
      <c r="V128" s="626"/>
      <c r="W128" s="159">
        <v>11</v>
      </c>
      <c r="X128" s="121">
        <v>70</v>
      </c>
      <c r="Y128" s="121"/>
      <c r="Z128" s="665"/>
      <c r="AA128" s="185">
        <f>SUM(X128:Z128)</f>
        <v>70</v>
      </c>
      <c r="AB128" s="626"/>
      <c r="AC128" s="626"/>
      <c r="AD128" s="159">
        <v>11</v>
      </c>
      <c r="AE128" s="91">
        <v>70</v>
      </c>
      <c r="AF128" s="91"/>
      <c r="AG128" s="439"/>
      <c r="AH128" s="185">
        <f>SUM(AE128:AG128)</f>
        <v>70</v>
      </c>
      <c r="AI128" s="626"/>
    </row>
    <row r="129" spans="1:35">
      <c r="A129" s="400"/>
      <c r="B129" s="159">
        <v>12</v>
      </c>
      <c r="C129" s="121"/>
      <c r="D129" s="121"/>
      <c r="E129" s="665"/>
      <c r="F129" s="185">
        <f>SUM(C129:E129)</f>
        <v>0</v>
      </c>
      <c r="G129" s="626"/>
      <c r="H129" s="626"/>
      <c r="I129" s="159">
        <v>12</v>
      </c>
      <c r="J129" s="121"/>
      <c r="K129" s="121"/>
      <c r="L129" s="665"/>
      <c r="M129" s="185">
        <f>SUM(J129:L129)</f>
        <v>0</v>
      </c>
      <c r="N129" s="626"/>
      <c r="O129" s="626"/>
      <c r="P129" s="159">
        <v>12</v>
      </c>
      <c r="Q129" s="121"/>
      <c r="R129" s="121"/>
      <c r="S129" s="665"/>
      <c r="T129" s="185">
        <f>SUM(Q129:S129)</f>
        <v>0</v>
      </c>
      <c r="U129" s="626"/>
      <c r="V129" s="626"/>
      <c r="W129" s="159">
        <v>12</v>
      </c>
      <c r="X129" s="121"/>
      <c r="Y129" s="121"/>
      <c r="Z129" s="665"/>
      <c r="AA129" s="185">
        <f>SUM(X129:Z129)</f>
        <v>0</v>
      </c>
      <c r="AB129" s="626"/>
      <c r="AC129" s="626"/>
      <c r="AD129" s="159">
        <v>12</v>
      </c>
      <c r="AE129" s="91">
        <v>70</v>
      </c>
      <c r="AF129" s="91"/>
      <c r="AG129" s="439"/>
      <c r="AH129" s="185">
        <f>SUM(AE129:AG129)</f>
        <v>70</v>
      </c>
      <c r="AI129" s="626"/>
    </row>
    <row r="130" spans="1:35">
      <c r="A130" s="400"/>
      <c r="B130" s="534" t="s">
        <v>349</v>
      </c>
      <c r="C130" s="171">
        <f>SUM(C126:C129)</f>
        <v>0</v>
      </c>
      <c r="D130" s="171">
        <f>SUM(D126:D129)</f>
        <v>0</v>
      </c>
      <c r="E130" s="171">
        <f>SUM(E126:E129)</f>
        <v>0</v>
      </c>
      <c r="F130" s="209">
        <f>SUM(F126:F129)</f>
        <v>0</v>
      </c>
      <c r="G130" s="626"/>
      <c r="H130" s="626"/>
      <c r="I130" s="534" t="s">
        <v>349</v>
      </c>
      <c r="J130" s="171">
        <f>SUM(J126:J129)</f>
        <v>75</v>
      </c>
      <c r="K130" s="171">
        <f>SUM(K126:K129)</f>
        <v>0</v>
      </c>
      <c r="L130" s="171">
        <f>SUM(L126:L129)</f>
        <v>0</v>
      </c>
      <c r="M130" s="209">
        <f>SUM(M126:M129)</f>
        <v>75</v>
      </c>
      <c r="N130" s="626"/>
      <c r="O130" s="626"/>
      <c r="P130" s="534" t="s">
        <v>349</v>
      </c>
      <c r="Q130" s="171">
        <f>SUM(Q126:Q129)</f>
        <v>145</v>
      </c>
      <c r="R130" s="171">
        <f>SUM(R126:R129)</f>
        <v>0</v>
      </c>
      <c r="S130" s="171">
        <f>SUM(S126:S129)</f>
        <v>0</v>
      </c>
      <c r="T130" s="209">
        <f>SUM(T126:T129)</f>
        <v>145</v>
      </c>
      <c r="U130" s="626"/>
      <c r="V130" s="626"/>
      <c r="W130" s="534" t="s">
        <v>349</v>
      </c>
      <c r="X130" s="171">
        <f>SUM(X126:X129)</f>
        <v>215</v>
      </c>
      <c r="Y130" s="171">
        <f>SUM(Y126:Y129)</f>
        <v>0</v>
      </c>
      <c r="Z130" s="171">
        <f>SUM(Z126:Z129)</f>
        <v>0</v>
      </c>
      <c r="AA130" s="209">
        <f>SUM(AA126:AA129)</f>
        <v>215</v>
      </c>
      <c r="AB130" s="626"/>
      <c r="AC130" s="626"/>
      <c r="AD130" s="534" t="s">
        <v>349</v>
      </c>
      <c r="AE130" s="171">
        <f>SUM(AE126:AE129)</f>
        <v>285</v>
      </c>
      <c r="AF130" s="171">
        <f>SUM(AF126:AF129)</f>
        <v>0</v>
      </c>
      <c r="AG130" s="171">
        <f>SUM(AG126:AG129)</f>
        <v>0</v>
      </c>
      <c r="AH130" s="209">
        <f>SUM(AH126:AH129)</f>
        <v>285</v>
      </c>
      <c r="AI130" s="626"/>
    </row>
    <row r="131" spans="1:35" ht="13.5" customHeight="1">
      <c r="A131" s="400"/>
      <c r="B131" s="571" t="s">
        <v>393</v>
      </c>
      <c r="C131" s="648">
        <v>1</v>
      </c>
      <c r="D131" s="648">
        <v>0.7</v>
      </c>
      <c r="E131" s="648">
        <v>0.4</v>
      </c>
      <c r="F131" s="723"/>
      <c r="G131" s="626"/>
      <c r="H131" s="626"/>
      <c r="I131" s="571" t="s">
        <v>393</v>
      </c>
      <c r="J131" s="648">
        <v>1</v>
      </c>
      <c r="K131" s="648">
        <v>0.7</v>
      </c>
      <c r="L131" s="648">
        <v>0.4</v>
      </c>
      <c r="M131" s="723"/>
      <c r="N131" s="626"/>
      <c r="O131" s="626"/>
      <c r="P131" s="571" t="s">
        <v>393</v>
      </c>
      <c r="Q131" s="648">
        <v>1</v>
      </c>
      <c r="R131" s="648">
        <v>0.7</v>
      </c>
      <c r="S131" s="648">
        <v>0.4</v>
      </c>
      <c r="T131" s="723"/>
      <c r="U131" s="626"/>
      <c r="V131" s="626"/>
      <c r="W131" s="571" t="s">
        <v>393</v>
      </c>
      <c r="X131" s="648">
        <v>1</v>
      </c>
      <c r="Y131" s="648">
        <v>0.7</v>
      </c>
      <c r="Z131" s="648">
        <v>0.4</v>
      </c>
      <c r="AA131" s="723"/>
      <c r="AB131" s="626"/>
      <c r="AC131" s="626"/>
      <c r="AD131" s="571" t="s">
        <v>393</v>
      </c>
      <c r="AE131" s="648">
        <v>1</v>
      </c>
      <c r="AF131" s="648">
        <v>0.7</v>
      </c>
      <c r="AG131" s="648">
        <v>0.4</v>
      </c>
      <c r="AH131" s="572"/>
      <c r="AI131" s="626"/>
    </row>
    <row r="132" spans="1:35" ht="13.5" customHeight="1">
      <c r="A132" s="400"/>
      <c r="B132" s="787" t="s">
        <v>350</v>
      </c>
      <c r="C132" s="519">
        <f>C130*C131</f>
        <v>0</v>
      </c>
      <c r="D132" s="519">
        <f>D130*D131</f>
        <v>0</v>
      </c>
      <c r="E132" s="519">
        <f>E130*E131</f>
        <v>0</v>
      </c>
      <c r="F132" s="473">
        <f>SUM(C132:E132)</f>
        <v>0</v>
      </c>
      <c r="G132" s="626"/>
      <c r="H132" s="626"/>
      <c r="I132" s="787" t="s">
        <v>350</v>
      </c>
      <c r="J132" s="519">
        <f>J130*J131</f>
        <v>75</v>
      </c>
      <c r="K132" s="519">
        <f>K130*K131</f>
        <v>0</v>
      </c>
      <c r="L132" s="519">
        <f>L130*L131</f>
        <v>0</v>
      </c>
      <c r="M132" s="473">
        <f>SUM(J132:L132)</f>
        <v>75</v>
      </c>
      <c r="N132" s="626"/>
      <c r="O132" s="626"/>
      <c r="P132" s="787" t="s">
        <v>350</v>
      </c>
      <c r="Q132" s="519">
        <f>Q130*Q131</f>
        <v>145</v>
      </c>
      <c r="R132" s="519">
        <f>R130*R131</f>
        <v>0</v>
      </c>
      <c r="S132" s="519">
        <f>S130*S131</f>
        <v>0</v>
      </c>
      <c r="T132" s="473">
        <f>SUM(Q132:S132)</f>
        <v>145</v>
      </c>
      <c r="U132" s="626"/>
      <c r="V132" s="626"/>
      <c r="W132" s="787" t="s">
        <v>350</v>
      </c>
      <c r="X132" s="519">
        <f>X130*X131</f>
        <v>215</v>
      </c>
      <c r="Y132" s="519">
        <f>Y130*Y131</f>
        <v>0</v>
      </c>
      <c r="Z132" s="519">
        <f>Z130*Z131</f>
        <v>0</v>
      </c>
      <c r="AA132" s="473">
        <f>SUM(X132:Z132)</f>
        <v>215</v>
      </c>
      <c r="AB132" s="626"/>
      <c r="AC132" s="626"/>
      <c r="AD132" s="787" t="s">
        <v>350</v>
      </c>
      <c r="AE132" s="519">
        <f>AE130*AE131</f>
        <v>285</v>
      </c>
      <c r="AF132" s="519">
        <f>AF130*AF131</f>
        <v>0</v>
      </c>
      <c r="AG132" s="519">
        <f>AG130*AG131</f>
        <v>0</v>
      </c>
      <c r="AH132" s="473">
        <f>SUM(AE132:AG132)</f>
        <v>285</v>
      </c>
      <c r="AI132" s="626"/>
    </row>
    <row r="133" spans="1:35">
      <c r="A133" s="400"/>
      <c r="B133" s="359"/>
      <c r="C133" s="269"/>
      <c r="D133" s="391"/>
      <c r="E133" s="269"/>
      <c r="F133" s="207"/>
      <c r="G133" s="626"/>
      <c r="H133" s="626"/>
      <c r="I133" s="359"/>
      <c r="J133" s="269"/>
      <c r="K133" s="391"/>
      <c r="L133" s="269"/>
      <c r="M133" s="207"/>
      <c r="N133" s="626"/>
      <c r="O133" s="626"/>
      <c r="P133" s="359"/>
      <c r="Q133" s="269"/>
      <c r="R133" s="391"/>
      <c r="S133" s="269"/>
      <c r="T133" s="207"/>
      <c r="U133" s="626"/>
      <c r="V133" s="626"/>
      <c r="W133" s="359"/>
      <c r="X133" s="269"/>
      <c r="Y133" s="391"/>
      <c r="Z133" s="269"/>
      <c r="AA133" s="207"/>
      <c r="AB133" s="626"/>
      <c r="AC133" s="626"/>
      <c r="AD133" s="359"/>
      <c r="AE133" s="269"/>
      <c r="AF133" s="391"/>
      <c r="AG133" s="269"/>
      <c r="AH133" s="207"/>
      <c r="AI133" s="626"/>
    </row>
    <row r="134" spans="1:35" ht="13.5" customHeight="1">
      <c r="A134" s="400"/>
      <c r="B134" s="175"/>
      <c r="C134" s="574"/>
      <c r="D134" s="151"/>
      <c r="E134" s="19"/>
      <c r="F134" s="400"/>
      <c r="G134" s="626"/>
      <c r="H134" s="626"/>
      <c r="I134" s="175"/>
      <c r="J134" s="574"/>
      <c r="K134" s="151"/>
      <c r="L134" s="19"/>
      <c r="M134" s="400"/>
      <c r="N134" s="626"/>
      <c r="O134" s="626"/>
      <c r="P134" s="175"/>
      <c r="Q134" s="574"/>
      <c r="R134" s="151"/>
      <c r="S134" s="19"/>
      <c r="T134" s="400"/>
      <c r="U134" s="626"/>
      <c r="V134" s="626"/>
      <c r="W134" s="175"/>
      <c r="X134" s="574"/>
      <c r="Y134" s="151"/>
      <c r="Z134" s="19"/>
      <c r="AA134" s="400"/>
      <c r="AB134" s="626"/>
      <c r="AC134" s="626"/>
      <c r="AD134" s="175"/>
      <c r="AE134" s="574"/>
      <c r="AF134" s="151"/>
      <c r="AG134" s="19"/>
      <c r="AH134" s="400"/>
      <c r="AI134" s="626"/>
    </row>
    <row r="135" spans="1:35" ht="13.5" customHeight="1">
      <c r="A135" s="400"/>
      <c r="B135" s="890" t="s">
        <v>351</v>
      </c>
      <c r="C135" s="891"/>
      <c r="D135" s="676"/>
      <c r="E135" s="19"/>
      <c r="F135" s="400"/>
      <c r="G135" s="626"/>
      <c r="H135" s="626"/>
      <c r="I135" s="890" t="s">
        <v>351</v>
      </c>
      <c r="J135" s="891"/>
      <c r="K135" s="676"/>
      <c r="L135" s="19"/>
      <c r="M135" s="400"/>
      <c r="N135" s="626"/>
      <c r="O135" s="626"/>
      <c r="P135" s="890" t="s">
        <v>351</v>
      </c>
      <c r="Q135" s="891"/>
      <c r="R135" s="676"/>
      <c r="S135" s="19"/>
      <c r="T135" s="400"/>
      <c r="U135" s="626"/>
      <c r="V135" s="626"/>
      <c r="W135" s="890" t="s">
        <v>351</v>
      </c>
      <c r="X135" s="891"/>
      <c r="Y135" s="676"/>
      <c r="Z135" s="19"/>
      <c r="AA135" s="400"/>
      <c r="AB135" s="626"/>
      <c r="AC135" s="626"/>
      <c r="AD135" s="890" t="s">
        <v>351</v>
      </c>
      <c r="AE135" s="891"/>
      <c r="AF135" s="676"/>
      <c r="AG135" s="19"/>
      <c r="AH135" s="400"/>
      <c r="AI135" s="626"/>
    </row>
    <row r="136" spans="1:35">
      <c r="A136" s="400"/>
      <c r="B136" s="446" t="s">
        <v>352</v>
      </c>
      <c r="C136" s="181">
        <f>F132</f>
        <v>0</v>
      </c>
      <c r="D136" s="85"/>
      <c r="E136" s="19"/>
      <c r="F136" s="400"/>
      <c r="G136" s="626"/>
      <c r="H136" s="626"/>
      <c r="I136" s="446" t="s">
        <v>352</v>
      </c>
      <c r="J136" s="181">
        <f>M132</f>
        <v>75</v>
      </c>
      <c r="K136" s="85"/>
      <c r="L136" s="19"/>
      <c r="M136" s="400"/>
      <c r="N136" s="626"/>
      <c r="O136" s="626"/>
      <c r="P136" s="446" t="s">
        <v>353</v>
      </c>
      <c r="Q136" s="181">
        <f>T132</f>
        <v>145</v>
      </c>
      <c r="R136" s="85"/>
      <c r="S136" s="19"/>
      <c r="T136" s="400"/>
      <c r="U136" s="626"/>
      <c r="V136" s="626"/>
      <c r="W136" s="446" t="s">
        <v>352</v>
      </c>
      <c r="X136" s="181">
        <f>AA132</f>
        <v>215</v>
      </c>
      <c r="Y136" s="85"/>
      <c r="Z136" s="19"/>
      <c r="AA136" s="400"/>
      <c r="AB136" s="626"/>
      <c r="AC136" s="626"/>
      <c r="AD136" s="446" t="s">
        <v>352</v>
      </c>
      <c r="AE136" s="181">
        <f>AH132</f>
        <v>285</v>
      </c>
      <c r="AF136" s="85"/>
      <c r="AG136" s="19"/>
      <c r="AH136" s="400"/>
      <c r="AI136" s="626"/>
    </row>
    <row r="137" spans="1:35" ht="13.5" customHeight="1">
      <c r="A137" s="400"/>
      <c r="B137" s="662" t="s">
        <v>354</v>
      </c>
      <c r="C137" s="774">
        <f>C17</f>
        <v>5868.88</v>
      </c>
      <c r="D137" s="85"/>
      <c r="E137" s="19"/>
      <c r="F137" s="400"/>
      <c r="G137" s="626"/>
      <c r="H137" s="626"/>
      <c r="I137" s="662" t="s">
        <v>354</v>
      </c>
      <c r="J137" s="774">
        <f>J17</f>
        <v>5868.88</v>
      </c>
      <c r="K137" s="85"/>
      <c r="L137" s="19"/>
      <c r="M137" s="400"/>
      <c r="N137" s="626"/>
      <c r="O137" s="626"/>
      <c r="P137" s="662" t="s">
        <v>354</v>
      </c>
      <c r="Q137" s="774">
        <f>Q15</f>
        <v>5868.88</v>
      </c>
      <c r="R137" s="85"/>
      <c r="S137" s="19"/>
      <c r="T137" s="400"/>
      <c r="U137" s="626"/>
      <c r="V137" s="626"/>
      <c r="W137" s="662" t="s">
        <v>354</v>
      </c>
      <c r="X137" s="774">
        <f>X15</f>
        <v>5868.88</v>
      </c>
      <c r="Y137" s="85"/>
      <c r="Z137" s="19"/>
      <c r="AA137" s="400"/>
      <c r="AB137" s="626"/>
      <c r="AC137" s="626"/>
      <c r="AD137" s="662" t="s">
        <v>354</v>
      </c>
      <c r="AE137" s="774">
        <f>AE15</f>
        <v>5868.88</v>
      </c>
      <c r="AF137" s="85"/>
      <c r="AG137" s="19"/>
      <c r="AH137" s="400"/>
      <c r="AI137" s="626"/>
    </row>
    <row r="138" spans="1:35" ht="15.75" customHeight="1">
      <c r="A138" s="400"/>
      <c r="B138" s="473" t="s">
        <v>355</v>
      </c>
      <c r="C138" s="815">
        <f>C136*C137</f>
        <v>0</v>
      </c>
      <c r="D138" s="676"/>
      <c r="E138" s="19"/>
      <c r="F138" s="400"/>
      <c r="G138" s="626"/>
      <c r="H138" s="626"/>
      <c r="I138" s="473" t="s">
        <v>355</v>
      </c>
      <c r="J138" s="815">
        <f>J136*J137</f>
        <v>440166</v>
      </c>
      <c r="K138" s="676"/>
      <c r="L138" s="19"/>
      <c r="M138" s="400"/>
      <c r="N138" s="626"/>
      <c r="O138" s="626"/>
      <c r="P138" s="473" t="s">
        <v>355</v>
      </c>
      <c r="Q138" s="815">
        <f>Q136*Q137</f>
        <v>850987.6</v>
      </c>
      <c r="R138" s="676"/>
      <c r="S138" s="19"/>
      <c r="T138" s="400"/>
      <c r="U138" s="626"/>
      <c r="V138" s="626"/>
      <c r="W138" s="473" t="s">
        <v>355</v>
      </c>
      <c r="X138" s="815">
        <f>X136*X137</f>
        <v>1261809.2</v>
      </c>
      <c r="Y138" s="676"/>
      <c r="Z138" s="19"/>
      <c r="AA138" s="400"/>
      <c r="AB138" s="626"/>
      <c r="AC138" s="626"/>
      <c r="AD138" s="473" t="s">
        <v>355</v>
      </c>
      <c r="AE138" s="815">
        <f>AE136*AE137</f>
        <v>1672630.8</v>
      </c>
      <c r="AF138" s="676"/>
      <c r="AG138" s="19"/>
      <c r="AH138" s="400"/>
      <c r="AI138" s="626"/>
    </row>
    <row r="139" spans="1:35" ht="15" customHeight="1">
      <c r="A139" s="400"/>
      <c r="B139" s="63"/>
      <c r="C139" s="800"/>
      <c r="D139" s="151"/>
      <c r="E139" s="151"/>
      <c r="F139" s="740"/>
      <c r="G139" s="626"/>
      <c r="H139" s="626"/>
      <c r="I139" s="63"/>
      <c r="J139" s="800"/>
      <c r="K139" s="151"/>
      <c r="L139" s="151"/>
      <c r="M139" s="740"/>
      <c r="N139" s="626"/>
      <c r="O139" s="626"/>
      <c r="P139" s="63"/>
      <c r="Q139" s="800"/>
      <c r="R139" s="151"/>
      <c r="S139" s="151"/>
      <c r="T139" s="740"/>
      <c r="U139" s="626"/>
      <c r="V139" s="626"/>
      <c r="W139" s="63"/>
      <c r="X139" s="800"/>
      <c r="Y139" s="151"/>
      <c r="Z139" s="151"/>
      <c r="AA139" s="740"/>
      <c r="AB139" s="626"/>
      <c r="AC139" s="626"/>
      <c r="AD139" s="63"/>
      <c r="AE139" s="800"/>
      <c r="AF139" s="151"/>
      <c r="AG139" s="151"/>
      <c r="AH139" s="740"/>
      <c r="AI139" s="626"/>
    </row>
    <row r="140" spans="1:35" ht="15.75" customHeight="1">
      <c r="A140" s="400"/>
      <c r="B140" s="619"/>
      <c r="C140" s="117"/>
      <c r="D140" s="151"/>
      <c r="E140" s="151"/>
      <c r="F140" s="740"/>
      <c r="G140" s="626"/>
      <c r="H140" s="626"/>
      <c r="I140" s="619"/>
      <c r="J140" s="117"/>
      <c r="K140" s="151"/>
      <c r="L140" s="151"/>
      <c r="M140" s="740"/>
      <c r="N140" s="626"/>
      <c r="O140" s="626"/>
      <c r="P140" s="619"/>
      <c r="Q140" s="117"/>
      <c r="R140" s="151"/>
      <c r="S140" s="151"/>
      <c r="T140" s="740"/>
      <c r="U140" s="626"/>
      <c r="V140" s="626"/>
      <c r="W140" s="619"/>
      <c r="X140" s="117"/>
      <c r="Y140" s="151"/>
      <c r="Z140" s="151"/>
      <c r="AA140" s="740"/>
      <c r="AB140" s="626"/>
      <c r="AC140" s="626"/>
      <c r="AD140" s="619"/>
      <c r="AE140" s="117"/>
      <c r="AF140" s="151"/>
      <c r="AG140" s="151"/>
      <c r="AH140" s="740"/>
      <c r="AI140" s="626"/>
    </row>
    <row r="141" spans="1:35" ht="13.5" customHeight="1">
      <c r="A141" s="400"/>
      <c r="B141" s="890" t="s">
        <v>356</v>
      </c>
      <c r="C141" s="891"/>
      <c r="D141" s="525"/>
      <c r="E141" s="518"/>
      <c r="F141" s="93"/>
      <c r="G141" s="626"/>
      <c r="H141" s="626"/>
      <c r="I141" s="890" t="s">
        <v>356</v>
      </c>
      <c r="J141" s="891"/>
      <c r="K141" s="525"/>
      <c r="L141" s="518"/>
      <c r="M141" s="93"/>
      <c r="N141" s="626"/>
      <c r="O141" s="626"/>
      <c r="P141" s="890" t="s">
        <v>356</v>
      </c>
      <c r="Q141" s="891"/>
      <c r="R141" s="525"/>
      <c r="S141" s="518"/>
      <c r="T141" s="93"/>
      <c r="U141" s="626"/>
      <c r="V141" s="626"/>
      <c r="W141" s="890" t="s">
        <v>356</v>
      </c>
      <c r="X141" s="891"/>
      <c r="Y141" s="525"/>
      <c r="Z141" s="518"/>
      <c r="AA141" s="93"/>
      <c r="AB141" s="626"/>
      <c r="AC141" s="626"/>
      <c r="AD141" s="890" t="s">
        <v>356</v>
      </c>
      <c r="AE141" s="891"/>
      <c r="AF141" s="525"/>
      <c r="AG141" s="518"/>
      <c r="AH141" s="93"/>
      <c r="AI141" s="626"/>
    </row>
    <row r="142" spans="1:35">
      <c r="A142" s="400"/>
      <c r="B142" s="446" t="s">
        <v>357</v>
      </c>
      <c r="C142" s="181">
        <f>F130</f>
        <v>0</v>
      </c>
      <c r="D142" s="854"/>
      <c r="E142" s="518"/>
      <c r="F142" s="93"/>
      <c r="G142" s="626"/>
      <c r="H142" s="626"/>
      <c r="I142" s="446" t="s">
        <v>357</v>
      </c>
      <c r="J142" s="181">
        <f>M130</f>
        <v>75</v>
      </c>
      <c r="K142" s="854"/>
      <c r="L142" s="518"/>
      <c r="M142" s="93"/>
      <c r="N142" s="626"/>
      <c r="O142" s="626"/>
      <c r="P142" s="446" t="s">
        <v>357</v>
      </c>
      <c r="Q142" s="181">
        <f>T130</f>
        <v>145</v>
      </c>
      <c r="R142" s="854"/>
      <c r="S142" s="518"/>
      <c r="T142" s="93"/>
      <c r="U142" s="626"/>
      <c r="V142" s="626"/>
      <c r="W142" s="446" t="s">
        <v>357</v>
      </c>
      <c r="X142" s="181">
        <f>AA130</f>
        <v>215</v>
      </c>
      <c r="Y142" s="854"/>
      <c r="Z142" s="518"/>
      <c r="AA142" s="93"/>
      <c r="AB142" s="626"/>
      <c r="AC142" s="626"/>
      <c r="AD142" s="446" t="s">
        <v>357</v>
      </c>
      <c r="AE142" s="181">
        <f>AH130</f>
        <v>285</v>
      </c>
      <c r="AF142" s="854"/>
      <c r="AG142" s="518"/>
      <c r="AH142" s="93"/>
      <c r="AI142" s="626"/>
    </row>
    <row r="143" spans="1:35" ht="16.5" customHeight="1">
      <c r="A143" s="400"/>
      <c r="B143" s="662" t="s">
        <v>358</v>
      </c>
      <c r="C143" s="774">
        <f>C18</f>
        <v>2020.9</v>
      </c>
      <c r="D143" s="854"/>
      <c r="E143" s="518"/>
      <c r="F143" s="582"/>
      <c r="G143" s="652"/>
      <c r="H143" s="626"/>
      <c r="I143" s="662" t="s">
        <v>358</v>
      </c>
      <c r="J143" s="774">
        <f>J18</f>
        <v>2020.9</v>
      </c>
      <c r="K143" s="854"/>
      <c r="L143" s="518"/>
      <c r="M143" s="582"/>
      <c r="N143" s="652"/>
      <c r="O143" s="626"/>
      <c r="P143" s="662" t="s">
        <v>358</v>
      </c>
      <c r="Q143" s="774">
        <f>Q16</f>
        <v>2020.9</v>
      </c>
      <c r="R143" s="854"/>
      <c r="S143" s="518"/>
      <c r="T143" s="582"/>
      <c r="U143" s="652"/>
      <c r="V143" s="626"/>
      <c r="W143" s="662" t="s">
        <v>358</v>
      </c>
      <c r="X143" s="774">
        <f>X16</f>
        <v>2020.9</v>
      </c>
      <c r="Y143" s="854"/>
      <c r="Z143" s="518"/>
      <c r="AA143" s="582"/>
      <c r="AB143" s="652"/>
      <c r="AC143" s="626"/>
      <c r="AD143" s="662" t="s">
        <v>358</v>
      </c>
      <c r="AE143" s="774">
        <f>AE16</f>
        <v>2020.9</v>
      </c>
      <c r="AF143" s="854"/>
      <c r="AG143" s="518"/>
      <c r="AH143" s="582"/>
      <c r="AI143" s="652"/>
    </row>
    <row r="144" spans="1:35" ht="16.5" customHeight="1">
      <c r="A144" s="400"/>
      <c r="B144" s="473" t="s">
        <v>291</v>
      </c>
      <c r="C144" s="815">
        <f>C142*C143</f>
        <v>0</v>
      </c>
      <c r="D144" s="525"/>
      <c r="E144" s="518"/>
      <c r="F144" s="582"/>
      <c r="G144" s="652"/>
      <c r="H144" s="626"/>
      <c r="I144" s="473" t="s">
        <v>291</v>
      </c>
      <c r="J144" s="815">
        <f>J142*J143</f>
        <v>151567.5</v>
      </c>
      <c r="K144" s="525"/>
      <c r="L144" s="518"/>
      <c r="M144" s="582"/>
      <c r="N144" s="652"/>
      <c r="O144" s="626"/>
      <c r="P144" s="473" t="s">
        <v>291</v>
      </c>
      <c r="Q144" s="815">
        <f>Q142*Q143</f>
        <v>293030.5</v>
      </c>
      <c r="R144" s="525"/>
      <c r="S144" s="518"/>
      <c r="T144" s="582"/>
      <c r="U144" s="652"/>
      <c r="V144" s="626"/>
      <c r="W144" s="473" t="s">
        <v>291</v>
      </c>
      <c r="X144" s="815">
        <f>X142*X143</f>
        <v>434493.5</v>
      </c>
      <c r="Y144" s="525"/>
      <c r="Z144" s="518"/>
      <c r="AA144" s="582"/>
      <c r="AB144" s="652"/>
      <c r="AC144" s="626"/>
      <c r="AD144" s="473" t="s">
        <v>291</v>
      </c>
      <c r="AE144" s="815">
        <f>AE142*AE143</f>
        <v>575956.5</v>
      </c>
      <c r="AF144" s="525"/>
      <c r="AG144" s="518"/>
      <c r="AH144" s="582"/>
      <c r="AI144" s="652"/>
    </row>
    <row r="145" spans="1:35" ht="15.75" customHeight="1">
      <c r="A145" s="400"/>
      <c r="B145" s="741"/>
      <c r="C145" s="270"/>
      <c r="D145" s="43"/>
      <c r="E145" s="778"/>
      <c r="F145" s="738"/>
      <c r="G145" s="155"/>
      <c r="H145" s="626"/>
      <c r="I145" s="741"/>
      <c r="J145" s="270"/>
      <c r="K145" s="43"/>
      <c r="L145" s="778"/>
      <c r="M145" s="738"/>
      <c r="N145" s="155"/>
      <c r="O145" s="626"/>
      <c r="P145" s="741"/>
      <c r="Q145" s="270"/>
      <c r="R145" s="43"/>
      <c r="S145" s="778"/>
      <c r="T145" s="738"/>
      <c r="U145" s="155"/>
      <c r="V145" s="626"/>
      <c r="W145" s="741"/>
      <c r="X145" s="270"/>
      <c r="Y145" s="43"/>
      <c r="Z145" s="778"/>
      <c r="AA145" s="738"/>
      <c r="AB145" s="155"/>
      <c r="AC145" s="626"/>
      <c r="AD145" s="741"/>
      <c r="AE145" s="270"/>
      <c r="AF145" s="43"/>
      <c r="AG145" s="778"/>
      <c r="AH145" s="738"/>
      <c r="AI145" s="155"/>
    </row>
    <row r="146" spans="1:35" ht="16.5" customHeight="1">
      <c r="A146" s="400"/>
      <c r="B146" s="307"/>
      <c r="C146" s="856"/>
      <c r="D146" s="43"/>
      <c r="E146" s="778"/>
      <c r="F146" s="738"/>
      <c r="G146" s="155"/>
      <c r="H146" s="626"/>
      <c r="I146" s="307"/>
      <c r="J146" s="856"/>
      <c r="K146" s="43"/>
      <c r="L146" s="778"/>
      <c r="M146" s="738"/>
      <c r="N146" s="155"/>
      <c r="O146" s="626"/>
      <c r="P146" s="307"/>
      <c r="Q146" s="856"/>
      <c r="R146" s="43"/>
      <c r="S146" s="778"/>
      <c r="T146" s="738"/>
      <c r="U146" s="155"/>
      <c r="V146" s="626"/>
      <c r="W146" s="307"/>
      <c r="X146" s="856"/>
      <c r="Y146" s="43"/>
      <c r="Z146" s="778"/>
      <c r="AA146" s="738"/>
      <c r="AB146" s="155"/>
      <c r="AC146" s="626"/>
      <c r="AD146" s="307"/>
      <c r="AE146" s="856"/>
      <c r="AF146" s="43"/>
      <c r="AG146" s="778"/>
      <c r="AH146" s="738"/>
      <c r="AI146" s="155"/>
    </row>
    <row r="147" spans="1:35" ht="13.5" customHeight="1">
      <c r="A147" s="400"/>
      <c r="B147" s="890" t="s">
        <v>292</v>
      </c>
      <c r="C147" s="891"/>
      <c r="D147" s="795"/>
      <c r="E147" s="778"/>
      <c r="F147" s="738"/>
      <c r="G147" s="442"/>
      <c r="H147" s="626"/>
      <c r="I147" s="890" t="s">
        <v>292</v>
      </c>
      <c r="J147" s="891"/>
      <c r="K147" s="795"/>
      <c r="L147" s="778"/>
      <c r="M147" s="738"/>
      <c r="N147" s="442"/>
      <c r="O147" s="626"/>
      <c r="P147" s="890" t="s">
        <v>292</v>
      </c>
      <c r="Q147" s="891"/>
      <c r="R147" s="795"/>
      <c r="S147" s="778"/>
      <c r="T147" s="738"/>
      <c r="U147" s="442"/>
      <c r="V147" s="626"/>
      <c r="W147" s="890" t="s">
        <v>292</v>
      </c>
      <c r="X147" s="891"/>
      <c r="Y147" s="795"/>
      <c r="Z147" s="778"/>
      <c r="AA147" s="738"/>
      <c r="AB147" s="442"/>
      <c r="AC147" s="626"/>
      <c r="AD147" s="890" t="s">
        <v>292</v>
      </c>
      <c r="AE147" s="891"/>
      <c r="AF147" s="795"/>
      <c r="AG147" s="778"/>
      <c r="AH147" s="738"/>
      <c r="AI147" s="442"/>
    </row>
    <row r="148" spans="1:35">
      <c r="A148" s="400"/>
      <c r="B148" s="446" t="s">
        <v>355</v>
      </c>
      <c r="C148" s="786">
        <f>C138</f>
        <v>0</v>
      </c>
      <c r="D148" s="274"/>
      <c r="E148" s="778"/>
      <c r="F148" s="738"/>
      <c r="G148" s="442"/>
      <c r="H148" s="626"/>
      <c r="I148" s="446" t="s">
        <v>355</v>
      </c>
      <c r="J148" s="786">
        <f>J138</f>
        <v>440166</v>
      </c>
      <c r="K148" s="274"/>
      <c r="L148" s="778"/>
      <c r="M148" s="738"/>
      <c r="N148" s="442"/>
      <c r="O148" s="626"/>
      <c r="P148" s="446" t="s">
        <v>355</v>
      </c>
      <c r="Q148" s="786">
        <f>Q138</f>
        <v>850987.6</v>
      </c>
      <c r="R148" s="274"/>
      <c r="S148" s="778"/>
      <c r="T148" s="738"/>
      <c r="U148" s="442"/>
      <c r="V148" s="626"/>
      <c r="W148" s="446" t="s">
        <v>355</v>
      </c>
      <c r="X148" s="786">
        <f>X138</f>
        <v>1261809.2</v>
      </c>
      <c r="Y148" s="274"/>
      <c r="Z148" s="778"/>
      <c r="AA148" s="738"/>
      <c r="AB148" s="442"/>
      <c r="AC148" s="626"/>
      <c r="AD148" s="446" t="s">
        <v>355</v>
      </c>
      <c r="AE148" s="786">
        <f>AE138</f>
        <v>1672630.8</v>
      </c>
      <c r="AF148" s="274"/>
      <c r="AG148" s="778"/>
      <c r="AH148" s="738"/>
      <c r="AI148" s="442"/>
    </row>
    <row r="149" spans="1:35">
      <c r="A149" s="400"/>
      <c r="B149" s="781" t="s">
        <v>291</v>
      </c>
      <c r="C149" s="774">
        <f>C144</f>
        <v>0</v>
      </c>
      <c r="D149" s="274"/>
      <c r="E149" s="778"/>
      <c r="F149" s="738"/>
      <c r="G149" s="442"/>
      <c r="H149" s="626"/>
      <c r="I149" s="781" t="s">
        <v>291</v>
      </c>
      <c r="J149" s="774">
        <f>J144</f>
        <v>151567.5</v>
      </c>
      <c r="K149" s="274"/>
      <c r="L149" s="778"/>
      <c r="M149" s="738"/>
      <c r="N149" s="442"/>
      <c r="O149" s="626"/>
      <c r="P149" s="781" t="s">
        <v>291</v>
      </c>
      <c r="Q149" s="774">
        <f>Q144</f>
        <v>293030.5</v>
      </c>
      <c r="R149" s="274"/>
      <c r="S149" s="778"/>
      <c r="T149" s="738"/>
      <c r="U149" s="442"/>
      <c r="V149" s="626"/>
      <c r="W149" s="781" t="s">
        <v>291</v>
      </c>
      <c r="X149" s="774">
        <f>X144</f>
        <v>434493.5</v>
      </c>
      <c r="Y149" s="274"/>
      <c r="Z149" s="778"/>
      <c r="AA149" s="738"/>
      <c r="AB149" s="442"/>
      <c r="AC149" s="626"/>
      <c r="AD149" s="781" t="s">
        <v>291</v>
      </c>
      <c r="AE149" s="774">
        <f>AE144</f>
        <v>575956.5</v>
      </c>
      <c r="AF149" s="274"/>
      <c r="AG149" s="778"/>
      <c r="AH149" s="738"/>
      <c r="AI149" s="442"/>
    </row>
    <row r="150" spans="1:35" ht="15.75" customHeight="1">
      <c r="A150" s="400"/>
      <c r="B150" s="375" t="s">
        <v>293</v>
      </c>
      <c r="C150" s="815">
        <f>C148+C149</f>
        <v>0</v>
      </c>
      <c r="D150" s="795"/>
      <c r="E150" s="778"/>
      <c r="F150" s="738"/>
      <c r="G150" s="50"/>
      <c r="H150" s="626"/>
      <c r="I150" s="375" t="s">
        <v>293</v>
      </c>
      <c r="J150" s="815">
        <f>J148+J149</f>
        <v>591733.5</v>
      </c>
      <c r="K150" s="795"/>
      <c r="L150" s="778"/>
      <c r="M150" s="738"/>
      <c r="N150" s="50"/>
      <c r="O150" s="626"/>
      <c r="P150" s="375" t="s">
        <v>293</v>
      </c>
      <c r="Q150" s="815">
        <f>Q148+Q149</f>
        <v>1144018.1000000001</v>
      </c>
      <c r="R150" s="795"/>
      <c r="S150" s="778"/>
      <c r="T150" s="738"/>
      <c r="U150" s="50"/>
      <c r="V150" s="626"/>
      <c r="W150" s="375" t="s">
        <v>293</v>
      </c>
      <c r="X150" s="815">
        <f>X148+X149</f>
        <v>1696302.7</v>
      </c>
      <c r="Y150" s="795"/>
      <c r="Z150" s="778"/>
      <c r="AA150" s="738"/>
      <c r="AB150" s="50"/>
      <c r="AC150" s="626"/>
      <c r="AD150" s="375" t="s">
        <v>293</v>
      </c>
      <c r="AE150" s="815">
        <f>AE148+AE149</f>
        <v>2248587.2999999998</v>
      </c>
      <c r="AF150" s="795"/>
      <c r="AG150" s="778"/>
      <c r="AH150" s="738"/>
      <c r="AI150" s="50"/>
    </row>
    <row r="151" spans="1:35" ht="15" customHeight="1">
      <c r="A151" s="400"/>
      <c r="B151" s="63"/>
      <c r="C151" s="800"/>
      <c r="D151" s="43"/>
      <c r="E151" s="778"/>
      <c r="F151" s="738"/>
      <c r="G151" s="50"/>
      <c r="H151" s="626"/>
      <c r="I151" s="63"/>
      <c r="J151" s="800"/>
      <c r="K151" s="43"/>
      <c r="L151" s="778"/>
      <c r="M151" s="738"/>
      <c r="N151" s="50"/>
      <c r="O151" s="626"/>
      <c r="P151" s="63"/>
      <c r="Q151" s="800"/>
      <c r="R151" s="43"/>
      <c r="S151" s="778"/>
      <c r="T151" s="738"/>
      <c r="U151" s="50"/>
      <c r="V151" s="626"/>
      <c r="W151" s="63"/>
      <c r="X151" s="800"/>
      <c r="Y151" s="43"/>
      <c r="Z151" s="778"/>
      <c r="AA151" s="738"/>
      <c r="AB151" s="50"/>
      <c r="AC151" s="626"/>
      <c r="AD151" s="63"/>
      <c r="AE151" s="800"/>
      <c r="AF151" s="43"/>
      <c r="AG151" s="778"/>
      <c r="AH151" s="738"/>
      <c r="AI151" s="50"/>
    </row>
    <row r="152" spans="1:35" ht="15" hidden="1" customHeight="1">
      <c r="A152" s="400"/>
      <c r="B152" s="306"/>
      <c r="C152" s="305"/>
      <c r="D152" s="43"/>
      <c r="E152" s="778"/>
      <c r="F152" s="738"/>
      <c r="G152" s="50"/>
      <c r="H152" s="626"/>
      <c r="I152" s="306"/>
      <c r="J152" s="305"/>
      <c r="K152" s="43"/>
      <c r="L152" s="778"/>
      <c r="M152" s="738"/>
      <c r="N152" s="50"/>
      <c r="O152" s="626"/>
      <c r="P152" s="306"/>
      <c r="Q152" s="305"/>
      <c r="R152" s="43"/>
      <c r="S152" s="778"/>
      <c r="T152" s="738"/>
      <c r="U152" s="50"/>
      <c r="V152" s="626"/>
      <c r="W152" s="306"/>
      <c r="X152" s="305"/>
      <c r="Y152" s="43"/>
      <c r="Z152" s="778"/>
      <c r="AA152" s="738"/>
      <c r="AB152" s="50"/>
      <c r="AC152" s="626"/>
      <c r="AD152" s="306"/>
      <c r="AE152" s="305"/>
      <c r="AF152" s="43"/>
      <c r="AG152" s="778"/>
      <c r="AH152" s="738"/>
      <c r="AI152" s="50"/>
    </row>
    <row r="153" spans="1:35" ht="15.75" hidden="1" customHeight="1">
      <c r="A153" s="400"/>
      <c r="B153" s="619"/>
      <c r="C153" s="117"/>
      <c r="D153" s="856"/>
      <c r="E153" s="195"/>
      <c r="F153" s="410"/>
      <c r="G153" s="50"/>
      <c r="H153" s="626"/>
      <c r="I153" s="619"/>
      <c r="J153" s="117"/>
      <c r="K153" s="856"/>
      <c r="L153" s="195"/>
      <c r="M153" s="410"/>
      <c r="N153" s="50"/>
      <c r="O153" s="626"/>
      <c r="P153" s="619"/>
      <c r="Q153" s="117"/>
      <c r="R153" s="856"/>
      <c r="S153" s="195"/>
      <c r="T153" s="410"/>
      <c r="U153" s="50"/>
      <c r="V153" s="626"/>
      <c r="W153" s="619"/>
      <c r="X153" s="117"/>
      <c r="Y153" s="856"/>
      <c r="Z153" s="195"/>
      <c r="AA153" s="410"/>
      <c r="AB153" s="50"/>
      <c r="AC153" s="626"/>
      <c r="AD153" s="619"/>
      <c r="AE153" s="117"/>
      <c r="AF153" s="856"/>
      <c r="AG153" s="195"/>
      <c r="AH153" s="410"/>
      <c r="AI153" s="50"/>
    </row>
    <row r="154" spans="1:35" ht="16.5" hidden="1" customHeight="1">
      <c r="A154" s="400"/>
      <c r="B154" s="900" t="s">
        <v>294</v>
      </c>
      <c r="C154" s="901"/>
      <c r="D154" s="901"/>
      <c r="E154" s="901"/>
      <c r="F154" s="902"/>
      <c r="G154" s="494"/>
      <c r="H154" s="626"/>
      <c r="I154" s="900" t="s">
        <v>294</v>
      </c>
      <c r="J154" s="901"/>
      <c r="K154" s="901"/>
      <c r="L154" s="901"/>
      <c r="M154" s="902"/>
      <c r="N154" s="494"/>
      <c r="O154" s="626"/>
      <c r="P154" s="900" t="s">
        <v>294</v>
      </c>
      <c r="Q154" s="901"/>
      <c r="R154" s="901"/>
      <c r="S154" s="901"/>
      <c r="T154" s="902"/>
      <c r="U154" s="494"/>
      <c r="V154" s="626"/>
      <c r="W154" s="900" t="s">
        <v>294</v>
      </c>
      <c r="X154" s="901"/>
      <c r="Y154" s="901"/>
      <c r="Z154" s="901"/>
      <c r="AA154" s="902"/>
      <c r="AB154" s="430"/>
      <c r="AC154" s="626"/>
      <c r="AD154" s="900" t="s">
        <v>294</v>
      </c>
      <c r="AE154" s="901"/>
      <c r="AF154" s="901"/>
      <c r="AG154" s="901"/>
      <c r="AH154" s="902"/>
      <c r="AI154" s="350"/>
    </row>
    <row r="155" spans="1:35" ht="13.5" hidden="1" customHeight="1">
      <c r="A155" s="400"/>
      <c r="B155" s="367"/>
      <c r="C155" s="708"/>
      <c r="D155" s="270"/>
      <c r="E155" s="228"/>
      <c r="F155" s="761"/>
      <c r="G155" s="94"/>
      <c r="H155" s="626"/>
      <c r="I155" s="367"/>
      <c r="J155" s="708"/>
      <c r="K155" s="270"/>
      <c r="L155" s="228"/>
      <c r="M155" s="761"/>
      <c r="N155" s="94"/>
      <c r="O155" s="626"/>
      <c r="P155" s="367"/>
      <c r="Q155" s="708"/>
      <c r="R155" s="270"/>
      <c r="S155" s="228"/>
      <c r="T155" s="761"/>
      <c r="U155" s="94"/>
      <c r="V155" s="626"/>
      <c r="W155" s="367"/>
      <c r="X155" s="708"/>
      <c r="Y155" s="270"/>
      <c r="Z155" s="228"/>
      <c r="AA155" s="761"/>
      <c r="AB155" s="94"/>
      <c r="AC155" s="626"/>
      <c r="AD155" s="367"/>
      <c r="AE155" s="708"/>
      <c r="AF155" s="270"/>
      <c r="AG155" s="228"/>
      <c r="AH155" s="761"/>
      <c r="AI155" s="94"/>
    </row>
    <row r="156" spans="1:35" ht="15.75" hidden="1" customHeight="1">
      <c r="A156" s="400"/>
      <c r="B156" s="670" t="s">
        <v>295</v>
      </c>
      <c r="C156" s="670">
        <f>((E30+E66)+F130)+F98</f>
        <v>450</v>
      </c>
      <c r="D156" s="525"/>
      <c r="E156" s="518"/>
      <c r="F156" s="93"/>
      <c r="G156" s="626"/>
      <c r="H156" s="626"/>
      <c r="I156" s="670" t="s">
        <v>295</v>
      </c>
      <c r="J156" s="670">
        <f>((L30+L66)+M130)+M98</f>
        <v>525</v>
      </c>
      <c r="K156" s="525"/>
      <c r="L156" s="518"/>
      <c r="M156" s="93"/>
      <c r="N156" s="626"/>
      <c r="O156" s="626"/>
      <c r="P156" s="670" t="s">
        <v>295</v>
      </c>
      <c r="Q156" s="670">
        <f>(S30+S66)+T130</f>
        <v>595</v>
      </c>
      <c r="R156" s="525"/>
      <c r="S156" s="518"/>
      <c r="T156" s="93"/>
      <c r="U156" s="626"/>
      <c r="V156" s="626"/>
      <c r="W156" s="670" t="s">
        <v>295</v>
      </c>
      <c r="X156" s="670">
        <f>(Z30+Z66)+AA130</f>
        <v>665</v>
      </c>
      <c r="Y156" s="525"/>
      <c r="Z156" s="518"/>
      <c r="AA156" s="93"/>
      <c r="AB156" s="626"/>
      <c r="AC156" s="626"/>
      <c r="AD156" s="670" t="s">
        <v>295</v>
      </c>
      <c r="AE156" s="670">
        <f>(AG30+AG66)+AH130</f>
        <v>735</v>
      </c>
      <c r="AF156" s="525"/>
      <c r="AG156" s="518"/>
      <c r="AH156" s="93"/>
      <c r="AI156" s="626"/>
    </row>
    <row r="157" spans="1:35" ht="13.5" hidden="1" customHeight="1">
      <c r="A157" s="400"/>
      <c r="B157" s="826"/>
      <c r="C157" s="27"/>
      <c r="D157" s="229"/>
      <c r="E157" s="229"/>
      <c r="F157" s="123"/>
      <c r="G157" s="626"/>
      <c r="H157" s="626"/>
      <c r="I157" s="826"/>
      <c r="J157" s="27"/>
      <c r="K157" s="229"/>
      <c r="L157" s="229"/>
      <c r="M157" s="123"/>
      <c r="N157" s="626"/>
      <c r="O157" s="626"/>
      <c r="P157" s="826"/>
      <c r="Q157" s="27"/>
      <c r="R157" s="229"/>
      <c r="S157" s="229"/>
      <c r="T157" s="123"/>
      <c r="U157" s="626"/>
      <c r="V157" s="626"/>
      <c r="W157" s="826"/>
      <c r="X157" s="27"/>
      <c r="Y157" s="229"/>
      <c r="Z157" s="229"/>
      <c r="AA157" s="123"/>
      <c r="AB157" s="626"/>
      <c r="AC157" s="626"/>
      <c r="AD157" s="826"/>
      <c r="AE157" s="27"/>
      <c r="AF157" s="229"/>
      <c r="AG157" s="229"/>
      <c r="AH157" s="123"/>
      <c r="AI157" s="626"/>
    </row>
    <row r="158" spans="1:35" ht="13.5" hidden="1" customHeight="1">
      <c r="A158" s="400"/>
      <c r="B158" s="903" t="s">
        <v>296</v>
      </c>
      <c r="C158" s="893"/>
      <c r="D158" s="893"/>
      <c r="E158" s="893"/>
      <c r="F158" s="904"/>
      <c r="G158" s="626"/>
      <c r="H158" s="626"/>
      <c r="I158" s="903" t="s">
        <v>297</v>
      </c>
      <c r="J158" s="893"/>
      <c r="K158" s="893"/>
      <c r="L158" s="893"/>
      <c r="M158" s="904"/>
      <c r="N158" s="626"/>
      <c r="O158" s="626"/>
      <c r="P158" s="903" t="s">
        <v>298</v>
      </c>
      <c r="Q158" s="893"/>
      <c r="R158" s="893"/>
      <c r="S158" s="893"/>
      <c r="T158" s="904"/>
      <c r="U158" s="626"/>
      <c r="V158" s="626"/>
      <c r="W158" s="903" t="s">
        <v>299</v>
      </c>
      <c r="X158" s="893"/>
      <c r="Y158" s="893"/>
      <c r="Z158" s="893"/>
      <c r="AA158" s="904"/>
      <c r="AB158" s="626"/>
      <c r="AC158" s="626"/>
      <c r="AD158" s="903" t="s">
        <v>300</v>
      </c>
      <c r="AE158" s="893"/>
      <c r="AF158" s="893"/>
      <c r="AG158" s="893"/>
      <c r="AH158" s="904"/>
      <c r="AI158" s="626"/>
    </row>
    <row r="159" spans="1:35" ht="13.5" hidden="1" customHeight="1">
      <c r="A159" s="400"/>
      <c r="B159" s="473" t="s">
        <v>301</v>
      </c>
      <c r="C159" s="821"/>
      <c r="D159" s="578"/>
      <c r="E159" s="391"/>
      <c r="F159" s="54"/>
      <c r="G159" s="626"/>
      <c r="H159" s="626"/>
      <c r="I159" s="473" t="s">
        <v>301</v>
      </c>
      <c r="J159" s="821"/>
      <c r="K159" s="578"/>
      <c r="L159" s="391"/>
      <c r="M159" s="54"/>
      <c r="N159" s="626"/>
      <c r="O159" s="626"/>
      <c r="P159" s="473" t="s">
        <v>301</v>
      </c>
      <c r="Q159" s="821"/>
      <c r="R159" s="578"/>
      <c r="S159" s="391"/>
      <c r="T159" s="54"/>
      <c r="U159" s="626"/>
      <c r="V159" s="626"/>
      <c r="W159" s="473" t="s">
        <v>301</v>
      </c>
      <c r="X159" s="821"/>
      <c r="Y159" s="578"/>
      <c r="Z159" s="391"/>
      <c r="AA159" s="54"/>
      <c r="AB159" s="626"/>
      <c r="AC159" s="626"/>
      <c r="AD159" s="473" t="s">
        <v>301</v>
      </c>
      <c r="AE159" s="821"/>
      <c r="AF159" s="578"/>
      <c r="AG159" s="391"/>
      <c r="AH159" s="54"/>
      <c r="AI159" s="626"/>
    </row>
    <row r="160" spans="1:35" ht="13.5" hidden="1" customHeight="1">
      <c r="A160" s="400"/>
      <c r="B160" s="473" t="s">
        <v>302</v>
      </c>
      <c r="C160" s="821">
        <v>100</v>
      </c>
      <c r="D160" s="676"/>
      <c r="E160" s="151"/>
      <c r="F160" s="740"/>
      <c r="G160" s="626"/>
      <c r="H160" s="626"/>
      <c r="I160" s="473" t="s">
        <v>302</v>
      </c>
      <c r="J160" s="821">
        <v>200</v>
      </c>
      <c r="K160" s="676"/>
      <c r="L160" s="151"/>
      <c r="M160" s="740"/>
      <c r="N160" s="626"/>
      <c r="O160" s="626"/>
      <c r="P160" s="473" t="s">
        <v>302</v>
      </c>
      <c r="Q160" s="821">
        <v>300</v>
      </c>
      <c r="R160" s="676"/>
      <c r="S160" s="151"/>
      <c r="T160" s="740"/>
      <c r="U160" s="626"/>
      <c r="V160" s="626"/>
      <c r="W160" s="473" t="s">
        <v>302</v>
      </c>
      <c r="X160" s="821">
        <v>400</v>
      </c>
      <c r="Y160" s="676"/>
      <c r="Z160" s="151"/>
      <c r="AA160" s="740"/>
      <c r="AB160" s="626"/>
      <c r="AC160" s="626"/>
      <c r="AD160" s="473" t="s">
        <v>302</v>
      </c>
      <c r="AE160" s="821">
        <v>500</v>
      </c>
      <c r="AF160" s="676"/>
      <c r="AG160" s="151"/>
      <c r="AH160" s="740"/>
      <c r="AI160" s="626"/>
    </row>
    <row r="161" spans="1:35" ht="13.5" hidden="1" customHeight="1">
      <c r="A161" s="400"/>
      <c r="B161" s="473" t="s">
        <v>303</v>
      </c>
      <c r="C161" s="134">
        <f>C159+C160</f>
        <v>100</v>
      </c>
      <c r="D161" s="676"/>
      <c r="E161" s="151"/>
      <c r="F161" s="740"/>
      <c r="G161" s="626"/>
      <c r="H161" s="626"/>
      <c r="I161" s="473" t="s">
        <v>304</v>
      </c>
      <c r="J161" s="134">
        <f>J159+J160</f>
        <v>200</v>
      </c>
      <c r="K161" s="676"/>
      <c r="L161" s="151"/>
      <c r="M161" s="740"/>
      <c r="N161" s="626"/>
      <c r="O161" s="626"/>
      <c r="P161" s="473" t="s">
        <v>305</v>
      </c>
      <c r="Q161" s="134">
        <f>Q159+Q160</f>
        <v>300</v>
      </c>
      <c r="R161" s="676"/>
      <c r="S161" s="151"/>
      <c r="T161" s="740"/>
      <c r="U161" s="626"/>
      <c r="V161" s="626"/>
      <c r="W161" s="473" t="s">
        <v>306</v>
      </c>
      <c r="X161" s="134">
        <f>X159+X160</f>
        <v>400</v>
      </c>
      <c r="Y161" s="676"/>
      <c r="Z161" s="151"/>
      <c r="AA161" s="740"/>
      <c r="AB161" s="626"/>
      <c r="AC161" s="626"/>
      <c r="AD161" s="473" t="s">
        <v>307</v>
      </c>
      <c r="AE161" s="821">
        <f>AE159+AE160</f>
        <v>500</v>
      </c>
      <c r="AF161" s="676"/>
      <c r="AG161" s="151"/>
      <c r="AH161" s="740"/>
      <c r="AI161" s="626"/>
    </row>
    <row r="162" spans="1:35" ht="12" hidden="1">
      <c r="A162" s="400"/>
      <c r="B162" s="578"/>
      <c r="C162" s="391"/>
      <c r="D162" s="151"/>
      <c r="E162" s="151"/>
      <c r="F162" s="740"/>
      <c r="G162" s="626"/>
      <c r="H162" s="626"/>
      <c r="I162" s="578"/>
      <c r="J162" s="391"/>
      <c r="K162" s="151"/>
      <c r="L162" s="151"/>
      <c r="M162" s="740"/>
      <c r="N162" s="626"/>
      <c r="O162" s="626"/>
      <c r="P162" s="578"/>
      <c r="Q162" s="391"/>
      <c r="R162" s="151"/>
      <c r="S162" s="151"/>
      <c r="T162" s="740"/>
      <c r="U162" s="626"/>
      <c r="V162" s="626"/>
      <c r="W162" s="578"/>
      <c r="X162" s="391"/>
      <c r="Y162" s="151"/>
      <c r="Z162" s="151"/>
      <c r="AA162" s="740"/>
      <c r="AB162" s="626"/>
      <c r="AC162" s="626"/>
      <c r="AD162" s="578"/>
      <c r="AE162" s="391"/>
      <c r="AF162" s="151"/>
      <c r="AG162" s="151"/>
      <c r="AH162" s="740"/>
      <c r="AI162" s="626"/>
    </row>
    <row r="163" spans="1:35" ht="13.5" customHeight="1">
      <c r="A163" s="400"/>
      <c r="B163" s="465"/>
      <c r="C163" s="456"/>
      <c r="D163" s="456"/>
      <c r="E163" s="456"/>
      <c r="F163" s="44"/>
      <c r="G163" s="626"/>
      <c r="H163" s="626"/>
      <c r="I163" s="465"/>
      <c r="J163" s="456"/>
      <c r="K163" s="456"/>
      <c r="L163" s="456"/>
      <c r="M163" s="44"/>
      <c r="N163" s="626"/>
      <c r="O163" s="626"/>
      <c r="P163" s="465"/>
      <c r="Q163" s="456"/>
      <c r="R163" s="456"/>
      <c r="S163" s="456"/>
      <c r="T163" s="44"/>
      <c r="U163" s="626"/>
      <c r="V163" s="626"/>
      <c r="W163" s="465"/>
      <c r="X163" s="456"/>
      <c r="Y163" s="456"/>
      <c r="Z163" s="456"/>
      <c r="AA163" s="44"/>
      <c r="AB163" s="626"/>
      <c r="AC163" s="626"/>
      <c r="AD163" s="465"/>
      <c r="AE163" s="456"/>
      <c r="AF163" s="456"/>
      <c r="AG163" s="456"/>
      <c r="AH163" s="44"/>
      <c r="AI163" s="626"/>
    </row>
    <row r="164" spans="1:35" ht="15.75" customHeight="1">
      <c r="A164" s="400"/>
      <c r="B164" s="872" t="s">
        <v>308</v>
      </c>
      <c r="C164" s="873"/>
      <c r="D164" s="873"/>
      <c r="E164" s="873"/>
      <c r="F164" s="874"/>
      <c r="G164" s="652"/>
      <c r="H164" s="626"/>
      <c r="I164" s="872" t="s">
        <v>308</v>
      </c>
      <c r="J164" s="873"/>
      <c r="K164" s="873"/>
      <c r="L164" s="873"/>
      <c r="M164" s="874"/>
      <c r="N164" s="652"/>
      <c r="O164" s="626"/>
      <c r="P164" s="872" t="s">
        <v>308</v>
      </c>
      <c r="Q164" s="873"/>
      <c r="R164" s="873"/>
      <c r="S164" s="873"/>
      <c r="T164" s="874"/>
      <c r="U164" s="652"/>
      <c r="V164" s="626"/>
      <c r="W164" s="872" t="s">
        <v>308</v>
      </c>
      <c r="X164" s="873"/>
      <c r="Y164" s="873"/>
      <c r="Z164" s="873"/>
      <c r="AA164" s="874"/>
      <c r="AB164" s="652"/>
      <c r="AC164" s="626"/>
      <c r="AD164" s="872" t="s">
        <v>308</v>
      </c>
      <c r="AE164" s="873"/>
      <c r="AF164" s="873"/>
      <c r="AG164" s="873"/>
      <c r="AH164" s="874"/>
      <c r="AI164" s="652"/>
    </row>
    <row r="165" spans="1:35" ht="16.5" customHeight="1">
      <c r="A165" s="151"/>
      <c r="B165" s="872"/>
      <c r="C165" s="873"/>
      <c r="D165" s="873"/>
      <c r="E165" s="873"/>
      <c r="F165" s="874"/>
      <c r="G165" s="652"/>
      <c r="H165" s="626"/>
      <c r="I165" s="872"/>
      <c r="J165" s="873"/>
      <c r="K165" s="873"/>
      <c r="L165" s="873"/>
      <c r="M165" s="874"/>
      <c r="N165" s="652"/>
      <c r="O165" s="626"/>
      <c r="P165" s="872"/>
      <c r="Q165" s="873"/>
      <c r="R165" s="873"/>
      <c r="S165" s="873"/>
      <c r="T165" s="874"/>
      <c r="U165" s="652"/>
      <c r="V165" s="626"/>
      <c r="W165" s="872"/>
      <c r="X165" s="873"/>
      <c r="Y165" s="873"/>
      <c r="Z165" s="873"/>
      <c r="AA165" s="874"/>
      <c r="AB165" s="652"/>
      <c r="AC165" s="626"/>
      <c r="AD165" s="872"/>
      <c r="AE165" s="873"/>
      <c r="AF165" s="873"/>
      <c r="AG165" s="873"/>
      <c r="AH165" s="874"/>
      <c r="AI165" s="652"/>
    </row>
    <row r="166" spans="1:35" ht="16.5" hidden="1" customHeight="1">
      <c r="A166" s="400"/>
      <c r="B166" s="542" t="s">
        <v>309</v>
      </c>
      <c r="C166" s="116"/>
      <c r="D166" s="116"/>
      <c r="E166" s="116"/>
      <c r="F166" s="638"/>
      <c r="G166" s="753"/>
      <c r="H166" s="626"/>
      <c r="I166" s="542" t="s">
        <v>309</v>
      </c>
      <c r="J166" s="116"/>
      <c r="K166" s="116"/>
      <c r="L166" s="116"/>
      <c r="M166" s="638"/>
      <c r="N166" s="753"/>
      <c r="O166" s="626"/>
      <c r="P166" s="542" t="s">
        <v>309</v>
      </c>
      <c r="Q166" s="116"/>
      <c r="R166" s="116"/>
      <c r="S166" s="116"/>
      <c r="T166" s="638"/>
      <c r="U166" s="753"/>
      <c r="V166" s="626"/>
      <c r="W166" s="542" t="s">
        <v>309</v>
      </c>
      <c r="X166" s="116"/>
      <c r="Y166" s="116"/>
      <c r="Z166" s="116"/>
      <c r="AA166" s="638"/>
      <c r="AB166" s="753"/>
      <c r="AC166" s="626"/>
      <c r="AD166" s="542" t="s">
        <v>309</v>
      </c>
      <c r="AE166" s="116"/>
      <c r="AF166" s="116"/>
      <c r="AG166" s="116"/>
      <c r="AH166" s="638"/>
      <c r="AI166" s="753"/>
    </row>
    <row r="167" spans="1:35" ht="12" hidden="1">
      <c r="A167" s="400"/>
      <c r="B167" s="694"/>
      <c r="C167" s="558"/>
      <c r="D167" s="391"/>
      <c r="E167" s="391"/>
      <c r="F167" s="54"/>
      <c r="G167" s="626"/>
      <c r="H167" s="626"/>
      <c r="I167" s="694"/>
      <c r="J167" s="558"/>
      <c r="K167" s="391"/>
      <c r="L167" s="391"/>
      <c r="M167" s="54"/>
      <c r="N167" s="626"/>
      <c r="O167" s="626"/>
      <c r="P167" s="694"/>
      <c r="Q167" s="558"/>
      <c r="R167" s="391"/>
      <c r="S167" s="391"/>
      <c r="T167" s="54"/>
      <c r="U167" s="626"/>
      <c r="V167" s="626"/>
      <c r="W167" s="694"/>
      <c r="X167" s="558"/>
      <c r="Y167" s="391"/>
      <c r="Z167" s="391"/>
      <c r="AA167" s="54"/>
      <c r="AB167" s="626"/>
      <c r="AC167" s="626"/>
      <c r="AD167" s="694"/>
      <c r="AE167" s="558"/>
      <c r="AF167" s="391"/>
      <c r="AG167" s="391"/>
      <c r="AH167" s="54"/>
      <c r="AI167" s="626"/>
    </row>
    <row r="168" spans="1:35">
      <c r="A168" s="400"/>
      <c r="B168" s="15" t="s">
        <v>334</v>
      </c>
      <c r="C168" s="78">
        <f>((E30+E66)+F98)+F130</f>
        <v>450</v>
      </c>
      <c r="D168" s="85"/>
      <c r="E168" s="151"/>
      <c r="F168" s="206"/>
      <c r="G168" s="626"/>
      <c r="H168" s="626"/>
      <c r="I168" s="15" t="s">
        <v>334</v>
      </c>
      <c r="J168" s="78">
        <f>((L30+L66)+M98)+M130</f>
        <v>525</v>
      </c>
      <c r="K168" s="85"/>
      <c r="L168" s="151"/>
      <c r="M168" s="206"/>
      <c r="N168" s="626"/>
      <c r="O168" s="626"/>
      <c r="P168" s="15" t="s">
        <v>334</v>
      </c>
      <c r="Q168" s="78">
        <f>((S30+S66)+T98)+T130</f>
        <v>595</v>
      </c>
      <c r="R168" s="85"/>
      <c r="S168" s="151"/>
      <c r="T168" s="206"/>
      <c r="U168" s="626"/>
      <c r="V168" s="626"/>
      <c r="W168" s="15" t="s">
        <v>334</v>
      </c>
      <c r="X168" s="78">
        <f>((Z30+Z66)+AA98)+AA130</f>
        <v>665</v>
      </c>
      <c r="Y168" s="85"/>
      <c r="Z168" s="151"/>
      <c r="AA168" s="206"/>
      <c r="AB168" s="626"/>
      <c r="AC168" s="626"/>
      <c r="AD168" s="15" t="s">
        <v>334</v>
      </c>
      <c r="AE168" s="78">
        <f>((AG30+AG66)+AH98)+AH130</f>
        <v>735</v>
      </c>
      <c r="AF168" s="85"/>
      <c r="AG168" s="151"/>
      <c r="AH168" s="206"/>
      <c r="AI168" s="626"/>
    </row>
    <row r="169" spans="1:35" ht="13.5" customHeight="1">
      <c r="A169" s="400"/>
      <c r="B169" s="213" t="s">
        <v>310</v>
      </c>
      <c r="C169" s="25">
        <v>750</v>
      </c>
      <c r="D169" s="85"/>
      <c r="E169" s="151"/>
      <c r="F169" s="718"/>
      <c r="G169" s="626"/>
      <c r="H169" s="626"/>
      <c r="I169" s="213" t="s">
        <v>310</v>
      </c>
      <c r="J169" s="25">
        <v>750</v>
      </c>
      <c r="K169" s="85"/>
      <c r="L169" s="151"/>
      <c r="M169" s="718"/>
      <c r="N169" s="626"/>
      <c r="O169" s="626"/>
      <c r="P169" s="213" t="s">
        <v>310</v>
      </c>
      <c r="Q169" s="25">
        <v>750</v>
      </c>
      <c r="R169" s="85"/>
      <c r="S169" s="151"/>
      <c r="T169" s="718"/>
      <c r="U169" s="626"/>
      <c r="V169" s="626"/>
      <c r="W169" s="213" t="s">
        <v>310</v>
      </c>
      <c r="X169" s="25">
        <v>750</v>
      </c>
      <c r="Y169" s="85"/>
      <c r="Z169" s="151"/>
      <c r="AA169" s="718"/>
      <c r="AB169" s="626"/>
      <c r="AC169" s="626"/>
      <c r="AD169" s="213" t="s">
        <v>310</v>
      </c>
      <c r="AE169" s="25">
        <v>750</v>
      </c>
      <c r="AF169" s="85"/>
      <c r="AG169" s="151"/>
      <c r="AH169" s="718"/>
      <c r="AI169" s="626"/>
    </row>
    <row r="170" spans="1:35" ht="13.5" customHeight="1">
      <c r="A170" s="400"/>
      <c r="B170" s="473" t="s">
        <v>311</v>
      </c>
      <c r="C170" s="698">
        <f>C168*C169</f>
        <v>337500</v>
      </c>
      <c r="D170" s="306"/>
      <c r="E170" s="418"/>
      <c r="F170" s="545"/>
      <c r="G170" s="626"/>
      <c r="H170" s="626"/>
      <c r="I170" s="473" t="s">
        <v>311</v>
      </c>
      <c r="J170" s="698">
        <f>J168*J169</f>
        <v>393750</v>
      </c>
      <c r="K170" s="306"/>
      <c r="L170" s="418"/>
      <c r="M170" s="545"/>
      <c r="N170" s="626"/>
      <c r="O170" s="626"/>
      <c r="P170" s="473" t="s">
        <v>311</v>
      </c>
      <c r="Q170" s="698">
        <f>Q168*Q169</f>
        <v>446250</v>
      </c>
      <c r="R170" s="306"/>
      <c r="S170" s="418"/>
      <c r="T170" s="545"/>
      <c r="U170" s="626"/>
      <c r="V170" s="626"/>
      <c r="W170" s="473" t="s">
        <v>311</v>
      </c>
      <c r="X170" s="698">
        <f>X168*X169</f>
        <v>498750</v>
      </c>
      <c r="Y170" s="306"/>
      <c r="Z170" s="418"/>
      <c r="AA170" s="545"/>
      <c r="AB170" s="626"/>
      <c r="AC170" s="626"/>
      <c r="AD170" s="473" t="s">
        <v>311</v>
      </c>
      <c r="AE170" s="698">
        <f>AE168*AE169</f>
        <v>551250</v>
      </c>
      <c r="AF170" s="306"/>
      <c r="AG170" s="418"/>
      <c r="AH170" s="545"/>
      <c r="AI170" s="626"/>
    </row>
    <row r="171" spans="1:35" ht="13.5" hidden="1" customHeight="1">
      <c r="A171" s="400"/>
      <c r="B171" s="826"/>
      <c r="C171" s="27"/>
      <c r="D171" s="456"/>
      <c r="E171" s="456"/>
      <c r="F171" s="44"/>
      <c r="G171" s="626"/>
      <c r="H171" s="626"/>
      <c r="I171" s="826"/>
      <c r="J171" s="27"/>
      <c r="K171" s="456"/>
      <c r="L171" s="456"/>
      <c r="M171" s="44"/>
      <c r="N171" s="626"/>
      <c r="O171" s="626"/>
      <c r="P171" s="826"/>
      <c r="Q171" s="27"/>
      <c r="R171" s="456"/>
      <c r="S171" s="456"/>
      <c r="T171" s="44"/>
      <c r="U171" s="626"/>
      <c r="V171" s="626"/>
      <c r="W171" s="826"/>
      <c r="X171" s="27"/>
      <c r="Y171" s="456"/>
      <c r="Z171" s="456"/>
      <c r="AA171" s="44"/>
      <c r="AB171" s="626"/>
      <c r="AC171" s="626"/>
      <c r="AD171" s="826"/>
      <c r="AE171" s="27"/>
      <c r="AF171" s="456"/>
      <c r="AG171" s="456"/>
      <c r="AH171" s="44"/>
      <c r="AI171" s="626"/>
    </row>
    <row r="172" spans="1:35" ht="13.5" hidden="1" customHeight="1">
      <c r="A172" s="400"/>
      <c r="B172" s="826"/>
      <c r="C172" s="27"/>
      <c r="D172" s="27"/>
      <c r="E172" s="27"/>
      <c r="F172" s="415"/>
      <c r="G172" s="539"/>
      <c r="H172" s="626"/>
      <c r="I172" s="826"/>
      <c r="J172" s="27"/>
      <c r="K172" s="27"/>
      <c r="L172" s="27"/>
      <c r="M172" s="415"/>
      <c r="N172" s="539"/>
      <c r="O172" s="626"/>
      <c r="P172" s="826"/>
      <c r="Q172" s="27"/>
      <c r="R172" s="27"/>
      <c r="S172" s="27"/>
      <c r="T172" s="415"/>
      <c r="U172" s="539"/>
      <c r="V172" s="626"/>
      <c r="W172" s="826"/>
      <c r="X172" s="27"/>
      <c r="Y172" s="27"/>
      <c r="Z172" s="27"/>
      <c r="AA172" s="415"/>
      <c r="AB172" s="539"/>
      <c r="AC172" s="626"/>
      <c r="AD172" s="826"/>
      <c r="AE172" s="27"/>
      <c r="AF172" s="27"/>
      <c r="AG172" s="27"/>
      <c r="AH172" s="415"/>
      <c r="AI172" s="539"/>
    </row>
    <row r="173" spans="1:35" ht="12" hidden="1">
      <c r="A173" s="400"/>
      <c r="B173" s="578"/>
      <c r="C173" s="391"/>
      <c r="D173" s="391"/>
      <c r="E173" s="391"/>
      <c r="F173" s="54"/>
      <c r="G173" s="537"/>
      <c r="H173" s="626"/>
      <c r="I173" s="578"/>
      <c r="J173" s="391"/>
      <c r="K173" s="391"/>
      <c r="L173" s="391"/>
      <c r="M173" s="54"/>
      <c r="N173" s="622"/>
      <c r="O173" s="626"/>
      <c r="P173" s="578"/>
      <c r="Q173" s="391"/>
      <c r="R173" s="391"/>
      <c r="S173" s="391"/>
      <c r="T173" s="54"/>
      <c r="U173" s="622"/>
      <c r="V173" s="626"/>
      <c r="W173" s="578"/>
      <c r="X173" s="391"/>
      <c r="Y173" s="391"/>
      <c r="Z173" s="391"/>
      <c r="AA173" s="54"/>
      <c r="AB173" s="622"/>
      <c r="AC173" s="626"/>
      <c r="AD173" s="578"/>
      <c r="AE173" s="391"/>
      <c r="AF173" s="391"/>
      <c r="AG173" s="391"/>
      <c r="AH173" s="54"/>
      <c r="AI173" s="622"/>
    </row>
    <row r="174" spans="1:35" ht="12" hidden="1">
      <c r="A174" s="400"/>
      <c r="B174" s="676"/>
      <c r="C174" s="151"/>
      <c r="D174" s="151"/>
      <c r="E174" s="151"/>
      <c r="F174" s="740"/>
      <c r="G174" s="682"/>
      <c r="H174" s="626"/>
      <c r="I174" s="676"/>
      <c r="J174" s="151"/>
      <c r="K174" s="151"/>
      <c r="L174" s="151"/>
      <c r="M174" s="740"/>
      <c r="N174" s="626"/>
      <c r="O174" s="626"/>
      <c r="P174" s="676"/>
      <c r="Q174" s="151"/>
      <c r="R174" s="151"/>
      <c r="S174" s="151"/>
      <c r="T174" s="740"/>
      <c r="U174" s="626"/>
      <c r="V174" s="626"/>
      <c r="W174" s="676"/>
      <c r="X174" s="151"/>
      <c r="Y174" s="151"/>
      <c r="Z174" s="151"/>
      <c r="AA174" s="740"/>
      <c r="AB174" s="626"/>
      <c r="AC174" s="626"/>
      <c r="AD174" s="676"/>
      <c r="AE174" s="151"/>
      <c r="AF174" s="151"/>
      <c r="AG174" s="151"/>
      <c r="AH174" s="740"/>
      <c r="AI174" s="626"/>
    </row>
    <row r="175" spans="1:35" ht="12" hidden="1">
      <c r="A175" s="400"/>
      <c r="B175" s="676"/>
      <c r="C175" s="151"/>
      <c r="D175" s="151"/>
      <c r="E175" s="151"/>
      <c r="F175" s="740"/>
      <c r="G175" s="682"/>
      <c r="H175" s="626"/>
      <c r="I175" s="676"/>
      <c r="J175" s="151"/>
      <c r="K175" s="151"/>
      <c r="L175" s="151"/>
      <c r="M175" s="740"/>
      <c r="N175" s="626"/>
      <c r="O175" s="626"/>
      <c r="P175" s="676"/>
      <c r="Q175" s="151"/>
      <c r="R175" s="151"/>
      <c r="S175" s="151"/>
      <c r="T175" s="740"/>
      <c r="U175" s="626"/>
      <c r="V175" s="626"/>
      <c r="W175" s="676"/>
      <c r="X175" s="151"/>
      <c r="Y175" s="151"/>
      <c r="Z175" s="151"/>
      <c r="AA175" s="740"/>
      <c r="AB175" s="626"/>
      <c r="AC175" s="626"/>
      <c r="AD175" s="676"/>
      <c r="AE175" s="151"/>
      <c r="AF175" s="151"/>
      <c r="AG175" s="151"/>
      <c r="AH175" s="740"/>
      <c r="AI175" s="626"/>
    </row>
    <row r="176" spans="1:35" ht="12" hidden="1">
      <c r="A176" s="400"/>
      <c r="B176" s="676"/>
      <c r="C176" s="151"/>
      <c r="D176" s="151"/>
      <c r="E176" s="151"/>
      <c r="F176" s="740"/>
      <c r="G176" s="682"/>
      <c r="H176" s="626"/>
      <c r="I176" s="676"/>
      <c r="J176" s="151"/>
      <c r="K176" s="151"/>
      <c r="L176" s="151"/>
      <c r="M176" s="740"/>
      <c r="N176" s="626"/>
      <c r="O176" s="626"/>
      <c r="P176" s="676"/>
      <c r="Q176" s="151"/>
      <c r="R176" s="151"/>
      <c r="S176" s="151"/>
      <c r="T176" s="740"/>
      <c r="U176" s="626"/>
      <c r="V176" s="626"/>
      <c r="W176" s="676"/>
      <c r="X176" s="151"/>
      <c r="Y176" s="151"/>
      <c r="Z176" s="151"/>
      <c r="AA176" s="740"/>
      <c r="AB176" s="626"/>
      <c r="AC176" s="626"/>
      <c r="AD176" s="676"/>
      <c r="AE176" s="151"/>
      <c r="AF176" s="151"/>
      <c r="AG176" s="151"/>
      <c r="AH176" s="740"/>
      <c r="AI176" s="626"/>
    </row>
    <row r="177" spans="1:35">
      <c r="A177" s="400"/>
      <c r="B177" s="676"/>
      <c r="C177" s="151"/>
      <c r="D177" s="151"/>
      <c r="E177" s="151"/>
      <c r="F177" s="740"/>
      <c r="G177" s="682"/>
      <c r="H177" s="626"/>
      <c r="I177" s="676"/>
      <c r="J177" s="151"/>
      <c r="K177" s="151"/>
      <c r="L177" s="151"/>
      <c r="M177" s="740"/>
      <c r="N177" s="626"/>
      <c r="O177" s="626"/>
      <c r="P177" s="676"/>
      <c r="Q177" s="151"/>
      <c r="R177" s="151"/>
      <c r="S177" s="151"/>
      <c r="T177" s="740"/>
      <c r="U177" s="626"/>
      <c r="V177" s="626"/>
      <c r="W177" s="676"/>
      <c r="X177" s="151"/>
      <c r="Y177" s="151"/>
      <c r="Z177" s="151"/>
      <c r="AA177" s="740"/>
      <c r="AB177" s="626"/>
      <c r="AC177" s="626"/>
      <c r="AD177" s="676"/>
      <c r="AE177" s="151"/>
      <c r="AF177" s="151"/>
      <c r="AG177" s="151"/>
      <c r="AH177" s="740"/>
      <c r="AI177" s="626"/>
    </row>
    <row r="178" spans="1:35" ht="13.5" customHeight="1">
      <c r="A178" s="400"/>
      <c r="B178" s="465"/>
      <c r="C178" s="456"/>
      <c r="D178" s="456"/>
      <c r="E178" s="456"/>
      <c r="F178" s="44"/>
      <c r="G178" s="630"/>
      <c r="H178" s="626"/>
      <c r="I178" s="465"/>
      <c r="J178" s="456"/>
      <c r="K178" s="456"/>
      <c r="L178" s="456"/>
      <c r="M178" s="44"/>
      <c r="N178" s="539"/>
      <c r="O178" s="626"/>
      <c r="P178" s="465"/>
      <c r="Q178" s="456"/>
      <c r="R178" s="456"/>
      <c r="S178" s="456"/>
      <c r="T178" s="44"/>
      <c r="U178" s="539"/>
      <c r="V178" s="626"/>
      <c r="W178" s="465"/>
      <c r="X178" s="456"/>
      <c r="Y178" s="456"/>
      <c r="Z178" s="456"/>
      <c r="AA178" s="44"/>
      <c r="AB178" s="539"/>
      <c r="AC178" s="626"/>
      <c r="AD178" s="465"/>
      <c r="AE178" s="456"/>
      <c r="AF178" s="456"/>
      <c r="AG178" s="456"/>
      <c r="AH178" s="44"/>
      <c r="AI178" s="539"/>
    </row>
    <row r="179" spans="1:35">
      <c r="A179" s="400"/>
      <c r="B179" s="872" t="s">
        <v>312</v>
      </c>
      <c r="C179" s="873"/>
      <c r="D179" s="873"/>
      <c r="E179" s="873"/>
      <c r="F179" s="873"/>
      <c r="G179" s="874"/>
      <c r="H179" s="626"/>
      <c r="I179" s="872" t="s">
        <v>312</v>
      </c>
      <c r="J179" s="873"/>
      <c r="K179" s="873"/>
      <c r="L179" s="873"/>
      <c r="M179" s="873"/>
      <c r="N179" s="874"/>
      <c r="O179" s="626"/>
      <c r="P179" s="872" t="s">
        <v>312</v>
      </c>
      <c r="Q179" s="873"/>
      <c r="R179" s="873"/>
      <c r="S179" s="873"/>
      <c r="T179" s="873"/>
      <c r="U179" s="874"/>
      <c r="V179" s="626"/>
      <c r="W179" s="872" t="s">
        <v>312</v>
      </c>
      <c r="X179" s="873"/>
      <c r="Y179" s="873"/>
      <c r="Z179" s="873"/>
      <c r="AA179" s="873"/>
      <c r="AB179" s="874"/>
      <c r="AC179" s="626"/>
      <c r="AD179" s="872" t="s">
        <v>312</v>
      </c>
      <c r="AE179" s="873"/>
      <c r="AF179" s="873"/>
      <c r="AG179" s="873"/>
      <c r="AH179" s="873"/>
      <c r="AI179" s="874"/>
    </row>
    <row r="180" spans="1:35" ht="13.5" customHeight="1">
      <c r="A180" s="151"/>
      <c r="B180" s="872"/>
      <c r="C180" s="873"/>
      <c r="D180" s="873"/>
      <c r="E180" s="873"/>
      <c r="F180" s="873"/>
      <c r="G180" s="874"/>
      <c r="H180" s="626"/>
      <c r="I180" s="873"/>
      <c r="J180" s="873"/>
      <c r="K180" s="873"/>
      <c r="L180" s="873"/>
      <c r="M180" s="873"/>
      <c r="N180" s="874"/>
      <c r="O180" s="626"/>
      <c r="P180" s="872"/>
      <c r="Q180" s="873"/>
      <c r="R180" s="873"/>
      <c r="S180" s="873"/>
      <c r="T180" s="873"/>
      <c r="U180" s="874"/>
      <c r="V180" s="626"/>
      <c r="W180" s="873"/>
      <c r="X180" s="873"/>
      <c r="Y180" s="873"/>
      <c r="Z180" s="873"/>
      <c r="AA180" s="873"/>
      <c r="AB180" s="874"/>
      <c r="AC180" s="626"/>
      <c r="AD180" s="873"/>
      <c r="AE180" s="873"/>
      <c r="AF180" s="873"/>
      <c r="AG180" s="873"/>
      <c r="AH180" s="873"/>
      <c r="AI180" s="874"/>
    </row>
    <row r="181" spans="1:35">
      <c r="A181" s="400"/>
      <c r="B181" s="903" t="s">
        <v>313</v>
      </c>
      <c r="C181" s="893"/>
      <c r="D181" s="893"/>
      <c r="E181" s="893"/>
      <c r="F181" s="893"/>
      <c r="G181" s="904"/>
      <c r="H181" s="626"/>
      <c r="I181" s="903" t="s">
        <v>313</v>
      </c>
      <c r="J181" s="893"/>
      <c r="K181" s="893"/>
      <c r="L181" s="893"/>
      <c r="M181" s="893"/>
      <c r="N181" s="904"/>
      <c r="O181" s="626"/>
      <c r="P181" s="903" t="s">
        <v>313</v>
      </c>
      <c r="Q181" s="893"/>
      <c r="R181" s="893"/>
      <c r="S181" s="893"/>
      <c r="T181" s="893"/>
      <c r="U181" s="904"/>
      <c r="V181" s="626"/>
      <c r="W181" s="903" t="s">
        <v>313</v>
      </c>
      <c r="X181" s="893"/>
      <c r="Y181" s="893"/>
      <c r="Z181" s="893"/>
      <c r="AA181" s="893"/>
      <c r="AB181" s="904"/>
      <c r="AC181" s="626"/>
      <c r="AD181" s="903" t="s">
        <v>313</v>
      </c>
      <c r="AE181" s="893"/>
      <c r="AF181" s="893"/>
      <c r="AG181" s="893"/>
      <c r="AH181" s="893"/>
      <c r="AI181" s="904"/>
    </row>
    <row r="182" spans="1:35" ht="20.25" customHeight="1">
      <c r="A182" s="151"/>
      <c r="B182" s="903"/>
      <c r="C182" s="893"/>
      <c r="D182" s="893"/>
      <c r="E182" s="893"/>
      <c r="F182" s="893"/>
      <c r="G182" s="904"/>
      <c r="H182" s="626"/>
      <c r="I182" s="903"/>
      <c r="J182" s="893"/>
      <c r="K182" s="893"/>
      <c r="L182" s="893"/>
      <c r="M182" s="893"/>
      <c r="N182" s="904"/>
      <c r="O182" s="626"/>
      <c r="P182" s="903"/>
      <c r="Q182" s="893"/>
      <c r="R182" s="893"/>
      <c r="S182" s="893"/>
      <c r="T182" s="893"/>
      <c r="U182" s="904"/>
      <c r="V182" s="626"/>
      <c r="W182" s="903"/>
      <c r="X182" s="893"/>
      <c r="Y182" s="893"/>
      <c r="Z182" s="893"/>
      <c r="AA182" s="893"/>
      <c r="AB182" s="904"/>
      <c r="AC182" s="626"/>
      <c r="AD182" s="903"/>
      <c r="AE182" s="893"/>
      <c r="AF182" s="893"/>
      <c r="AG182" s="893"/>
      <c r="AH182" s="893"/>
      <c r="AI182" s="904"/>
    </row>
    <row r="183" spans="1:35" ht="13.5" customHeight="1">
      <c r="A183" s="400"/>
      <c r="B183" s="826"/>
      <c r="C183" s="27"/>
      <c r="D183" s="27"/>
      <c r="E183" s="27"/>
      <c r="F183" s="70"/>
      <c r="G183" s="261"/>
      <c r="H183" s="626"/>
      <c r="I183" s="826"/>
      <c r="J183" s="27"/>
      <c r="K183" s="27"/>
      <c r="L183" s="27"/>
      <c r="M183" s="70"/>
      <c r="N183" s="261"/>
      <c r="O183" s="626"/>
      <c r="P183" s="826"/>
      <c r="Q183" s="27"/>
      <c r="R183" s="27"/>
      <c r="S183" s="27"/>
      <c r="T183" s="70"/>
      <c r="U183" s="27"/>
      <c r="V183" s="703"/>
      <c r="W183" s="826"/>
      <c r="X183" s="27"/>
      <c r="Y183" s="27"/>
      <c r="Z183" s="27"/>
      <c r="AA183" s="70"/>
      <c r="AB183" s="261"/>
      <c r="AC183" s="626"/>
      <c r="AD183" s="826"/>
      <c r="AE183" s="27"/>
      <c r="AF183" s="27"/>
      <c r="AG183" s="27"/>
      <c r="AH183" s="70"/>
      <c r="AI183" s="27"/>
    </row>
    <row r="184" spans="1:35" ht="15.75" customHeight="1">
      <c r="A184" s="400"/>
      <c r="B184" s="908" t="s">
        <v>314</v>
      </c>
      <c r="C184" s="909"/>
      <c r="D184" s="505"/>
      <c r="E184" s="392"/>
      <c r="F184" s="687"/>
      <c r="G184" s="561"/>
      <c r="H184" s="626"/>
      <c r="I184" s="908" t="s">
        <v>315</v>
      </c>
      <c r="J184" s="909"/>
      <c r="K184" s="505"/>
      <c r="L184" s="392"/>
      <c r="M184" s="687"/>
      <c r="N184" s="561"/>
      <c r="O184" s="626"/>
      <c r="P184" s="908" t="s">
        <v>256</v>
      </c>
      <c r="Q184" s="909"/>
      <c r="R184" s="505"/>
      <c r="S184" s="392"/>
      <c r="T184" s="687"/>
      <c r="U184" s="561"/>
      <c r="V184" s="626"/>
      <c r="W184" s="908" t="s">
        <v>257</v>
      </c>
      <c r="X184" s="909"/>
      <c r="Y184" s="505"/>
      <c r="Z184" s="392"/>
      <c r="AA184" s="687"/>
      <c r="AB184" s="561"/>
      <c r="AC184" s="626"/>
      <c r="AD184" s="908" t="s">
        <v>258</v>
      </c>
      <c r="AE184" s="909"/>
      <c r="AF184" s="505"/>
      <c r="AG184" s="392"/>
      <c r="AH184" s="687"/>
      <c r="AI184" s="561"/>
    </row>
    <row r="185" spans="1:35" ht="48.75" customHeight="1">
      <c r="A185" s="400"/>
      <c r="B185" s="903" t="s">
        <v>259</v>
      </c>
      <c r="C185" s="893"/>
      <c r="D185" s="893"/>
      <c r="E185" s="893"/>
      <c r="F185" s="893"/>
      <c r="G185" s="904"/>
      <c r="H185" s="626"/>
      <c r="I185" s="903" t="s">
        <v>259</v>
      </c>
      <c r="J185" s="893"/>
      <c r="K185" s="893"/>
      <c r="L185" s="893"/>
      <c r="M185" s="893"/>
      <c r="N185" s="904"/>
      <c r="O185" s="626"/>
      <c r="P185" s="903" t="s">
        <v>259</v>
      </c>
      <c r="Q185" s="893"/>
      <c r="R185" s="893"/>
      <c r="S185" s="893"/>
      <c r="T185" s="893"/>
      <c r="U185" s="904"/>
      <c r="V185" s="626"/>
      <c r="W185" s="903" t="s">
        <v>259</v>
      </c>
      <c r="X185" s="893"/>
      <c r="Y185" s="893"/>
      <c r="Z185" s="893"/>
      <c r="AA185" s="893"/>
      <c r="AB185" s="904"/>
      <c r="AC185" s="626"/>
      <c r="AD185" s="903" t="s">
        <v>259</v>
      </c>
      <c r="AE185" s="893"/>
      <c r="AF185" s="893"/>
      <c r="AG185" s="893"/>
      <c r="AH185" s="893"/>
      <c r="AI185" s="904"/>
    </row>
    <row r="186" spans="1:35">
      <c r="A186" s="400"/>
      <c r="B186" s="905" t="s">
        <v>260</v>
      </c>
      <c r="C186" s="906"/>
      <c r="D186" s="906"/>
      <c r="E186" s="906"/>
      <c r="F186" s="906"/>
      <c r="G186" s="907"/>
      <c r="H186" s="626"/>
      <c r="I186" s="905" t="s">
        <v>260</v>
      </c>
      <c r="J186" s="906"/>
      <c r="K186" s="906"/>
      <c r="L186" s="906"/>
      <c r="M186" s="906"/>
      <c r="N186" s="907"/>
      <c r="O186" s="626"/>
      <c r="P186" s="905" t="s">
        <v>260</v>
      </c>
      <c r="Q186" s="906"/>
      <c r="R186" s="906"/>
      <c r="S186" s="906"/>
      <c r="T186" s="906"/>
      <c r="U186" s="907"/>
      <c r="V186" s="626"/>
      <c r="W186" s="905" t="s">
        <v>260</v>
      </c>
      <c r="X186" s="906"/>
      <c r="Y186" s="906"/>
      <c r="Z186" s="906"/>
      <c r="AA186" s="906"/>
      <c r="AB186" s="907"/>
      <c r="AC186" s="626"/>
      <c r="AD186" s="905" t="s">
        <v>260</v>
      </c>
      <c r="AE186" s="906"/>
      <c r="AF186" s="906"/>
      <c r="AG186" s="906"/>
      <c r="AH186" s="906"/>
      <c r="AI186" s="907"/>
    </row>
    <row r="187" spans="1:35" ht="13.5" customHeight="1">
      <c r="A187" s="151"/>
      <c r="B187" s="905"/>
      <c r="C187" s="906"/>
      <c r="D187" s="906"/>
      <c r="E187" s="906"/>
      <c r="F187" s="906"/>
      <c r="G187" s="907"/>
      <c r="H187" s="626"/>
      <c r="I187" s="906"/>
      <c r="J187" s="906"/>
      <c r="K187" s="906"/>
      <c r="L187" s="906"/>
      <c r="M187" s="906"/>
      <c r="N187" s="907"/>
      <c r="O187" s="626"/>
      <c r="P187" s="905"/>
      <c r="Q187" s="906"/>
      <c r="R187" s="906"/>
      <c r="S187" s="906"/>
      <c r="T187" s="906"/>
      <c r="U187" s="907"/>
      <c r="V187" s="626"/>
      <c r="W187" s="906"/>
      <c r="X187" s="906"/>
      <c r="Y187" s="906"/>
      <c r="Z187" s="906"/>
      <c r="AA187" s="906"/>
      <c r="AB187" s="907"/>
      <c r="AC187" s="626"/>
      <c r="AD187" s="906"/>
      <c r="AE187" s="906"/>
      <c r="AF187" s="906"/>
      <c r="AG187" s="906"/>
      <c r="AH187" s="906"/>
      <c r="AI187" s="907"/>
    </row>
    <row r="188" spans="1:35" ht="39" customHeight="1">
      <c r="A188" s="400"/>
      <c r="B188" s="473" t="s">
        <v>261</v>
      </c>
      <c r="C188" s="787" t="s">
        <v>262</v>
      </c>
      <c r="D188" s="403" t="s">
        <v>263</v>
      </c>
      <c r="E188" s="787" t="s">
        <v>264</v>
      </c>
      <c r="F188" s="403" t="s">
        <v>265</v>
      </c>
      <c r="G188" s="330"/>
      <c r="H188" s="626"/>
      <c r="I188" s="473" t="s">
        <v>261</v>
      </c>
      <c r="J188" s="787" t="s">
        <v>262</v>
      </c>
      <c r="K188" s="403" t="s">
        <v>266</v>
      </c>
      <c r="L188" s="787" t="s">
        <v>264</v>
      </c>
      <c r="M188" s="403" t="s">
        <v>265</v>
      </c>
      <c r="N188" s="330"/>
      <c r="O188" s="626"/>
      <c r="P188" s="473" t="s">
        <v>261</v>
      </c>
      <c r="Q188" s="787" t="s">
        <v>262</v>
      </c>
      <c r="R188" s="403" t="s">
        <v>266</v>
      </c>
      <c r="S188" s="787" t="s">
        <v>264</v>
      </c>
      <c r="T188" s="403" t="s">
        <v>265</v>
      </c>
      <c r="U188" s="330"/>
      <c r="V188" s="626"/>
      <c r="W188" s="473" t="s">
        <v>261</v>
      </c>
      <c r="X188" s="787" t="s">
        <v>262</v>
      </c>
      <c r="Y188" s="403" t="s">
        <v>266</v>
      </c>
      <c r="Z188" s="787" t="s">
        <v>264</v>
      </c>
      <c r="AA188" s="403" t="s">
        <v>265</v>
      </c>
      <c r="AB188" s="330"/>
      <c r="AC188" s="626"/>
      <c r="AD188" s="473" t="s">
        <v>261</v>
      </c>
      <c r="AE188" s="787" t="s">
        <v>262</v>
      </c>
      <c r="AF188" s="403" t="s">
        <v>266</v>
      </c>
      <c r="AG188" s="787" t="s">
        <v>264</v>
      </c>
      <c r="AH188" s="403" t="s">
        <v>265</v>
      </c>
      <c r="AI188" s="330"/>
    </row>
    <row r="189" spans="1:35">
      <c r="A189" s="400"/>
      <c r="B189" s="37" t="s">
        <v>267</v>
      </c>
      <c r="C189" s="231">
        <f>Personnel!G8</f>
        <v>3</v>
      </c>
      <c r="D189" s="712">
        <f>Personnel!G120</f>
        <v>180000</v>
      </c>
      <c r="E189" s="324">
        <f>(100/100)+$D$184</f>
        <v>1</v>
      </c>
      <c r="F189" s="731">
        <f>D189*E189</f>
        <v>180000</v>
      </c>
      <c r="G189" s="550"/>
      <c r="H189" s="626"/>
      <c r="I189" s="37" t="s">
        <v>267</v>
      </c>
      <c r="J189" s="231">
        <f>Personnel!I8</f>
        <v>3</v>
      </c>
      <c r="K189" s="712">
        <f>Personnel!I120</f>
        <v>180000</v>
      </c>
      <c r="L189" s="324">
        <f>(100/100)+$K$184</f>
        <v>1</v>
      </c>
      <c r="M189" s="731">
        <f>K189*L189</f>
        <v>180000</v>
      </c>
      <c r="N189" s="550"/>
      <c r="O189" s="626"/>
      <c r="P189" s="37" t="s">
        <v>267</v>
      </c>
      <c r="Q189" s="231">
        <f>Personnel!K8</f>
        <v>4</v>
      </c>
      <c r="R189" s="712">
        <f>Personnel!K120</f>
        <v>240000</v>
      </c>
      <c r="S189" s="324">
        <f>(100/100)+$R$184</f>
        <v>1</v>
      </c>
      <c r="T189" s="731">
        <f>R189*S189</f>
        <v>240000</v>
      </c>
      <c r="U189" s="550"/>
      <c r="V189" s="626"/>
      <c r="W189" s="37" t="s">
        <v>267</v>
      </c>
      <c r="X189" s="231">
        <f>Personnel!M8</f>
        <v>4</v>
      </c>
      <c r="Y189" s="712">
        <f>Personnel!M120</f>
        <v>240000</v>
      </c>
      <c r="Z189" s="324">
        <f>(100/100)+$Y$184</f>
        <v>1</v>
      </c>
      <c r="AA189" s="731">
        <f>Y189*Z189</f>
        <v>240000</v>
      </c>
      <c r="AB189" s="550"/>
      <c r="AC189" s="626"/>
      <c r="AD189" s="37" t="s">
        <v>267</v>
      </c>
      <c r="AE189" s="231">
        <f>Personnel!O8</f>
        <v>5</v>
      </c>
      <c r="AF189" s="712">
        <f>Personnel!O120</f>
        <v>300000</v>
      </c>
      <c r="AG189" s="324">
        <f>(100/100)+$AF$184</f>
        <v>1</v>
      </c>
      <c r="AH189" s="731">
        <f>AF189*AG189</f>
        <v>300000</v>
      </c>
      <c r="AI189" s="550"/>
    </row>
    <row r="190" spans="1:35">
      <c r="A190" s="400"/>
      <c r="B190" s="463" t="s">
        <v>268</v>
      </c>
      <c r="C190" s="848">
        <f>Personnel!G32</f>
        <v>0</v>
      </c>
      <c r="D190" s="30">
        <f>Personnel!G151</f>
        <v>0</v>
      </c>
      <c r="E190" s="200">
        <f>(100/100)+$D$184</f>
        <v>1</v>
      </c>
      <c r="F190" s="173">
        <f>D190*E190</f>
        <v>0</v>
      </c>
      <c r="G190" s="550"/>
      <c r="H190" s="626"/>
      <c r="I190" s="463" t="s">
        <v>268</v>
      </c>
      <c r="J190" s="848">
        <f>Personnel!I32</f>
        <v>0</v>
      </c>
      <c r="K190" s="30">
        <f>Personnel!I151</f>
        <v>0</v>
      </c>
      <c r="L190" s="200">
        <f>(100/100)+$K$184</f>
        <v>1</v>
      </c>
      <c r="M190" s="173">
        <f>K190*L190</f>
        <v>0</v>
      </c>
      <c r="N190" s="550"/>
      <c r="O190" s="626"/>
      <c r="P190" s="463" t="s">
        <v>268</v>
      </c>
      <c r="Q190" s="848">
        <f>Personnel!K32</f>
        <v>0</v>
      </c>
      <c r="R190" s="30">
        <f>Personnel!K151</f>
        <v>0</v>
      </c>
      <c r="S190" s="200">
        <f>(100/100)+$R$184</f>
        <v>1</v>
      </c>
      <c r="T190" s="173">
        <f>R190*S190</f>
        <v>0</v>
      </c>
      <c r="U190" s="550"/>
      <c r="V190" s="626"/>
      <c r="W190" s="463" t="s">
        <v>268</v>
      </c>
      <c r="X190" s="848">
        <f>Personnel!M32</f>
        <v>0</v>
      </c>
      <c r="Y190" s="30">
        <f>Personnel!M151</f>
        <v>0</v>
      </c>
      <c r="Z190" s="200">
        <f>(100/100)+$Y$184</f>
        <v>1</v>
      </c>
      <c r="AA190" s="173">
        <f>Y190*Z190</f>
        <v>0</v>
      </c>
      <c r="AB190" s="550"/>
      <c r="AC190" s="626"/>
      <c r="AD190" s="463" t="s">
        <v>268</v>
      </c>
      <c r="AE190" s="848">
        <f>Personnel!O32</f>
        <v>0</v>
      </c>
      <c r="AF190" s="30">
        <f>Personnel!O151</f>
        <v>0</v>
      </c>
      <c r="AG190" s="200">
        <f>(100/100)+$AF$184</f>
        <v>1</v>
      </c>
      <c r="AH190" s="173">
        <f>AF190*AG190</f>
        <v>0</v>
      </c>
      <c r="AI190" s="550"/>
    </row>
    <row r="191" spans="1:35">
      <c r="A191" s="400"/>
      <c r="B191" s="463" t="s">
        <v>269</v>
      </c>
      <c r="C191" s="848">
        <f>SUM(Personnel!G10:G15)</f>
        <v>0.5</v>
      </c>
      <c r="D191" s="30">
        <f>SUM(Personnel!G122:G127)</f>
        <v>21000</v>
      </c>
      <c r="E191" s="200">
        <f>(100/100)+$D$184</f>
        <v>1</v>
      </c>
      <c r="F191" s="173">
        <f>D191*E191</f>
        <v>21000</v>
      </c>
      <c r="G191" s="550"/>
      <c r="H191" s="626"/>
      <c r="I191" s="463" t="s">
        <v>269</v>
      </c>
      <c r="J191" s="848">
        <f>SUM(Personnel!I10:I15)</f>
        <v>0.5</v>
      </c>
      <c r="K191" s="30">
        <f>SUM(Personnel!I122:I127)</f>
        <v>21000</v>
      </c>
      <c r="L191" s="200">
        <f>(100/100)+$K$184</f>
        <v>1</v>
      </c>
      <c r="M191" s="173">
        <f>K191*L191</f>
        <v>21000</v>
      </c>
      <c r="N191" s="550"/>
      <c r="O191" s="626"/>
      <c r="P191" s="463" t="s">
        <v>269</v>
      </c>
      <c r="Q191" s="848">
        <f>SUM(Personnel!K10:K15)</f>
        <v>0.5</v>
      </c>
      <c r="R191" s="30">
        <f>SUM(Personnel!K122:K127)</f>
        <v>21000</v>
      </c>
      <c r="S191" s="200">
        <f>(100/100)+$R$184</f>
        <v>1</v>
      </c>
      <c r="T191" s="173">
        <f>R191*S191</f>
        <v>21000</v>
      </c>
      <c r="U191" s="550"/>
      <c r="V191" s="626"/>
      <c r="W191" s="463" t="s">
        <v>269</v>
      </c>
      <c r="X191" s="848">
        <f>SUM(Personnel!M10:M15)</f>
        <v>1</v>
      </c>
      <c r="Y191" s="30">
        <f>SUM(Personnel!M122:M127)</f>
        <v>42000</v>
      </c>
      <c r="Z191" s="200">
        <f>(100/100)+$Y$184</f>
        <v>1</v>
      </c>
      <c r="AA191" s="173">
        <f>Y191*Z191</f>
        <v>42000</v>
      </c>
      <c r="AB191" s="550"/>
      <c r="AC191" s="626"/>
      <c r="AD191" s="463" t="s">
        <v>269</v>
      </c>
      <c r="AE191" s="848">
        <f>SUM(Personnel!O10:O15)</f>
        <v>1</v>
      </c>
      <c r="AF191" s="30">
        <f>SUM(Personnel!O122:O127)</f>
        <v>42000</v>
      </c>
      <c r="AG191" s="200">
        <f>(100/100)+$AF$184</f>
        <v>1</v>
      </c>
      <c r="AH191" s="173">
        <f>AF191*AG191</f>
        <v>42000</v>
      </c>
      <c r="AI191" s="550"/>
    </row>
    <row r="192" spans="1:35" ht="13.5" customHeight="1">
      <c r="A192" s="400"/>
      <c r="B192" s="662" t="s">
        <v>270</v>
      </c>
      <c r="C192" s="848">
        <f>SUM(Personnel!G34:G39)</f>
        <v>0</v>
      </c>
      <c r="D192" s="30">
        <f>SUM(Personnel!G153:G158)</f>
        <v>0</v>
      </c>
      <c r="E192" s="200">
        <f>(100/100)+$D$184</f>
        <v>1</v>
      </c>
      <c r="F192" s="173">
        <f>D192*E192</f>
        <v>0</v>
      </c>
      <c r="G192" s="550"/>
      <c r="H192" s="626"/>
      <c r="I192" s="662" t="s">
        <v>270</v>
      </c>
      <c r="J192" s="848">
        <f>SUM(Personnel!I34:I39)</f>
        <v>0</v>
      </c>
      <c r="K192" s="30">
        <f>SUM(Personnel!I153:I158)</f>
        <v>0</v>
      </c>
      <c r="L192" s="200">
        <f>(100/100)+$K$184</f>
        <v>1</v>
      </c>
      <c r="M192" s="173">
        <f>K192*L192</f>
        <v>0</v>
      </c>
      <c r="N192" s="550"/>
      <c r="O192" s="626"/>
      <c r="P192" s="662" t="s">
        <v>270</v>
      </c>
      <c r="Q192" s="848">
        <f>SUM(Personnel!K34:K39)</f>
        <v>0</v>
      </c>
      <c r="R192" s="30">
        <f>SUM(Personnel!K153:K158)</f>
        <v>0</v>
      </c>
      <c r="S192" s="200">
        <f>(100/100)+$R$184</f>
        <v>1</v>
      </c>
      <c r="T192" s="173">
        <f>R192*S192</f>
        <v>0</v>
      </c>
      <c r="U192" s="550"/>
      <c r="V192" s="626"/>
      <c r="W192" s="662" t="s">
        <v>270</v>
      </c>
      <c r="X192" s="848">
        <f>SUM(Personnel!M34:M39)</f>
        <v>0</v>
      </c>
      <c r="Y192" s="30">
        <f>SUM(Personnel!M153:M158)</f>
        <v>0</v>
      </c>
      <c r="Z192" s="200">
        <f>(100/100)+$Y$184</f>
        <v>1</v>
      </c>
      <c r="AA192" s="173">
        <f>Y192*Z192</f>
        <v>0</v>
      </c>
      <c r="AB192" s="550"/>
      <c r="AC192" s="626"/>
      <c r="AD192" s="662" t="s">
        <v>270</v>
      </c>
      <c r="AE192" s="848">
        <f>SUM(Personnel!O34:O39)</f>
        <v>0</v>
      </c>
      <c r="AF192" s="30">
        <f>SUM(Personnel!O153:O158)</f>
        <v>0</v>
      </c>
      <c r="AG192" s="200">
        <f>(100/100)+$AF$184</f>
        <v>1</v>
      </c>
      <c r="AH192" s="173">
        <f>AF192*AG192</f>
        <v>0</v>
      </c>
      <c r="AI192" s="550"/>
    </row>
    <row r="193" spans="1:35" ht="13.5" customHeight="1">
      <c r="A193" s="400"/>
      <c r="B193" s="473" t="s">
        <v>271</v>
      </c>
      <c r="C193" s="143">
        <f>SUM(C189:C192)</f>
        <v>3.5</v>
      </c>
      <c r="D193" s="556">
        <f>SUM(D189:D192)</f>
        <v>201000</v>
      </c>
      <c r="E193" s="488"/>
      <c r="F193" s="122">
        <f>SUM(F189:F192)</f>
        <v>201000</v>
      </c>
      <c r="G193" s="550"/>
      <c r="H193" s="626"/>
      <c r="I193" s="473" t="s">
        <v>271</v>
      </c>
      <c r="J193" s="143">
        <f>SUM(J189:J192)</f>
        <v>3.5</v>
      </c>
      <c r="K193" s="556">
        <f>SUM(K189:K192)</f>
        <v>201000</v>
      </c>
      <c r="L193" s="488"/>
      <c r="M193" s="122">
        <f>SUM(M189:M192)</f>
        <v>201000</v>
      </c>
      <c r="N193" s="550"/>
      <c r="O193" s="626"/>
      <c r="P193" s="473" t="s">
        <v>271</v>
      </c>
      <c r="Q193" s="143">
        <f>SUM(Q189:Q192)</f>
        <v>4.5</v>
      </c>
      <c r="R193" s="556">
        <f>SUM(R189:R192)</f>
        <v>261000</v>
      </c>
      <c r="S193" s="488"/>
      <c r="T193" s="122">
        <f>SUM(T189:T192)</f>
        <v>261000</v>
      </c>
      <c r="U193" s="550"/>
      <c r="V193" s="626"/>
      <c r="W193" s="473" t="s">
        <v>271</v>
      </c>
      <c r="X193" s="143">
        <f>SUM(X189:X192)</f>
        <v>5</v>
      </c>
      <c r="Y193" s="556">
        <f>SUM(Y189:Y192)</f>
        <v>282000</v>
      </c>
      <c r="Z193" s="488"/>
      <c r="AA193" s="122">
        <f>SUM(AA189:AA192)</f>
        <v>282000</v>
      </c>
      <c r="AB193" s="550"/>
      <c r="AC193" s="626"/>
      <c r="AD193" s="473" t="s">
        <v>271</v>
      </c>
      <c r="AE193" s="143">
        <f>SUM(AE189:AE192)</f>
        <v>6</v>
      </c>
      <c r="AF193" s="556">
        <f>SUM(AF189:AF192)</f>
        <v>342000</v>
      </c>
      <c r="AG193" s="488"/>
      <c r="AH193" s="122">
        <f>SUM(AH189:AH192)</f>
        <v>342000</v>
      </c>
      <c r="AI193" s="550"/>
    </row>
    <row r="194" spans="1:35">
      <c r="A194" s="400"/>
      <c r="B194" s="578"/>
      <c r="C194" s="391"/>
      <c r="D194" s="391"/>
      <c r="E194" s="151"/>
      <c r="F194" s="269"/>
      <c r="G194" s="400"/>
      <c r="H194" s="626"/>
      <c r="I194" s="578"/>
      <c r="J194" s="391"/>
      <c r="K194" s="391"/>
      <c r="L194" s="151"/>
      <c r="M194" s="269"/>
      <c r="N194" s="400"/>
      <c r="O194" s="626"/>
      <c r="P194" s="578"/>
      <c r="Q194" s="391"/>
      <c r="R194" s="391"/>
      <c r="S194" s="151"/>
      <c r="T194" s="269"/>
      <c r="U194" s="400"/>
      <c r="V194" s="626"/>
      <c r="W194" s="578"/>
      <c r="X194" s="391"/>
      <c r="Y194" s="391"/>
      <c r="Z194" s="151"/>
      <c r="AA194" s="269"/>
      <c r="AB194" s="400"/>
      <c r="AC194" s="626"/>
      <c r="AD194" s="578"/>
      <c r="AE194" s="391"/>
      <c r="AF194" s="391"/>
      <c r="AG194" s="151"/>
      <c r="AH194" s="269"/>
      <c r="AI194" s="400"/>
    </row>
    <row r="195" spans="1:35">
      <c r="A195" s="400"/>
      <c r="B195" s="676"/>
      <c r="C195" s="151"/>
      <c r="D195" s="151"/>
      <c r="E195" s="151"/>
      <c r="F195" s="19"/>
      <c r="G195" s="400"/>
      <c r="H195" s="626"/>
      <c r="I195" s="676"/>
      <c r="J195" s="151"/>
      <c r="K195" s="151"/>
      <c r="L195" s="151"/>
      <c r="M195" s="19"/>
      <c r="N195" s="400"/>
      <c r="O195" s="626"/>
      <c r="P195" s="676"/>
      <c r="Q195" s="151"/>
      <c r="R195" s="151"/>
      <c r="S195" s="151"/>
      <c r="T195" s="19"/>
      <c r="U195" s="400"/>
      <c r="V195" s="626"/>
      <c r="W195" s="676"/>
      <c r="X195" s="151"/>
      <c r="Y195" s="151"/>
      <c r="Z195" s="151"/>
      <c r="AA195" s="19"/>
      <c r="AB195" s="400"/>
      <c r="AC195" s="626"/>
      <c r="AD195" s="676"/>
      <c r="AE195" s="151"/>
      <c r="AF195" s="151"/>
      <c r="AG195" s="151"/>
      <c r="AH195" s="19"/>
      <c r="AI195" s="400"/>
    </row>
    <row r="196" spans="1:35">
      <c r="A196" s="400"/>
      <c r="B196" s="676"/>
      <c r="C196" s="151"/>
      <c r="D196" s="151"/>
      <c r="E196" s="151"/>
      <c r="F196" s="19"/>
      <c r="G196" s="400"/>
      <c r="H196" s="626"/>
      <c r="I196" s="676"/>
      <c r="J196" s="151"/>
      <c r="K196" s="151"/>
      <c r="L196" s="151"/>
      <c r="M196" s="19"/>
      <c r="N196" s="400"/>
      <c r="O196" s="626"/>
      <c r="P196" s="676"/>
      <c r="Q196" s="151"/>
      <c r="R196" s="151"/>
      <c r="S196" s="151"/>
      <c r="T196" s="19"/>
      <c r="U196" s="400"/>
      <c r="V196" s="626"/>
      <c r="W196" s="676"/>
      <c r="X196" s="151"/>
      <c r="Y196" s="151"/>
      <c r="Z196" s="151"/>
      <c r="AA196" s="19"/>
      <c r="AB196" s="400"/>
      <c r="AC196" s="626"/>
      <c r="AD196" s="676"/>
      <c r="AE196" s="151"/>
      <c r="AF196" s="151"/>
      <c r="AG196" s="151"/>
      <c r="AH196" s="19"/>
      <c r="AI196" s="400"/>
    </row>
    <row r="197" spans="1:35" ht="15.75" customHeight="1">
      <c r="A197" s="400"/>
      <c r="B197" s="285"/>
      <c r="C197" s="262"/>
      <c r="D197" s="162"/>
      <c r="E197" s="310"/>
      <c r="F197" s="574"/>
      <c r="G197" s="684"/>
      <c r="H197" s="626"/>
      <c r="I197" s="285"/>
      <c r="J197" s="262"/>
      <c r="K197" s="162"/>
      <c r="L197" s="310"/>
      <c r="M197" s="574"/>
      <c r="N197" s="684"/>
      <c r="O197" s="626"/>
      <c r="P197" s="285"/>
      <c r="Q197" s="262"/>
      <c r="R197" s="162"/>
      <c r="S197" s="310"/>
      <c r="T197" s="574"/>
      <c r="U197" s="684"/>
      <c r="V197" s="626"/>
      <c r="W197" s="285"/>
      <c r="X197" s="262"/>
      <c r="Y197" s="162"/>
      <c r="Z197" s="310"/>
      <c r="AA197" s="574"/>
      <c r="AB197" s="684"/>
      <c r="AC197" s="626"/>
      <c r="AD197" s="285"/>
      <c r="AE197" s="262"/>
      <c r="AF197" s="162"/>
      <c r="AG197" s="310"/>
      <c r="AH197" s="574"/>
      <c r="AI197" s="684"/>
    </row>
    <row r="198" spans="1:35" ht="39" customHeight="1">
      <c r="A198" s="400"/>
      <c r="B198" s="473" t="s">
        <v>370</v>
      </c>
      <c r="C198" s="787" t="s">
        <v>272</v>
      </c>
      <c r="D198" s="550"/>
      <c r="E198" s="403" t="s">
        <v>273</v>
      </c>
      <c r="F198" s="403" t="s">
        <v>274</v>
      </c>
      <c r="G198" s="550"/>
      <c r="H198" s="626"/>
      <c r="I198" s="473" t="s">
        <v>370</v>
      </c>
      <c r="J198" s="787" t="s">
        <v>272</v>
      </c>
      <c r="K198" s="550"/>
      <c r="L198" s="403" t="s">
        <v>273</v>
      </c>
      <c r="M198" s="403" t="s">
        <v>274</v>
      </c>
      <c r="N198" s="550"/>
      <c r="O198" s="626"/>
      <c r="P198" s="473" t="s">
        <v>370</v>
      </c>
      <c r="Q198" s="787" t="s">
        <v>272</v>
      </c>
      <c r="R198" s="550"/>
      <c r="S198" s="403" t="s">
        <v>273</v>
      </c>
      <c r="T198" s="403" t="s">
        <v>274</v>
      </c>
      <c r="U198" s="550"/>
      <c r="V198" s="626"/>
      <c r="W198" s="473" t="s">
        <v>370</v>
      </c>
      <c r="X198" s="787" t="s">
        <v>272</v>
      </c>
      <c r="Y198" s="550"/>
      <c r="Z198" s="403" t="s">
        <v>273</v>
      </c>
      <c r="AA198" s="403" t="s">
        <v>274</v>
      </c>
      <c r="AB198" s="550"/>
      <c r="AC198" s="626"/>
      <c r="AD198" s="473" t="s">
        <v>370</v>
      </c>
      <c r="AE198" s="787" t="s">
        <v>272</v>
      </c>
      <c r="AF198" s="550"/>
      <c r="AG198" s="403" t="s">
        <v>273</v>
      </c>
      <c r="AH198" s="403" t="s">
        <v>274</v>
      </c>
      <c r="AI198" s="550"/>
    </row>
    <row r="199" spans="1:35" ht="30.75" customHeight="1">
      <c r="A199" s="400"/>
      <c r="B199" s="33" t="s">
        <v>275</v>
      </c>
      <c r="C199" s="256">
        <f>F193/(C193+0.000000001)</f>
        <v>57428.571412163263</v>
      </c>
      <c r="D199" s="550"/>
      <c r="E199" s="535">
        <v>0</v>
      </c>
      <c r="F199" s="535">
        <f>F193</f>
        <v>201000</v>
      </c>
      <c r="G199" s="550"/>
      <c r="H199" s="626"/>
      <c r="I199" s="33" t="s">
        <v>275</v>
      </c>
      <c r="J199" s="256">
        <f>M193/(J193+0.000000001)</f>
        <v>57428.571412163263</v>
      </c>
      <c r="K199" s="550"/>
      <c r="L199" s="535">
        <v>0</v>
      </c>
      <c r="M199" s="535">
        <f>M193</f>
        <v>201000</v>
      </c>
      <c r="N199" s="550"/>
      <c r="O199" s="626"/>
      <c r="P199" s="33" t="s">
        <v>275</v>
      </c>
      <c r="Q199" s="256">
        <f>T193/(Q193+0.000000001)</f>
        <v>57999.999987111107</v>
      </c>
      <c r="R199" s="550"/>
      <c r="S199" s="535">
        <v>0</v>
      </c>
      <c r="T199" s="535">
        <f>T193</f>
        <v>261000</v>
      </c>
      <c r="U199" s="550"/>
      <c r="V199" s="626"/>
      <c r="W199" s="33" t="s">
        <v>275</v>
      </c>
      <c r="X199" s="256">
        <f>AA193/(X193+0.000000001)</f>
        <v>56399.999988719996</v>
      </c>
      <c r="Y199" s="550"/>
      <c r="Z199" s="535">
        <v>0</v>
      </c>
      <c r="AA199" s="535">
        <f>AA193</f>
        <v>282000</v>
      </c>
      <c r="AB199" s="550"/>
      <c r="AC199" s="626"/>
      <c r="AD199" s="33" t="s">
        <v>275</v>
      </c>
      <c r="AE199" s="256">
        <f>AH193/(AE193+0.000000001)</f>
        <v>56999.9999905</v>
      </c>
      <c r="AF199" s="550"/>
      <c r="AG199" s="535">
        <v>0</v>
      </c>
      <c r="AH199" s="535">
        <f>AH193</f>
        <v>342000</v>
      </c>
      <c r="AI199" s="550"/>
    </row>
    <row r="200" spans="1:35" ht="15.75" customHeight="1">
      <c r="A200" s="400"/>
      <c r="B200" s="33" t="s">
        <v>276</v>
      </c>
      <c r="C200" s="256">
        <f>VLOOKUP(C199,E199:F200,2,TRUE)</f>
        <v>201000</v>
      </c>
      <c r="D200" s="550"/>
      <c r="E200" s="535">
        <v>90000</v>
      </c>
      <c r="F200" s="535">
        <f>C193*E200</f>
        <v>315000</v>
      </c>
      <c r="G200" s="550"/>
      <c r="H200" s="626"/>
      <c r="I200" s="33" t="s">
        <v>276</v>
      </c>
      <c r="J200" s="256">
        <f>VLOOKUP(J199,L199:M200,2,TRUE)</f>
        <v>201000</v>
      </c>
      <c r="K200" s="550"/>
      <c r="L200" s="535">
        <v>90000</v>
      </c>
      <c r="M200" s="535">
        <f>J193*L200</f>
        <v>315000</v>
      </c>
      <c r="N200" s="550"/>
      <c r="O200" s="626"/>
      <c r="P200" s="33" t="s">
        <v>276</v>
      </c>
      <c r="Q200" s="256">
        <f>VLOOKUP(Q199,S199:T200,2,TRUE)</f>
        <v>261000</v>
      </c>
      <c r="R200" s="550"/>
      <c r="S200" s="535">
        <v>90000</v>
      </c>
      <c r="T200" s="535">
        <f>Q193*S200</f>
        <v>405000</v>
      </c>
      <c r="U200" s="550"/>
      <c r="V200" s="626"/>
      <c r="W200" s="33" t="s">
        <v>276</v>
      </c>
      <c r="X200" s="256">
        <f>VLOOKUP(X199,Z199:AA200,2,TRUE)</f>
        <v>282000</v>
      </c>
      <c r="Y200" s="550"/>
      <c r="Z200" s="535">
        <v>90000</v>
      </c>
      <c r="AA200" s="535">
        <f>X193*Z200</f>
        <v>450000</v>
      </c>
      <c r="AB200" s="550"/>
      <c r="AC200" s="626"/>
      <c r="AD200" s="33" t="s">
        <v>276</v>
      </c>
      <c r="AE200" s="256">
        <f>VLOOKUP(AE199,AG199:AH200,2,TRUE)</f>
        <v>342000</v>
      </c>
      <c r="AF200" s="550"/>
      <c r="AG200" s="535">
        <v>90000</v>
      </c>
      <c r="AH200" s="535">
        <f>AE193*AG200</f>
        <v>540000</v>
      </c>
      <c r="AI200" s="550"/>
    </row>
    <row r="201" spans="1:35" ht="15.75" customHeight="1">
      <c r="A201" s="400"/>
      <c r="B201" s="98"/>
      <c r="C201" s="747"/>
      <c r="D201" s="279"/>
      <c r="E201" s="443"/>
      <c r="F201" s="70"/>
      <c r="G201" s="452"/>
      <c r="H201" s="626"/>
      <c r="I201" s="98"/>
      <c r="J201" s="747"/>
      <c r="K201" s="279"/>
      <c r="L201" s="443"/>
      <c r="M201" s="70"/>
      <c r="N201" s="452"/>
      <c r="O201" s="626"/>
      <c r="P201" s="98"/>
      <c r="Q201" s="747"/>
      <c r="R201" s="279"/>
      <c r="S201" s="443"/>
      <c r="T201" s="70"/>
      <c r="U201" s="452"/>
      <c r="V201" s="626"/>
      <c r="W201" s="98"/>
      <c r="X201" s="747"/>
      <c r="Y201" s="279"/>
      <c r="Z201" s="443"/>
      <c r="AA201" s="70"/>
      <c r="AB201" s="452"/>
      <c r="AC201" s="626"/>
      <c r="AD201" s="98"/>
      <c r="AE201" s="747"/>
      <c r="AF201" s="279"/>
      <c r="AG201" s="443"/>
      <c r="AH201" s="70"/>
      <c r="AI201" s="452"/>
    </row>
    <row r="202" spans="1:35" ht="15" customHeight="1">
      <c r="A202" s="400"/>
      <c r="B202" s="716"/>
      <c r="C202" s="650"/>
      <c r="D202" s="69"/>
      <c r="E202" s="69"/>
      <c r="F202" s="269"/>
      <c r="G202" s="207"/>
      <c r="H202" s="626"/>
      <c r="I202" s="716"/>
      <c r="J202" s="650"/>
      <c r="K202" s="69"/>
      <c r="L202" s="69"/>
      <c r="M202" s="269"/>
      <c r="N202" s="207"/>
      <c r="O202" s="626"/>
      <c r="P202" s="716"/>
      <c r="Q202" s="650"/>
      <c r="R202" s="69"/>
      <c r="S202" s="69"/>
      <c r="T202" s="269"/>
      <c r="U202" s="207"/>
      <c r="V202" s="626"/>
      <c r="W202" s="716"/>
      <c r="X202" s="650"/>
      <c r="Y202" s="69"/>
      <c r="Z202" s="69"/>
      <c r="AA202" s="269"/>
      <c r="AB202" s="207"/>
      <c r="AC202" s="626"/>
      <c r="AD202" s="716"/>
      <c r="AE202" s="650"/>
      <c r="AF202" s="69"/>
      <c r="AG202" s="69"/>
      <c r="AH202" s="269"/>
      <c r="AI202" s="391"/>
    </row>
    <row r="203" spans="1:35" ht="15" customHeight="1">
      <c r="A203" s="400"/>
      <c r="B203" s="594"/>
      <c r="C203" s="454"/>
      <c r="D203" s="769"/>
      <c r="E203" s="769"/>
      <c r="F203" s="19"/>
      <c r="G203" s="400"/>
      <c r="H203" s="626"/>
      <c r="I203" s="594"/>
      <c r="J203" s="454"/>
      <c r="K203" s="769"/>
      <c r="L203" s="769"/>
      <c r="M203" s="19"/>
      <c r="N203" s="400"/>
      <c r="O203" s="626"/>
      <c r="P203" s="594"/>
      <c r="Q203" s="454"/>
      <c r="R203" s="769"/>
      <c r="S203" s="769"/>
      <c r="T203" s="19"/>
      <c r="U203" s="400"/>
      <c r="V203" s="626"/>
      <c r="W203" s="594"/>
      <c r="X203" s="454"/>
      <c r="Y203" s="769"/>
      <c r="Z203" s="769"/>
      <c r="AA203" s="19"/>
      <c r="AB203" s="400"/>
      <c r="AC203" s="626"/>
      <c r="AD203" s="594"/>
      <c r="AE203" s="454"/>
      <c r="AF203" s="769"/>
      <c r="AG203" s="769"/>
      <c r="AH203" s="19"/>
      <c r="AI203" s="151"/>
    </row>
    <row r="204" spans="1:35" ht="15.75" customHeight="1">
      <c r="A204" s="400"/>
      <c r="B204" s="285"/>
      <c r="C204" s="681"/>
      <c r="D204" s="279"/>
      <c r="E204" s="279"/>
      <c r="F204" s="574"/>
      <c r="G204" s="452"/>
      <c r="H204" s="626"/>
      <c r="I204" s="285"/>
      <c r="J204" s="681"/>
      <c r="K204" s="279"/>
      <c r="L204" s="279"/>
      <c r="M204" s="574"/>
      <c r="N204" s="452"/>
      <c r="O204" s="626"/>
      <c r="P204" s="285"/>
      <c r="Q204" s="681"/>
      <c r="R204" s="279"/>
      <c r="S204" s="279"/>
      <c r="T204" s="574"/>
      <c r="U204" s="452"/>
      <c r="V204" s="626"/>
      <c r="W204" s="285"/>
      <c r="X204" s="681"/>
      <c r="Y204" s="279"/>
      <c r="Z204" s="279"/>
      <c r="AA204" s="574"/>
      <c r="AB204" s="452"/>
      <c r="AC204" s="626"/>
      <c r="AD204" s="285"/>
      <c r="AE204" s="681"/>
      <c r="AF204" s="279"/>
      <c r="AG204" s="279"/>
      <c r="AH204" s="574"/>
      <c r="AI204" s="456"/>
    </row>
    <row r="205" spans="1:35">
      <c r="A205" s="400"/>
      <c r="B205" s="905" t="s">
        <v>277</v>
      </c>
      <c r="C205" s="906"/>
      <c r="D205" s="906"/>
      <c r="E205" s="906"/>
      <c r="F205" s="906"/>
      <c r="G205" s="907"/>
      <c r="H205" s="626"/>
      <c r="I205" s="905" t="s">
        <v>277</v>
      </c>
      <c r="J205" s="906"/>
      <c r="K205" s="906"/>
      <c r="L205" s="906"/>
      <c r="M205" s="906"/>
      <c r="N205" s="907"/>
      <c r="O205" s="626"/>
      <c r="P205" s="905" t="s">
        <v>277</v>
      </c>
      <c r="Q205" s="906"/>
      <c r="R205" s="906"/>
      <c r="S205" s="906"/>
      <c r="T205" s="906"/>
      <c r="U205" s="907"/>
      <c r="V205" s="626"/>
      <c r="W205" s="905" t="s">
        <v>277</v>
      </c>
      <c r="X205" s="906"/>
      <c r="Y205" s="906"/>
      <c r="Z205" s="906"/>
      <c r="AA205" s="906"/>
      <c r="AB205" s="907"/>
      <c r="AC205" s="626"/>
      <c r="AD205" s="905" t="s">
        <v>277</v>
      </c>
      <c r="AE205" s="906"/>
      <c r="AF205" s="906"/>
      <c r="AG205" s="906"/>
      <c r="AH205" s="906"/>
      <c r="AI205" s="907"/>
    </row>
    <row r="206" spans="1:35" ht="13.5" customHeight="1">
      <c r="A206" s="151"/>
      <c r="B206" s="905"/>
      <c r="C206" s="906"/>
      <c r="D206" s="906"/>
      <c r="E206" s="906"/>
      <c r="F206" s="906"/>
      <c r="G206" s="907"/>
      <c r="H206" s="626"/>
      <c r="I206" s="906"/>
      <c r="J206" s="906"/>
      <c r="K206" s="906"/>
      <c r="L206" s="906"/>
      <c r="M206" s="906"/>
      <c r="N206" s="907"/>
      <c r="O206" s="626"/>
      <c r="P206" s="905"/>
      <c r="Q206" s="906"/>
      <c r="R206" s="906"/>
      <c r="S206" s="906"/>
      <c r="T206" s="906"/>
      <c r="U206" s="907"/>
      <c r="V206" s="626"/>
      <c r="W206" s="906"/>
      <c r="X206" s="906"/>
      <c r="Y206" s="906"/>
      <c r="Z206" s="906"/>
      <c r="AA206" s="906"/>
      <c r="AB206" s="907"/>
      <c r="AC206" s="626"/>
      <c r="AD206" s="906"/>
      <c r="AE206" s="906"/>
      <c r="AF206" s="906"/>
      <c r="AG206" s="906"/>
      <c r="AH206" s="906"/>
      <c r="AI206" s="907"/>
    </row>
    <row r="207" spans="1:35">
      <c r="A207" s="400"/>
      <c r="B207" s="910" t="s">
        <v>370</v>
      </c>
      <c r="C207" s="910" t="s">
        <v>262</v>
      </c>
      <c r="D207" s="912" t="s">
        <v>266</v>
      </c>
      <c r="E207" s="910" t="s">
        <v>264</v>
      </c>
      <c r="F207" s="912" t="s">
        <v>265</v>
      </c>
      <c r="G207" s="330"/>
      <c r="H207" s="626"/>
      <c r="I207" s="910" t="s">
        <v>370</v>
      </c>
      <c r="J207" s="910" t="s">
        <v>262</v>
      </c>
      <c r="K207" s="912" t="s">
        <v>266</v>
      </c>
      <c r="L207" s="910" t="s">
        <v>264</v>
      </c>
      <c r="M207" s="912" t="s">
        <v>265</v>
      </c>
      <c r="N207" s="330"/>
      <c r="O207" s="626"/>
      <c r="P207" s="910" t="s">
        <v>370</v>
      </c>
      <c r="Q207" s="910" t="s">
        <v>262</v>
      </c>
      <c r="R207" s="912" t="s">
        <v>266</v>
      </c>
      <c r="S207" s="910" t="s">
        <v>264</v>
      </c>
      <c r="T207" s="912" t="s">
        <v>265</v>
      </c>
      <c r="U207" s="330"/>
      <c r="V207" s="626"/>
      <c r="W207" s="910" t="s">
        <v>370</v>
      </c>
      <c r="X207" s="910" t="s">
        <v>262</v>
      </c>
      <c r="Y207" s="912" t="s">
        <v>266</v>
      </c>
      <c r="Z207" s="910" t="s">
        <v>264</v>
      </c>
      <c r="AA207" s="912" t="s">
        <v>265</v>
      </c>
      <c r="AB207" s="330"/>
      <c r="AC207" s="626"/>
      <c r="AD207" s="910" t="s">
        <v>370</v>
      </c>
      <c r="AE207" s="910" t="s">
        <v>262</v>
      </c>
      <c r="AF207" s="912" t="s">
        <v>266</v>
      </c>
      <c r="AG207" s="910" t="s">
        <v>264</v>
      </c>
      <c r="AH207" s="912" t="s">
        <v>265</v>
      </c>
      <c r="AI207" s="330"/>
    </row>
    <row r="208" spans="1:35" ht="30.75" customHeight="1">
      <c r="A208" s="151"/>
      <c r="B208" s="911"/>
      <c r="C208" s="911"/>
      <c r="D208" s="913"/>
      <c r="E208" s="911"/>
      <c r="F208" s="913"/>
      <c r="G208" s="550"/>
      <c r="H208" s="626"/>
      <c r="I208" s="914"/>
      <c r="J208" s="911"/>
      <c r="K208" s="913"/>
      <c r="L208" s="911"/>
      <c r="M208" s="913"/>
      <c r="N208" s="550"/>
      <c r="O208" s="626"/>
      <c r="P208" s="911"/>
      <c r="Q208" s="911"/>
      <c r="R208" s="913"/>
      <c r="S208" s="911"/>
      <c r="T208" s="913"/>
      <c r="U208" s="550"/>
      <c r="V208" s="626"/>
      <c r="W208" s="914"/>
      <c r="X208" s="911"/>
      <c r="Y208" s="913"/>
      <c r="Z208" s="911"/>
      <c r="AA208" s="913"/>
      <c r="AB208" s="550"/>
      <c r="AC208" s="626"/>
      <c r="AD208" s="914"/>
      <c r="AE208" s="911"/>
      <c r="AF208" s="913"/>
      <c r="AG208" s="911"/>
      <c r="AH208" s="913"/>
      <c r="AI208" s="550"/>
    </row>
    <row r="209" spans="1:35">
      <c r="A209" s="400"/>
      <c r="B209" s="37" t="s">
        <v>278</v>
      </c>
      <c r="C209" s="231">
        <f>Personnel!G9</f>
        <v>0</v>
      </c>
      <c r="D209" s="712">
        <f>Personnel!G121</f>
        <v>0</v>
      </c>
      <c r="E209" s="324">
        <f>(100/100)+$D$184</f>
        <v>1</v>
      </c>
      <c r="F209" s="363">
        <f>D209*E209</f>
        <v>0</v>
      </c>
      <c r="G209" s="550"/>
      <c r="H209" s="626"/>
      <c r="I209" s="37" t="s">
        <v>278</v>
      </c>
      <c r="J209" s="231">
        <f>Personnel!I9</f>
        <v>0</v>
      </c>
      <c r="K209" s="712">
        <f>Personnel!I121</f>
        <v>0</v>
      </c>
      <c r="L209" s="324">
        <f>(100/100)+$K$184</f>
        <v>1</v>
      </c>
      <c r="M209" s="363">
        <f>K209*L209</f>
        <v>0</v>
      </c>
      <c r="N209" s="550"/>
      <c r="O209" s="626"/>
      <c r="P209" s="37" t="s">
        <v>278</v>
      </c>
      <c r="Q209" s="231">
        <f>Personnel!K9</f>
        <v>0</v>
      </c>
      <c r="R209" s="712">
        <f>Personnel!K121</f>
        <v>0</v>
      </c>
      <c r="S209" s="324">
        <f>(100/100)+$R$184</f>
        <v>1</v>
      </c>
      <c r="T209" s="363">
        <f>R209*S209</f>
        <v>0</v>
      </c>
      <c r="U209" s="550"/>
      <c r="V209" s="626"/>
      <c r="W209" s="37" t="s">
        <v>278</v>
      </c>
      <c r="X209" s="231">
        <f>Personnel!M9</f>
        <v>0</v>
      </c>
      <c r="Y209" s="712">
        <f>Personnel!M121</f>
        <v>0</v>
      </c>
      <c r="Z209" s="324">
        <f>(100/100)+$Y$184</f>
        <v>1</v>
      </c>
      <c r="AA209" s="363">
        <f>Y209*Z209</f>
        <v>0</v>
      </c>
      <c r="AB209" s="550"/>
      <c r="AC209" s="626"/>
      <c r="AD209" s="37" t="s">
        <v>278</v>
      </c>
      <c r="AE209" s="231">
        <f>Personnel!O9</f>
        <v>0</v>
      </c>
      <c r="AF209" s="712">
        <f>Personnel!O121</f>
        <v>0</v>
      </c>
      <c r="AG209" s="324">
        <f>(100/100)+$AF$184</f>
        <v>1</v>
      </c>
      <c r="AH209" s="363">
        <f>AF209*AG209</f>
        <v>0</v>
      </c>
      <c r="AI209" s="550"/>
    </row>
    <row r="210" spans="1:35" ht="13.5" customHeight="1">
      <c r="A210" s="400"/>
      <c r="B210" s="463" t="s">
        <v>279</v>
      </c>
      <c r="C210" s="848">
        <f>Personnel!G33</f>
        <v>0</v>
      </c>
      <c r="D210" s="30">
        <f>Personnel!G152</f>
        <v>0</v>
      </c>
      <c r="E210" s="200">
        <f>(100/100)+$D$184</f>
        <v>1</v>
      </c>
      <c r="F210" s="9">
        <f>D210*E210</f>
        <v>0</v>
      </c>
      <c r="G210" s="550"/>
      <c r="H210" s="626"/>
      <c r="I210" s="463" t="s">
        <v>279</v>
      </c>
      <c r="J210" s="848">
        <f>Personnel!I33</f>
        <v>1</v>
      </c>
      <c r="K210" s="30">
        <f>Personnel!I152</f>
        <v>0</v>
      </c>
      <c r="L210" s="200">
        <f>(100/100)+$K$184</f>
        <v>1</v>
      </c>
      <c r="M210" s="9">
        <f>K210*L210</f>
        <v>0</v>
      </c>
      <c r="N210" s="550"/>
      <c r="O210" s="626"/>
      <c r="P210" s="463" t="s">
        <v>279</v>
      </c>
      <c r="Q210" s="848">
        <f>Personnel!K33</f>
        <v>1</v>
      </c>
      <c r="R210" s="30">
        <f>Personnel!K152</f>
        <v>0</v>
      </c>
      <c r="S210" s="200">
        <f>(100/100)+$R$184</f>
        <v>1</v>
      </c>
      <c r="T210" s="9">
        <f>R210*S210</f>
        <v>0</v>
      </c>
      <c r="U210" s="550"/>
      <c r="V210" s="626"/>
      <c r="W210" s="463" t="s">
        <v>279</v>
      </c>
      <c r="X210" s="848">
        <f>Personnel!M33</f>
        <v>1</v>
      </c>
      <c r="Y210" s="30">
        <f>Personnel!M152</f>
        <v>0</v>
      </c>
      <c r="Z210" s="200">
        <f>(100/100)+$Y$184</f>
        <v>1</v>
      </c>
      <c r="AA210" s="9">
        <f>Y210*Z210</f>
        <v>0</v>
      </c>
      <c r="AB210" s="550"/>
      <c r="AC210" s="626"/>
      <c r="AD210" s="463" t="s">
        <v>279</v>
      </c>
      <c r="AE210" s="848">
        <f>Personnel!O33</f>
        <v>2</v>
      </c>
      <c r="AF210" s="30">
        <f>Personnel!O152</f>
        <v>0</v>
      </c>
      <c r="AG210" s="200">
        <f>(100/100)+$AF$184</f>
        <v>1</v>
      </c>
      <c r="AH210" s="9">
        <f>AF210*AG210</f>
        <v>0</v>
      </c>
      <c r="AI210" s="550"/>
    </row>
    <row r="211" spans="1:35" ht="13.5" customHeight="1">
      <c r="A211" s="400"/>
      <c r="B211" s="375" t="s">
        <v>271</v>
      </c>
      <c r="C211" s="143">
        <f>SUM(C209:C210)</f>
        <v>0</v>
      </c>
      <c r="D211" s="556">
        <f>SUM(D209:D210)</f>
        <v>0</v>
      </c>
      <c r="E211" s="488"/>
      <c r="F211" s="788">
        <f>SUM(F209:F210)</f>
        <v>0</v>
      </c>
      <c r="G211" s="550"/>
      <c r="H211" s="626"/>
      <c r="I211" s="375" t="s">
        <v>271</v>
      </c>
      <c r="J211" s="143">
        <f>SUM(J209:J210)</f>
        <v>1</v>
      </c>
      <c r="K211" s="556">
        <f>SUM(K209:K210)</f>
        <v>0</v>
      </c>
      <c r="L211" s="488"/>
      <c r="M211" s="788">
        <f>SUM(M209:M210)</f>
        <v>0</v>
      </c>
      <c r="N211" s="550"/>
      <c r="O211" s="626"/>
      <c r="P211" s="375" t="s">
        <v>271</v>
      </c>
      <c r="Q211" s="143">
        <f>SUM(Q209:Q210)</f>
        <v>1</v>
      </c>
      <c r="R211" s="556">
        <f>SUM(R209:R210)</f>
        <v>0</v>
      </c>
      <c r="S211" s="488"/>
      <c r="T211" s="788">
        <f>SUM(T209:T210)</f>
        <v>0</v>
      </c>
      <c r="U211" s="550"/>
      <c r="V211" s="626"/>
      <c r="W211" s="375" t="s">
        <v>271</v>
      </c>
      <c r="X211" s="143">
        <f>SUM(X209:X210)</f>
        <v>1</v>
      </c>
      <c r="Y211" s="556">
        <f>SUM(Y209:Y210)</f>
        <v>0</v>
      </c>
      <c r="Z211" s="488"/>
      <c r="AA211" s="788">
        <f>SUM(AA209:AA210)</f>
        <v>0</v>
      </c>
      <c r="AB211" s="550"/>
      <c r="AC211" s="626"/>
      <c r="AD211" s="375" t="s">
        <v>271</v>
      </c>
      <c r="AE211" s="143">
        <f>SUM(AE209:AE210)</f>
        <v>2</v>
      </c>
      <c r="AF211" s="556">
        <f>SUM(AF209:AF210)</f>
        <v>0</v>
      </c>
      <c r="AG211" s="488"/>
      <c r="AH211" s="788">
        <f>SUM(AH209:AH210)</f>
        <v>0</v>
      </c>
      <c r="AI211" s="550"/>
    </row>
    <row r="212" spans="1:35">
      <c r="A212" s="400"/>
      <c r="B212" s="578"/>
      <c r="C212" s="391"/>
      <c r="D212" s="391"/>
      <c r="E212" s="151"/>
      <c r="F212" s="269"/>
      <c r="G212" s="400"/>
      <c r="H212" s="626"/>
      <c r="I212" s="578"/>
      <c r="J212" s="391"/>
      <c r="K212" s="391"/>
      <c r="L212" s="151"/>
      <c r="M212" s="269"/>
      <c r="N212" s="400"/>
      <c r="O212" s="626"/>
      <c r="P212" s="578"/>
      <c r="Q212" s="391"/>
      <c r="R212" s="391"/>
      <c r="S212" s="151"/>
      <c r="T212" s="269"/>
      <c r="U212" s="400"/>
      <c r="V212" s="626"/>
      <c r="W212" s="578"/>
      <c r="X212" s="391"/>
      <c r="Y212" s="391"/>
      <c r="Z212" s="151"/>
      <c r="AA212" s="269"/>
      <c r="AB212" s="400"/>
      <c r="AC212" s="626"/>
      <c r="AD212" s="578"/>
      <c r="AE212" s="391"/>
      <c r="AF212" s="391"/>
      <c r="AG212" s="151"/>
      <c r="AH212" s="269"/>
      <c r="AI212" s="400"/>
    </row>
    <row r="213" spans="1:35" ht="13.5" customHeight="1">
      <c r="A213" s="400"/>
      <c r="B213" s="465"/>
      <c r="C213" s="456"/>
      <c r="D213" s="151"/>
      <c r="E213" s="456"/>
      <c r="F213" s="574"/>
      <c r="G213" s="400"/>
      <c r="H213" s="626"/>
      <c r="I213" s="465"/>
      <c r="J213" s="456"/>
      <c r="K213" s="151"/>
      <c r="L213" s="456"/>
      <c r="M213" s="574"/>
      <c r="N213" s="400"/>
      <c r="O213" s="626"/>
      <c r="P213" s="465"/>
      <c r="Q213" s="456"/>
      <c r="R213" s="151"/>
      <c r="S213" s="456"/>
      <c r="T213" s="574"/>
      <c r="U213" s="400"/>
      <c r="V213" s="626"/>
      <c r="W213" s="465"/>
      <c r="X213" s="456"/>
      <c r="Y213" s="151"/>
      <c r="Z213" s="456"/>
      <c r="AA213" s="574"/>
      <c r="AB213" s="400"/>
      <c r="AC213" s="626"/>
      <c r="AD213" s="465"/>
      <c r="AE213" s="456"/>
      <c r="AF213" s="151"/>
      <c r="AG213" s="456"/>
      <c r="AH213" s="574"/>
      <c r="AI213" s="400"/>
    </row>
    <row r="214" spans="1:35" ht="39" customHeight="1">
      <c r="A214" s="400"/>
      <c r="B214" s="473" t="s">
        <v>370</v>
      </c>
      <c r="C214" s="787" t="s">
        <v>272</v>
      </c>
      <c r="D214" s="550"/>
      <c r="E214" s="403" t="s">
        <v>273</v>
      </c>
      <c r="F214" s="403" t="s">
        <v>274</v>
      </c>
      <c r="G214" s="550"/>
      <c r="H214" s="626"/>
      <c r="I214" s="473" t="s">
        <v>370</v>
      </c>
      <c r="J214" s="787" t="s">
        <v>272</v>
      </c>
      <c r="K214" s="550"/>
      <c r="L214" s="403" t="s">
        <v>273</v>
      </c>
      <c r="M214" s="403" t="s">
        <v>274</v>
      </c>
      <c r="N214" s="550"/>
      <c r="O214" s="626"/>
      <c r="P214" s="473" t="s">
        <v>370</v>
      </c>
      <c r="Q214" s="787" t="s">
        <v>272</v>
      </c>
      <c r="R214" s="550"/>
      <c r="S214" s="403" t="s">
        <v>273</v>
      </c>
      <c r="T214" s="403" t="s">
        <v>274</v>
      </c>
      <c r="U214" s="550"/>
      <c r="V214" s="626"/>
      <c r="W214" s="473" t="s">
        <v>370</v>
      </c>
      <c r="X214" s="787" t="s">
        <v>272</v>
      </c>
      <c r="Y214" s="550"/>
      <c r="Z214" s="403" t="s">
        <v>273</v>
      </c>
      <c r="AA214" s="403" t="s">
        <v>274</v>
      </c>
      <c r="AB214" s="550"/>
      <c r="AC214" s="626"/>
      <c r="AD214" s="473" t="s">
        <v>370</v>
      </c>
      <c r="AE214" s="787" t="s">
        <v>272</v>
      </c>
      <c r="AF214" s="550"/>
      <c r="AG214" s="403" t="s">
        <v>273</v>
      </c>
      <c r="AH214" s="403" t="s">
        <v>274</v>
      </c>
      <c r="AI214" s="550"/>
    </row>
    <row r="215" spans="1:35" ht="15.75" customHeight="1">
      <c r="A215" s="400"/>
      <c r="B215" s="401" t="s">
        <v>280</v>
      </c>
      <c r="C215" s="256">
        <f>F211/(C211+0.00000000001)</f>
        <v>0</v>
      </c>
      <c r="D215" s="550"/>
      <c r="E215" s="535">
        <v>0</v>
      </c>
      <c r="F215" s="535">
        <f>F211</f>
        <v>0</v>
      </c>
      <c r="G215" s="550"/>
      <c r="H215" s="626"/>
      <c r="I215" s="401" t="s">
        <v>280</v>
      </c>
      <c r="J215" s="256">
        <f>M211/(J211+0.00000000001)</f>
        <v>0</v>
      </c>
      <c r="K215" s="550"/>
      <c r="L215" s="535">
        <v>0</v>
      </c>
      <c r="M215" s="535">
        <f>M211</f>
        <v>0</v>
      </c>
      <c r="N215" s="550"/>
      <c r="O215" s="626"/>
      <c r="P215" s="401" t="s">
        <v>280</v>
      </c>
      <c r="Q215" s="256">
        <f>T211/(Q211+0.00000000001)</f>
        <v>0</v>
      </c>
      <c r="R215" s="550"/>
      <c r="S215" s="535">
        <v>0</v>
      </c>
      <c r="T215" s="535">
        <f>T211</f>
        <v>0</v>
      </c>
      <c r="U215" s="550"/>
      <c r="V215" s="626"/>
      <c r="W215" s="401" t="s">
        <v>280</v>
      </c>
      <c r="X215" s="256">
        <f>AA211/(X211+0.00000000001)</f>
        <v>0</v>
      </c>
      <c r="Y215" s="550"/>
      <c r="Z215" s="535">
        <v>0</v>
      </c>
      <c r="AA215" s="535">
        <f>AA211</f>
        <v>0</v>
      </c>
      <c r="AB215" s="550"/>
      <c r="AC215" s="626"/>
      <c r="AD215" s="401" t="s">
        <v>280</v>
      </c>
      <c r="AE215" s="256">
        <f>AH211/(AE211+0.00000000001)</f>
        <v>0</v>
      </c>
      <c r="AF215" s="550"/>
      <c r="AG215" s="535">
        <v>0</v>
      </c>
      <c r="AH215" s="535">
        <f>AH211</f>
        <v>0</v>
      </c>
      <c r="AI215" s="550"/>
    </row>
    <row r="216" spans="1:35" ht="15.75" customHeight="1">
      <c r="A216" s="400"/>
      <c r="B216" s="646" t="s">
        <v>276</v>
      </c>
      <c r="C216" s="256">
        <f>VLOOKUP(C215,E215:F216,2,TRUE)</f>
        <v>0</v>
      </c>
      <c r="D216" s="550"/>
      <c r="E216" s="535">
        <v>40000</v>
      </c>
      <c r="F216" s="535">
        <f>C211*E216</f>
        <v>0</v>
      </c>
      <c r="G216" s="550"/>
      <c r="H216" s="626"/>
      <c r="I216" s="646" t="s">
        <v>276</v>
      </c>
      <c r="J216" s="256">
        <f>VLOOKUP(J215,L215:M216,2,TRUE)</f>
        <v>0</v>
      </c>
      <c r="K216" s="550"/>
      <c r="L216" s="535">
        <v>40000</v>
      </c>
      <c r="M216" s="535">
        <f>J211*L216</f>
        <v>40000</v>
      </c>
      <c r="N216" s="550"/>
      <c r="O216" s="626"/>
      <c r="P216" s="646" t="s">
        <v>276</v>
      </c>
      <c r="Q216" s="256">
        <f>VLOOKUP(Q215,S215:T216,2,TRUE)</f>
        <v>0</v>
      </c>
      <c r="R216" s="550"/>
      <c r="S216" s="535">
        <v>40000</v>
      </c>
      <c r="T216" s="535">
        <f>Q211*S216</f>
        <v>40000</v>
      </c>
      <c r="U216" s="550"/>
      <c r="V216" s="626"/>
      <c r="W216" s="646" t="s">
        <v>276</v>
      </c>
      <c r="X216" s="256">
        <f>VLOOKUP(X215,Z215:AA216,2,TRUE)</f>
        <v>0</v>
      </c>
      <c r="Y216" s="550"/>
      <c r="Z216" s="535">
        <v>40000</v>
      </c>
      <c r="AA216" s="535">
        <f>X211*Z216</f>
        <v>40000</v>
      </c>
      <c r="AB216" s="550"/>
      <c r="AC216" s="626"/>
      <c r="AD216" s="646" t="s">
        <v>276</v>
      </c>
      <c r="AE216" s="256">
        <f>VLOOKUP(AE215,AG215:AH216,2,TRUE)</f>
        <v>0</v>
      </c>
      <c r="AF216" s="550"/>
      <c r="AG216" s="535">
        <v>40000</v>
      </c>
      <c r="AH216" s="535">
        <f>AE211*AG216</f>
        <v>80000</v>
      </c>
      <c r="AI216" s="550"/>
    </row>
    <row r="217" spans="1:35">
      <c r="A217" s="400"/>
      <c r="B217" s="578"/>
      <c r="C217" s="391"/>
      <c r="D217" s="151"/>
      <c r="E217" s="391"/>
      <c r="F217" s="269"/>
      <c r="G217" s="400"/>
      <c r="H217" s="626"/>
      <c r="I217" s="578"/>
      <c r="J217" s="391"/>
      <c r="K217" s="151"/>
      <c r="L217" s="391"/>
      <c r="M217" s="269"/>
      <c r="N217" s="400"/>
      <c r="O217" s="626"/>
      <c r="P217" s="578"/>
      <c r="Q217" s="391"/>
      <c r="R217" s="151"/>
      <c r="S217" s="391"/>
      <c r="T217" s="269"/>
      <c r="U217" s="400"/>
      <c r="V217" s="626"/>
      <c r="W217" s="578"/>
      <c r="X217" s="391"/>
      <c r="Y217" s="151"/>
      <c r="Z217" s="391"/>
      <c r="AA217" s="269"/>
      <c r="AB217" s="400"/>
      <c r="AC217" s="626"/>
      <c r="AD217" s="578"/>
      <c r="AE217" s="391"/>
      <c r="AF217" s="151"/>
      <c r="AG217" s="391"/>
      <c r="AH217" s="269"/>
      <c r="AI217" s="400"/>
    </row>
    <row r="218" spans="1:35">
      <c r="A218" s="400"/>
      <c r="B218" s="676"/>
      <c r="C218" s="151"/>
      <c r="D218" s="151"/>
      <c r="E218" s="151"/>
      <c r="F218" s="19"/>
      <c r="G218" s="400"/>
      <c r="H218" s="626"/>
      <c r="I218" s="676"/>
      <c r="J218" s="151"/>
      <c r="K218" s="151"/>
      <c r="L218" s="151"/>
      <c r="M218" s="19"/>
      <c r="N218" s="400"/>
      <c r="O218" s="626"/>
      <c r="P218" s="676"/>
      <c r="Q218" s="151"/>
      <c r="R218" s="151"/>
      <c r="S218" s="151"/>
      <c r="T218" s="19"/>
      <c r="U218" s="400"/>
      <c r="V218" s="626"/>
      <c r="W218" s="676"/>
      <c r="X218" s="151"/>
      <c r="Y218" s="151"/>
      <c r="Z218" s="151"/>
      <c r="AA218" s="19"/>
      <c r="AB218" s="400"/>
      <c r="AC218" s="626"/>
      <c r="AD218" s="676"/>
      <c r="AE218" s="151"/>
      <c r="AF218" s="151"/>
      <c r="AG218" s="151"/>
      <c r="AH218" s="19"/>
      <c r="AI218" s="400"/>
    </row>
    <row r="219" spans="1:35" ht="13.5" customHeight="1">
      <c r="A219" s="400"/>
      <c r="B219" s="465"/>
      <c r="C219" s="456"/>
      <c r="D219" s="456"/>
      <c r="E219" s="456"/>
      <c r="F219" s="574"/>
      <c r="G219" s="452"/>
      <c r="H219" s="626"/>
      <c r="I219" s="465"/>
      <c r="J219" s="456"/>
      <c r="K219" s="456"/>
      <c r="L219" s="456"/>
      <c r="M219" s="574"/>
      <c r="N219" s="452"/>
      <c r="O219" s="626"/>
      <c r="P219" s="465"/>
      <c r="Q219" s="456"/>
      <c r="R219" s="456"/>
      <c r="S219" s="456"/>
      <c r="T219" s="574"/>
      <c r="U219" s="452"/>
      <c r="V219" s="626"/>
      <c r="W219" s="465"/>
      <c r="X219" s="456"/>
      <c r="Y219" s="456"/>
      <c r="Z219" s="456"/>
      <c r="AA219" s="574"/>
      <c r="AB219" s="452"/>
      <c r="AC219" s="626"/>
      <c r="AD219" s="465"/>
      <c r="AE219" s="456"/>
      <c r="AF219" s="456"/>
      <c r="AG219" s="456"/>
      <c r="AH219" s="574"/>
      <c r="AI219" s="452"/>
    </row>
    <row r="220" spans="1:35">
      <c r="A220" s="400"/>
      <c r="B220" s="578"/>
      <c r="C220" s="391"/>
      <c r="D220" s="391"/>
      <c r="E220" s="391"/>
      <c r="F220" s="269"/>
      <c r="G220" s="207"/>
      <c r="H220" s="626"/>
      <c r="I220" s="578"/>
      <c r="J220" s="391"/>
      <c r="K220" s="391"/>
      <c r="L220" s="391"/>
      <c r="M220" s="269"/>
      <c r="N220" s="207"/>
      <c r="O220" s="626"/>
      <c r="P220" s="578"/>
      <c r="Q220" s="391"/>
      <c r="R220" s="391"/>
      <c r="S220" s="391"/>
      <c r="T220" s="269"/>
      <c r="U220" s="207"/>
      <c r="V220" s="626"/>
      <c r="W220" s="578"/>
      <c r="X220" s="391"/>
      <c r="Y220" s="391"/>
      <c r="Z220" s="391"/>
      <c r="AA220" s="269"/>
      <c r="AB220" s="207"/>
      <c r="AC220" s="626"/>
      <c r="AD220" s="578"/>
      <c r="AE220" s="391"/>
      <c r="AF220" s="391"/>
      <c r="AG220" s="391"/>
      <c r="AH220" s="269"/>
      <c r="AI220" s="391"/>
    </row>
    <row r="221" spans="1:35" ht="13.5" customHeight="1">
      <c r="A221" s="400"/>
      <c r="B221" s="465"/>
      <c r="C221" s="456"/>
      <c r="D221" s="456"/>
      <c r="E221" s="456"/>
      <c r="F221" s="574"/>
      <c r="G221" s="452"/>
      <c r="H221" s="626"/>
      <c r="I221" s="465"/>
      <c r="J221" s="456"/>
      <c r="K221" s="456"/>
      <c r="L221" s="456"/>
      <c r="M221" s="574"/>
      <c r="N221" s="452"/>
      <c r="O221" s="626"/>
      <c r="P221" s="465"/>
      <c r="Q221" s="456"/>
      <c r="R221" s="456"/>
      <c r="S221" s="456"/>
      <c r="T221" s="574"/>
      <c r="U221" s="452"/>
      <c r="V221" s="626"/>
      <c r="W221" s="465"/>
      <c r="X221" s="456"/>
      <c r="Y221" s="456"/>
      <c r="Z221" s="456"/>
      <c r="AA221" s="574"/>
      <c r="AB221" s="452"/>
      <c r="AC221" s="626"/>
      <c r="AD221" s="465"/>
      <c r="AE221" s="456"/>
      <c r="AF221" s="456"/>
      <c r="AG221" s="456"/>
      <c r="AH221" s="574"/>
      <c r="AI221" s="456"/>
    </row>
    <row r="222" spans="1:35" ht="27.75" customHeight="1">
      <c r="A222" s="400"/>
      <c r="B222" s="915" t="s">
        <v>281</v>
      </c>
      <c r="C222" s="916"/>
      <c r="D222" s="916"/>
      <c r="E222" s="916"/>
      <c r="F222" s="916"/>
      <c r="G222" s="874"/>
      <c r="H222" s="626"/>
      <c r="I222" s="915" t="s">
        <v>281</v>
      </c>
      <c r="J222" s="916"/>
      <c r="K222" s="916"/>
      <c r="L222" s="916"/>
      <c r="M222" s="916"/>
      <c r="N222" s="874"/>
      <c r="O222" s="626"/>
      <c r="P222" s="915" t="s">
        <v>281</v>
      </c>
      <c r="Q222" s="916"/>
      <c r="R222" s="916"/>
      <c r="S222" s="916"/>
      <c r="T222" s="916"/>
      <c r="U222" s="874"/>
      <c r="V222" s="626"/>
      <c r="W222" s="915" t="s">
        <v>281</v>
      </c>
      <c r="X222" s="916"/>
      <c r="Y222" s="916"/>
      <c r="Z222" s="916"/>
      <c r="AA222" s="916"/>
      <c r="AB222" s="874"/>
      <c r="AC222" s="626"/>
      <c r="AD222" s="915" t="s">
        <v>281</v>
      </c>
      <c r="AE222" s="916"/>
      <c r="AF222" s="916"/>
      <c r="AG222" s="916"/>
      <c r="AH222" s="916"/>
      <c r="AI222" s="874"/>
    </row>
    <row r="223" spans="1:35" ht="27" customHeight="1">
      <c r="A223" s="400"/>
      <c r="B223" s="917" t="s">
        <v>282</v>
      </c>
      <c r="C223" s="918"/>
      <c r="D223" s="918"/>
      <c r="E223" s="918"/>
      <c r="F223" s="918"/>
      <c r="G223" s="919"/>
      <c r="H223" s="626"/>
      <c r="I223" s="917" t="s">
        <v>282</v>
      </c>
      <c r="J223" s="918"/>
      <c r="K223" s="918"/>
      <c r="L223" s="918"/>
      <c r="M223" s="918"/>
      <c r="N223" s="919"/>
      <c r="O223" s="626"/>
      <c r="P223" s="917" t="s">
        <v>282</v>
      </c>
      <c r="Q223" s="918"/>
      <c r="R223" s="918"/>
      <c r="S223" s="918"/>
      <c r="T223" s="918"/>
      <c r="U223" s="919"/>
      <c r="V223" s="626"/>
      <c r="W223" s="917" t="s">
        <v>282</v>
      </c>
      <c r="X223" s="918"/>
      <c r="Y223" s="918"/>
      <c r="Z223" s="918"/>
      <c r="AA223" s="918"/>
      <c r="AB223" s="919"/>
      <c r="AC223" s="626"/>
      <c r="AD223" s="917" t="s">
        <v>282</v>
      </c>
      <c r="AE223" s="918"/>
      <c r="AF223" s="918"/>
      <c r="AG223" s="918"/>
      <c r="AH223" s="918"/>
      <c r="AI223" s="919"/>
    </row>
    <row r="224" spans="1:35">
      <c r="A224" s="400"/>
      <c r="B224" s="578"/>
      <c r="C224" s="391"/>
      <c r="D224" s="391"/>
      <c r="E224" s="391"/>
      <c r="F224" s="269"/>
      <c r="G224" s="207"/>
      <c r="H224" s="626"/>
      <c r="I224" s="578"/>
      <c r="J224" s="391"/>
      <c r="K224" s="391"/>
      <c r="L224" s="391"/>
      <c r="M224" s="269"/>
      <c r="N224" s="207"/>
      <c r="O224" s="626"/>
      <c r="P224" s="578"/>
      <c r="Q224" s="391"/>
      <c r="R224" s="391"/>
      <c r="S224" s="391"/>
      <c r="T224" s="269"/>
      <c r="U224" s="207"/>
      <c r="V224" s="626"/>
      <c r="W224" s="578"/>
      <c r="X224" s="391"/>
      <c r="Y224" s="391"/>
      <c r="Z224" s="391"/>
      <c r="AA224" s="269"/>
      <c r="AB224" s="207"/>
      <c r="AC224" s="626"/>
      <c r="AD224" s="578"/>
      <c r="AE224" s="391"/>
      <c r="AF224" s="391"/>
      <c r="AG224" s="391"/>
      <c r="AH224" s="269"/>
      <c r="AI224" s="207"/>
    </row>
    <row r="225" spans="1:35" ht="13.5" customHeight="1">
      <c r="A225" s="400"/>
      <c r="B225" s="465"/>
      <c r="C225" s="456"/>
      <c r="D225" s="456"/>
      <c r="E225" s="151"/>
      <c r="F225" s="19"/>
      <c r="G225" s="400"/>
      <c r="H225" s="626"/>
      <c r="I225" s="465"/>
      <c r="J225" s="456"/>
      <c r="K225" s="456"/>
      <c r="L225" s="151"/>
      <c r="M225" s="19"/>
      <c r="N225" s="400"/>
      <c r="O225" s="626"/>
      <c r="P225" s="465"/>
      <c r="Q225" s="456"/>
      <c r="R225" s="456"/>
      <c r="S225" s="151"/>
      <c r="T225" s="19"/>
      <c r="U225" s="400"/>
      <c r="V225" s="626"/>
      <c r="W225" s="465"/>
      <c r="X225" s="456"/>
      <c r="Y225" s="456"/>
      <c r="Z225" s="151"/>
      <c r="AA225" s="19"/>
      <c r="AB225" s="400"/>
      <c r="AC225" s="626"/>
      <c r="AD225" s="465"/>
      <c r="AE225" s="456"/>
      <c r="AF225" s="456"/>
      <c r="AG225" s="151"/>
      <c r="AH225" s="19"/>
      <c r="AI225" s="400"/>
    </row>
    <row r="226" spans="1:35" ht="13.5" customHeight="1">
      <c r="A226" s="400"/>
      <c r="B226" s="920" t="s">
        <v>283</v>
      </c>
      <c r="C226" s="921"/>
      <c r="D226" s="698">
        <f>'Budget with Assumptions'!L51</f>
        <v>0</v>
      </c>
      <c r="E226" s="676"/>
      <c r="F226" s="19"/>
      <c r="G226" s="400"/>
      <c r="H226" s="626"/>
      <c r="I226" s="920" t="s">
        <v>284</v>
      </c>
      <c r="J226" s="921"/>
      <c r="K226" s="698">
        <f>'Budget with Assumptions'!N51</f>
        <v>0</v>
      </c>
      <c r="L226" s="676"/>
      <c r="M226" s="19"/>
      <c r="N226" s="400"/>
      <c r="O226" s="626"/>
      <c r="P226" s="920" t="s">
        <v>285</v>
      </c>
      <c r="Q226" s="921"/>
      <c r="R226" s="698">
        <f>'Budget with Assumptions'!P51</f>
        <v>0</v>
      </c>
      <c r="S226" s="676"/>
      <c r="T226" s="19"/>
      <c r="U226" s="400"/>
      <c r="V226" s="626"/>
      <c r="W226" s="920" t="s">
        <v>286</v>
      </c>
      <c r="X226" s="921"/>
      <c r="Y226" s="698">
        <f>'Budget with Assumptions'!R51</f>
        <v>0</v>
      </c>
      <c r="Z226" s="676"/>
      <c r="AA226" s="19"/>
      <c r="AB226" s="400"/>
      <c r="AC226" s="626"/>
      <c r="AD226" s="920" t="s">
        <v>287</v>
      </c>
      <c r="AE226" s="921"/>
      <c r="AF226" s="698">
        <f>'Budget with Assumptions'!T51</f>
        <v>0</v>
      </c>
      <c r="AG226" s="676"/>
      <c r="AH226" s="19"/>
      <c r="AI226" s="400"/>
    </row>
    <row r="227" spans="1:35" ht="13.5" customHeight="1">
      <c r="A227" s="400"/>
      <c r="B227" s="190"/>
      <c r="C227" s="314"/>
      <c r="D227" s="92"/>
      <c r="E227" s="456"/>
      <c r="F227" s="574"/>
      <c r="G227" s="452"/>
      <c r="H227" s="626"/>
      <c r="I227" s="190"/>
      <c r="J227" s="314"/>
      <c r="K227" s="92"/>
      <c r="L227" s="456"/>
      <c r="M227" s="574"/>
      <c r="N227" s="452"/>
      <c r="O227" s="626"/>
      <c r="P227" s="190"/>
      <c r="Q227" s="314"/>
      <c r="R227" s="92"/>
      <c r="S227" s="456"/>
      <c r="T227" s="574"/>
      <c r="U227" s="452"/>
      <c r="V227" s="626"/>
      <c r="W227" s="190"/>
      <c r="X227" s="314"/>
      <c r="Y227" s="92"/>
      <c r="Z227" s="456"/>
      <c r="AA227" s="574"/>
      <c r="AB227" s="452"/>
      <c r="AC227" s="626"/>
      <c r="AD227" s="190"/>
      <c r="AE227" s="314"/>
      <c r="AF227" s="92"/>
      <c r="AG227" s="456"/>
      <c r="AH227" s="574"/>
      <c r="AI227" s="452"/>
    </row>
    <row r="228" spans="1:35">
      <c r="A228" s="400"/>
      <c r="B228" s="97"/>
      <c r="C228" s="483"/>
      <c r="D228" s="436"/>
      <c r="E228" s="391"/>
      <c r="F228" s="269"/>
      <c r="G228" s="207"/>
      <c r="H228" s="626"/>
      <c r="I228" s="97"/>
      <c r="J228" s="483"/>
      <c r="K228" s="436"/>
      <c r="L228" s="391"/>
      <c r="M228" s="269"/>
      <c r="N228" s="207"/>
      <c r="O228" s="626"/>
      <c r="P228" s="97"/>
      <c r="Q228" s="483"/>
      <c r="R228" s="436"/>
      <c r="S228" s="391"/>
      <c r="T228" s="269"/>
      <c r="U228" s="207"/>
      <c r="V228" s="626"/>
      <c r="W228" s="97"/>
      <c r="X228" s="483"/>
      <c r="Y228" s="436"/>
      <c r="Z228" s="391"/>
      <c r="AA228" s="269"/>
      <c r="AB228" s="207"/>
      <c r="AC228" s="626"/>
      <c r="AD228" s="97"/>
      <c r="AE228" s="483"/>
      <c r="AF228" s="436"/>
      <c r="AG228" s="391"/>
      <c r="AH228" s="269"/>
      <c r="AI228" s="391"/>
    </row>
    <row r="229" spans="1:35">
      <c r="A229" s="400"/>
      <c r="B229" s="676"/>
      <c r="C229" s="151"/>
      <c r="D229" s="151"/>
      <c r="E229" s="151"/>
      <c r="F229" s="19"/>
      <c r="G229" s="400"/>
      <c r="H229" s="626"/>
      <c r="I229" s="676"/>
      <c r="J229" s="151"/>
      <c r="K229" s="151"/>
      <c r="L229" s="151"/>
      <c r="M229" s="19"/>
      <c r="N229" s="400"/>
      <c r="O229" s="626"/>
      <c r="P229" s="676"/>
      <c r="Q229" s="151"/>
      <c r="R229" s="151"/>
      <c r="S229" s="151"/>
      <c r="T229" s="19"/>
      <c r="U229" s="400"/>
      <c r="V229" s="626"/>
      <c r="W229" s="676"/>
      <c r="X229" s="151"/>
      <c r="Y229" s="151"/>
      <c r="Z229" s="151"/>
      <c r="AA229" s="19"/>
      <c r="AB229" s="400"/>
      <c r="AC229" s="626"/>
      <c r="AD229" s="676"/>
      <c r="AE229" s="151"/>
      <c r="AF229" s="151"/>
      <c r="AG229" s="151"/>
      <c r="AH229" s="19"/>
      <c r="AI229" s="151"/>
    </row>
    <row r="230" spans="1:35" ht="13.5" customHeight="1">
      <c r="A230" s="400"/>
      <c r="B230" s="465"/>
      <c r="C230" s="456"/>
      <c r="D230" s="456"/>
      <c r="E230" s="456"/>
      <c r="F230" s="574"/>
      <c r="G230" s="452"/>
      <c r="H230" s="626"/>
      <c r="I230" s="465"/>
      <c r="J230" s="456"/>
      <c r="K230" s="456"/>
      <c r="L230" s="456"/>
      <c r="M230" s="574"/>
      <c r="N230" s="452"/>
      <c r="O230" s="626"/>
      <c r="P230" s="465"/>
      <c r="Q230" s="456"/>
      <c r="R230" s="456"/>
      <c r="S230" s="456"/>
      <c r="T230" s="574"/>
      <c r="U230" s="452"/>
      <c r="V230" s="626"/>
      <c r="W230" s="465"/>
      <c r="X230" s="456"/>
      <c r="Y230" s="456"/>
      <c r="Z230" s="456"/>
      <c r="AA230" s="574"/>
      <c r="AB230" s="452"/>
      <c r="AC230" s="626"/>
      <c r="AD230" s="465"/>
      <c r="AE230" s="456"/>
      <c r="AF230" s="456"/>
      <c r="AG230" s="456"/>
      <c r="AH230" s="574"/>
      <c r="AI230" s="456"/>
    </row>
    <row r="231" spans="1:35" ht="13.5" customHeight="1">
      <c r="A231" s="400"/>
      <c r="B231" s="915" t="s">
        <v>288</v>
      </c>
      <c r="C231" s="916"/>
      <c r="D231" s="916"/>
      <c r="E231" s="916"/>
      <c r="F231" s="916"/>
      <c r="G231" s="874"/>
      <c r="H231" s="626"/>
      <c r="I231" s="915" t="s">
        <v>288</v>
      </c>
      <c r="J231" s="916"/>
      <c r="K231" s="916"/>
      <c r="L231" s="916"/>
      <c r="M231" s="916"/>
      <c r="N231" s="874"/>
      <c r="O231" s="626"/>
      <c r="P231" s="915" t="s">
        <v>288</v>
      </c>
      <c r="Q231" s="916"/>
      <c r="R231" s="916"/>
      <c r="S231" s="916"/>
      <c r="T231" s="916"/>
      <c r="U231" s="874"/>
      <c r="V231" s="626"/>
      <c r="W231" s="915" t="s">
        <v>288</v>
      </c>
      <c r="X231" s="916"/>
      <c r="Y231" s="916"/>
      <c r="Z231" s="916"/>
      <c r="AA231" s="916"/>
      <c r="AB231" s="874"/>
      <c r="AC231" s="626"/>
      <c r="AD231" s="915" t="s">
        <v>288</v>
      </c>
      <c r="AE231" s="916"/>
      <c r="AF231" s="916"/>
      <c r="AG231" s="916"/>
      <c r="AH231" s="916"/>
      <c r="AI231" s="874"/>
    </row>
    <row r="232" spans="1:35" ht="13.5" customHeight="1">
      <c r="A232" s="400"/>
      <c r="B232" s="826"/>
      <c r="C232" s="27"/>
      <c r="D232" s="27"/>
      <c r="E232" s="391"/>
      <c r="F232" s="269"/>
      <c r="G232" s="207"/>
      <c r="H232" s="626"/>
      <c r="I232" s="826"/>
      <c r="J232" s="27"/>
      <c r="K232" s="27"/>
      <c r="L232" s="391"/>
      <c r="M232" s="269"/>
      <c r="N232" s="207"/>
      <c r="O232" s="626"/>
      <c r="P232" s="826"/>
      <c r="Q232" s="27"/>
      <c r="R232" s="27"/>
      <c r="S232" s="391"/>
      <c r="T232" s="269"/>
      <c r="U232" s="207"/>
      <c r="V232" s="626"/>
      <c r="W232" s="826"/>
      <c r="X232" s="27"/>
      <c r="Y232" s="27"/>
      <c r="Z232" s="391"/>
      <c r="AA232" s="269"/>
      <c r="AB232" s="207"/>
      <c r="AC232" s="626"/>
      <c r="AD232" s="826"/>
      <c r="AE232" s="27"/>
      <c r="AF232" s="27"/>
      <c r="AG232" s="391"/>
      <c r="AH232" s="269"/>
      <c r="AI232" s="207"/>
    </row>
    <row r="233" spans="1:35" ht="13.5" customHeight="1">
      <c r="A233" s="400"/>
      <c r="B233" s="922" t="s">
        <v>289</v>
      </c>
      <c r="C233" s="923"/>
      <c r="D233" s="370">
        <f>C200</f>
        <v>201000</v>
      </c>
      <c r="E233" s="676"/>
      <c r="F233" s="19"/>
      <c r="G233" s="400"/>
      <c r="H233" s="626"/>
      <c r="I233" s="922" t="s">
        <v>289</v>
      </c>
      <c r="J233" s="923"/>
      <c r="K233" s="370">
        <f>J200</f>
        <v>201000</v>
      </c>
      <c r="L233" s="676"/>
      <c r="M233" s="19"/>
      <c r="N233" s="400"/>
      <c r="O233" s="626"/>
      <c r="P233" s="922" t="s">
        <v>289</v>
      </c>
      <c r="Q233" s="923"/>
      <c r="R233" s="370">
        <f>Q200</f>
        <v>261000</v>
      </c>
      <c r="S233" s="676"/>
      <c r="T233" s="19"/>
      <c r="U233" s="400"/>
      <c r="V233" s="626"/>
      <c r="W233" s="922" t="s">
        <v>289</v>
      </c>
      <c r="X233" s="923"/>
      <c r="Y233" s="370">
        <f>X200</f>
        <v>282000</v>
      </c>
      <c r="Z233" s="676"/>
      <c r="AA233" s="19"/>
      <c r="AB233" s="400"/>
      <c r="AC233" s="626"/>
      <c r="AD233" s="922" t="s">
        <v>289</v>
      </c>
      <c r="AE233" s="923"/>
      <c r="AF233" s="370">
        <f>AE200</f>
        <v>342000</v>
      </c>
      <c r="AG233" s="676"/>
      <c r="AH233" s="19"/>
      <c r="AI233" s="400"/>
    </row>
    <row r="234" spans="1:35" ht="13.5" customHeight="1">
      <c r="A234" s="400"/>
      <c r="B234" s="922" t="s">
        <v>290</v>
      </c>
      <c r="C234" s="923"/>
      <c r="D234" s="370">
        <f>C216</f>
        <v>0</v>
      </c>
      <c r="E234" s="676"/>
      <c r="F234" s="19"/>
      <c r="G234" s="400"/>
      <c r="H234" s="626"/>
      <c r="I234" s="922" t="s">
        <v>290</v>
      </c>
      <c r="J234" s="923"/>
      <c r="K234" s="370">
        <f>J216</f>
        <v>0</v>
      </c>
      <c r="L234" s="676"/>
      <c r="M234" s="19"/>
      <c r="N234" s="400"/>
      <c r="O234" s="626"/>
      <c r="P234" s="922" t="s">
        <v>290</v>
      </c>
      <c r="Q234" s="923"/>
      <c r="R234" s="370">
        <f>Q216</f>
        <v>0</v>
      </c>
      <c r="S234" s="676"/>
      <c r="T234" s="19"/>
      <c r="U234" s="400"/>
      <c r="V234" s="626"/>
      <c r="W234" s="922" t="s">
        <v>290</v>
      </c>
      <c r="X234" s="923"/>
      <c r="Y234" s="370">
        <f>X216</f>
        <v>0</v>
      </c>
      <c r="Z234" s="676"/>
      <c r="AA234" s="19"/>
      <c r="AB234" s="400"/>
      <c r="AC234" s="626"/>
      <c r="AD234" s="922" t="s">
        <v>290</v>
      </c>
      <c r="AE234" s="923"/>
      <c r="AF234" s="370">
        <f>AE216</f>
        <v>0</v>
      </c>
      <c r="AG234" s="676"/>
      <c r="AH234" s="19"/>
      <c r="AI234" s="400"/>
    </row>
    <row r="235" spans="1:35" ht="13.5" customHeight="1">
      <c r="A235" s="400"/>
      <c r="B235" s="924" t="s">
        <v>218</v>
      </c>
      <c r="C235" s="925"/>
      <c r="D235" s="698">
        <f>D226</f>
        <v>0</v>
      </c>
      <c r="E235" s="676"/>
      <c r="F235" s="19"/>
      <c r="G235" s="400"/>
      <c r="H235" s="626"/>
      <c r="I235" s="924" t="s">
        <v>218</v>
      </c>
      <c r="J235" s="925"/>
      <c r="K235" s="698">
        <f>K226</f>
        <v>0</v>
      </c>
      <c r="L235" s="676"/>
      <c r="M235" s="19"/>
      <c r="N235" s="400"/>
      <c r="O235" s="626"/>
      <c r="P235" s="924" t="s">
        <v>218</v>
      </c>
      <c r="Q235" s="925"/>
      <c r="R235" s="698">
        <f>R226</f>
        <v>0</v>
      </c>
      <c r="S235" s="676"/>
      <c r="T235" s="19"/>
      <c r="U235" s="400"/>
      <c r="V235" s="626"/>
      <c r="W235" s="924" t="s">
        <v>218</v>
      </c>
      <c r="X235" s="925"/>
      <c r="Y235" s="698">
        <f>Y226</f>
        <v>0</v>
      </c>
      <c r="Z235" s="676"/>
      <c r="AA235" s="19"/>
      <c r="AB235" s="400"/>
      <c r="AC235" s="626"/>
      <c r="AD235" s="924" t="s">
        <v>218</v>
      </c>
      <c r="AE235" s="925"/>
      <c r="AF235" s="698">
        <f>AF226</f>
        <v>0</v>
      </c>
      <c r="AG235" s="676"/>
      <c r="AH235" s="19"/>
      <c r="AI235" s="400"/>
    </row>
    <row r="236" spans="1:35" ht="13.5" customHeight="1">
      <c r="A236" s="400"/>
      <c r="B236" s="35" t="s">
        <v>219</v>
      </c>
      <c r="C236" s="561"/>
      <c r="D236" s="370">
        <f>SUM(D233:D235)</f>
        <v>201000</v>
      </c>
      <c r="E236" s="676"/>
      <c r="F236" s="19"/>
      <c r="G236" s="400"/>
      <c r="H236" s="626"/>
      <c r="I236" s="35" t="s">
        <v>219</v>
      </c>
      <c r="J236" s="561"/>
      <c r="K236" s="370">
        <f>SUM(K233:K235)</f>
        <v>201000</v>
      </c>
      <c r="L236" s="676"/>
      <c r="M236" s="19"/>
      <c r="N236" s="400"/>
      <c r="O236" s="626"/>
      <c r="P236" s="35" t="s">
        <v>219</v>
      </c>
      <c r="Q236" s="561"/>
      <c r="R236" s="370">
        <f>SUM(R233:R235)</f>
        <v>261000</v>
      </c>
      <c r="S236" s="676"/>
      <c r="T236" s="19"/>
      <c r="U236" s="400"/>
      <c r="V236" s="626"/>
      <c r="W236" s="35" t="s">
        <v>219</v>
      </c>
      <c r="X236" s="561"/>
      <c r="Y236" s="370">
        <f>SUM(Y233:Y235)</f>
        <v>282000</v>
      </c>
      <c r="Z236" s="676"/>
      <c r="AA236" s="19"/>
      <c r="AB236" s="400"/>
      <c r="AC236" s="626"/>
      <c r="AD236" s="35" t="s">
        <v>219</v>
      </c>
      <c r="AE236" s="561"/>
      <c r="AF236" s="370">
        <f>SUM(AF233:AF235)</f>
        <v>342000</v>
      </c>
      <c r="AG236" s="676"/>
      <c r="AH236" s="19"/>
      <c r="AI236" s="400"/>
    </row>
    <row r="237" spans="1:35">
      <c r="A237" s="400"/>
      <c r="B237" s="578"/>
      <c r="C237" s="391"/>
      <c r="D237" s="391"/>
      <c r="E237" s="151"/>
      <c r="F237" s="19"/>
      <c r="G237" s="400"/>
      <c r="H237" s="626"/>
      <c r="I237" s="578"/>
      <c r="J237" s="391"/>
      <c r="K237" s="391"/>
      <c r="L237" s="151"/>
      <c r="M237" s="19"/>
      <c r="N237" s="400"/>
      <c r="O237" s="626"/>
      <c r="P237" s="578"/>
      <c r="Q237" s="391"/>
      <c r="R237" s="391"/>
      <c r="S237" s="151"/>
      <c r="T237" s="19"/>
      <c r="U237" s="400"/>
      <c r="V237" s="626"/>
      <c r="W237" s="578"/>
      <c r="X237" s="391"/>
      <c r="Y237" s="391"/>
      <c r="Z237" s="151"/>
      <c r="AA237" s="19"/>
      <c r="AB237" s="400"/>
      <c r="AC237" s="626"/>
      <c r="AD237" s="578"/>
      <c r="AE237" s="391"/>
      <c r="AF237" s="391"/>
      <c r="AG237" s="151"/>
      <c r="AH237" s="19"/>
      <c r="AI237" s="400"/>
    </row>
    <row r="238" spans="1:35">
      <c r="A238" s="400"/>
      <c r="B238" s="676"/>
      <c r="C238" s="151"/>
      <c r="D238" s="151"/>
      <c r="E238" s="151"/>
      <c r="F238" s="19"/>
      <c r="G238" s="400"/>
      <c r="H238" s="626"/>
      <c r="I238" s="676"/>
      <c r="J238" s="151"/>
      <c r="K238" s="151"/>
      <c r="L238" s="151"/>
      <c r="M238" s="19"/>
      <c r="N238" s="400"/>
      <c r="O238" s="626"/>
      <c r="P238" s="676"/>
      <c r="Q238" s="151"/>
      <c r="R238" s="151"/>
      <c r="S238" s="151"/>
      <c r="T238" s="19"/>
      <c r="U238" s="400"/>
      <c r="V238" s="626"/>
      <c r="W238" s="676"/>
      <c r="X238" s="151"/>
      <c r="Y238" s="151"/>
      <c r="Z238" s="151"/>
      <c r="AA238" s="19"/>
      <c r="AB238" s="400"/>
      <c r="AC238" s="626"/>
      <c r="AD238" s="676"/>
      <c r="AE238" s="151"/>
      <c r="AF238" s="151"/>
      <c r="AG238" s="151"/>
      <c r="AH238" s="19"/>
      <c r="AI238" s="400"/>
    </row>
    <row r="239" spans="1:35" ht="13.5" customHeight="1">
      <c r="A239" s="400"/>
      <c r="B239" s="465"/>
      <c r="C239" s="456"/>
      <c r="D239" s="456"/>
      <c r="E239" s="456"/>
      <c r="F239" s="574"/>
      <c r="G239" s="452"/>
      <c r="H239" s="539"/>
      <c r="I239" s="465"/>
      <c r="J239" s="456"/>
      <c r="K239" s="456"/>
      <c r="L239" s="456"/>
      <c r="M239" s="574"/>
      <c r="N239" s="452"/>
      <c r="O239" s="539"/>
      <c r="P239" s="465"/>
      <c r="Q239" s="456"/>
      <c r="R239" s="456"/>
      <c r="S239" s="456"/>
      <c r="T239" s="574"/>
      <c r="U239" s="452"/>
      <c r="V239" s="539"/>
      <c r="W239" s="465"/>
      <c r="X239" s="456"/>
      <c r="Y239" s="456"/>
      <c r="Z239" s="456"/>
      <c r="AA239" s="574"/>
      <c r="AB239" s="452"/>
      <c r="AC239" s="539"/>
      <c r="AD239" s="465"/>
      <c r="AE239" s="456"/>
      <c r="AF239" s="456"/>
      <c r="AG239" s="456"/>
      <c r="AH239" s="574"/>
      <c r="AI239" s="452"/>
    </row>
  </sheetData>
  <mergeCells count="214">
    <mergeCell ref="B234:C234"/>
    <mergeCell ref="I234:J234"/>
    <mergeCell ref="P234:Q234"/>
    <mergeCell ref="W234:X234"/>
    <mergeCell ref="AD234:AE234"/>
    <mergeCell ref="B235:C235"/>
    <mergeCell ref="I235:J235"/>
    <mergeCell ref="P235:Q235"/>
    <mergeCell ref="W235:X235"/>
    <mergeCell ref="AD235:AE235"/>
    <mergeCell ref="B231:G231"/>
    <mergeCell ref="I231:N231"/>
    <mergeCell ref="P231:U231"/>
    <mergeCell ref="W231:AB231"/>
    <mergeCell ref="AD231:AI231"/>
    <mergeCell ref="B233:C233"/>
    <mergeCell ref="I233:J233"/>
    <mergeCell ref="P233:Q233"/>
    <mergeCell ref="W233:X233"/>
    <mergeCell ref="AD233:AE233"/>
    <mergeCell ref="B223:G223"/>
    <mergeCell ref="I223:N223"/>
    <mergeCell ref="P223:U223"/>
    <mergeCell ref="W223:AB223"/>
    <mergeCell ref="AD223:AI223"/>
    <mergeCell ref="B226:C226"/>
    <mergeCell ref="I226:J226"/>
    <mergeCell ref="P226:Q226"/>
    <mergeCell ref="W226:X226"/>
    <mergeCell ref="AD226:AE226"/>
    <mergeCell ref="Z207:Z208"/>
    <mergeCell ref="AA207:AA208"/>
    <mergeCell ref="AD207:AD208"/>
    <mergeCell ref="AE207:AE208"/>
    <mergeCell ref="AF207:AF208"/>
    <mergeCell ref="AG207:AG208"/>
    <mergeCell ref="AH207:AH208"/>
    <mergeCell ref="B222:G222"/>
    <mergeCell ref="I222:N222"/>
    <mergeCell ref="P222:U222"/>
    <mergeCell ref="W222:AB222"/>
    <mergeCell ref="AD222:AI222"/>
    <mergeCell ref="M207:M208"/>
    <mergeCell ref="P207:P208"/>
    <mergeCell ref="Q207:Q208"/>
    <mergeCell ref="R207:R208"/>
    <mergeCell ref="S207:S208"/>
    <mergeCell ref="T207:T208"/>
    <mergeCell ref="W207:W208"/>
    <mergeCell ref="X207:X208"/>
    <mergeCell ref="Y207:Y208"/>
    <mergeCell ref="B207:B208"/>
    <mergeCell ref="C207:C208"/>
    <mergeCell ref="D207:D208"/>
    <mergeCell ref="E207:E208"/>
    <mergeCell ref="F207:F208"/>
    <mergeCell ref="I207:I208"/>
    <mergeCell ref="J207:J208"/>
    <mergeCell ref="K207:K208"/>
    <mergeCell ref="L207:L208"/>
    <mergeCell ref="B186:G187"/>
    <mergeCell ref="I186:N187"/>
    <mergeCell ref="P186:U187"/>
    <mergeCell ref="W186:AB187"/>
    <mergeCell ref="AD186:AI187"/>
    <mergeCell ref="B205:G206"/>
    <mergeCell ref="I205:N206"/>
    <mergeCell ref="P205:U206"/>
    <mergeCell ref="W205:AB206"/>
    <mergeCell ref="AD205:AI206"/>
    <mergeCell ref="B184:C184"/>
    <mergeCell ref="I184:J184"/>
    <mergeCell ref="P184:Q184"/>
    <mergeCell ref="W184:X184"/>
    <mergeCell ref="AD184:AE184"/>
    <mergeCell ref="B185:G185"/>
    <mergeCell ref="I185:N185"/>
    <mergeCell ref="P185:U185"/>
    <mergeCell ref="W185:AB185"/>
    <mergeCell ref="AD185:AI185"/>
    <mergeCell ref="B179:G180"/>
    <mergeCell ref="I179:N180"/>
    <mergeCell ref="P179:U180"/>
    <mergeCell ref="W179:AB180"/>
    <mergeCell ref="AD179:AI180"/>
    <mergeCell ref="B181:G182"/>
    <mergeCell ref="I181:N182"/>
    <mergeCell ref="P181:U182"/>
    <mergeCell ref="W181:AB182"/>
    <mergeCell ref="AD181:AI182"/>
    <mergeCell ref="B158:F158"/>
    <mergeCell ref="I158:M158"/>
    <mergeCell ref="P158:T158"/>
    <mergeCell ref="W158:AA158"/>
    <mergeCell ref="AD158:AH158"/>
    <mergeCell ref="B164:F165"/>
    <mergeCell ref="I164:M165"/>
    <mergeCell ref="P164:T165"/>
    <mergeCell ref="W164:AA165"/>
    <mergeCell ref="AD164:AH165"/>
    <mergeCell ref="B147:C147"/>
    <mergeCell ref="I147:J147"/>
    <mergeCell ref="P147:Q147"/>
    <mergeCell ref="W147:X147"/>
    <mergeCell ref="AD147:AE147"/>
    <mergeCell ref="B154:F154"/>
    <mergeCell ref="I154:M154"/>
    <mergeCell ref="P154:T154"/>
    <mergeCell ref="W154:AA154"/>
    <mergeCell ref="AD154:AH154"/>
    <mergeCell ref="B135:C135"/>
    <mergeCell ref="I135:J135"/>
    <mergeCell ref="P135:Q135"/>
    <mergeCell ref="W135:X135"/>
    <mergeCell ref="AD135:AE135"/>
    <mergeCell ref="B141:C141"/>
    <mergeCell ref="I141:J141"/>
    <mergeCell ref="P141:Q141"/>
    <mergeCell ref="W141:X141"/>
    <mergeCell ref="AD141:AE141"/>
    <mergeCell ref="B115:C115"/>
    <mergeCell ref="G115:H115"/>
    <mergeCell ref="I115:J115"/>
    <mergeCell ref="P115:Q115"/>
    <mergeCell ref="W115:X115"/>
    <mergeCell ref="AD115:AE115"/>
    <mergeCell ref="B123:F123"/>
    <mergeCell ref="I123:M123"/>
    <mergeCell ref="P123:T123"/>
    <mergeCell ref="W123:AA123"/>
    <mergeCell ref="AD123:AH123"/>
    <mergeCell ref="B103:C103"/>
    <mergeCell ref="G103:H103"/>
    <mergeCell ref="I103:J103"/>
    <mergeCell ref="P103:Q103"/>
    <mergeCell ref="W103:X103"/>
    <mergeCell ref="AD103:AE103"/>
    <mergeCell ref="B109:C109"/>
    <mergeCell ref="G109:H109"/>
    <mergeCell ref="I109:J109"/>
    <mergeCell ref="P109:Q109"/>
    <mergeCell ref="W109:X109"/>
    <mergeCell ref="AD109:AE109"/>
    <mergeCell ref="B91:F91"/>
    <mergeCell ref="I91:M91"/>
    <mergeCell ref="P91:T91"/>
    <mergeCell ref="W91:AA91"/>
    <mergeCell ref="AD91:AH91"/>
    <mergeCell ref="B92:F92"/>
    <mergeCell ref="I92:M92"/>
    <mergeCell ref="P92:T92"/>
    <mergeCell ref="W92:AA92"/>
    <mergeCell ref="AD92:AH92"/>
    <mergeCell ref="B77:C77"/>
    <mergeCell ref="I77:J77"/>
    <mergeCell ref="P77:Q77"/>
    <mergeCell ref="W77:X77"/>
    <mergeCell ref="AD77:AE77"/>
    <mergeCell ref="B83:C83"/>
    <mergeCell ref="I83:J83"/>
    <mergeCell ref="P83:Q83"/>
    <mergeCell ref="W83:X83"/>
    <mergeCell ref="AD83:AE83"/>
    <mergeCell ref="B58:F58"/>
    <mergeCell ref="I58:M58"/>
    <mergeCell ref="P58:T58"/>
    <mergeCell ref="W58:AA58"/>
    <mergeCell ref="AD58:AH58"/>
    <mergeCell ref="B71:C71"/>
    <mergeCell ref="I71:J71"/>
    <mergeCell ref="P71:Q71"/>
    <mergeCell ref="W71:X71"/>
    <mergeCell ref="AD71:AE71"/>
    <mergeCell ref="B41:C41"/>
    <mergeCell ref="I41:J41"/>
    <mergeCell ref="P41:Q41"/>
    <mergeCell ref="W41:X41"/>
    <mergeCell ref="AD41:AE41"/>
    <mergeCell ref="B57:F57"/>
    <mergeCell ref="I57:M57"/>
    <mergeCell ref="P57:T57"/>
    <mergeCell ref="W57:AA57"/>
    <mergeCell ref="AD57:AH57"/>
    <mergeCell ref="B23:F23"/>
    <mergeCell ref="I23:M23"/>
    <mergeCell ref="P23:T23"/>
    <mergeCell ref="W23:AA23"/>
    <mergeCell ref="AD23:AH23"/>
    <mergeCell ref="B35:C35"/>
    <mergeCell ref="I35:J35"/>
    <mergeCell ref="P35:Q35"/>
    <mergeCell ref="W35:X35"/>
    <mergeCell ref="AD35:AE35"/>
    <mergeCell ref="B9:C9"/>
    <mergeCell ref="I9:J9"/>
    <mergeCell ref="P9:Q9"/>
    <mergeCell ref="W9:X9"/>
    <mergeCell ref="AD9:AE9"/>
    <mergeCell ref="B21:F22"/>
    <mergeCell ref="I21:M22"/>
    <mergeCell ref="P21:T22"/>
    <mergeCell ref="W21:AA22"/>
    <mergeCell ref="AD21:AH22"/>
    <mergeCell ref="B1:C1"/>
    <mergeCell ref="B6:G6"/>
    <mergeCell ref="I6:N6"/>
    <mergeCell ref="P6:U6"/>
    <mergeCell ref="W6:AB6"/>
    <mergeCell ref="AD6:AI6"/>
    <mergeCell ref="B7:G7"/>
    <mergeCell ref="I7:N7"/>
    <mergeCell ref="P7:U7"/>
    <mergeCell ref="W7:AB7"/>
    <mergeCell ref="AD7:AI7"/>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306"/>
  <sheetViews>
    <sheetView workbookViewId="0">
      <selection activeCell="I5" sqref="I5"/>
    </sheetView>
  </sheetViews>
  <sheetFormatPr baseColWidth="10" defaultColWidth="8.6640625" defaultRowHeight="12.75" customHeight="1"/>
  <cols>
    <col min="1" max="1" width="4.5" style="151" customWidth="1"/>
    <col min="2" max="2" width="112" customWidth="1"/>
    <col min="3" max="3" width="14.1640625" hidden="1" customWidth="1"/>
    <col min="4" max="4" width="1.5" customWidth="1"/>
    <col min="5" max="5" width="13.6640625" style="19" customWidth="1"/>
    <col min="6" max="6" width="1.5" style="19" customWidth="1"/>
    <col min="7" max="7" width="13.5" style="19" customWidth="1"/>
    <col min="8" max="8" width="1.5" style="19" customWidth="1"/>
    <col min="9" max="9" width="13.6640625" style="19" customWidth="1"/>
    <col min="10" max="10" width="1.5" style="19" customWidth="1"/>
    <col min="11" max="11" width="13.83203125" style="19" customWidth="1"/>
    <col min="12" max="12" width="1.5" style="19" customWidth="1"/>
    <col min="13" max="13" width="13.5" style="19" customWidth="1"/>
    <col min="17" max="17" width="22.5" hidden="1" customWidth="1"/>
    <col min="18" max="18" width="0" hidden="1" customWidth="1"/>
  </cols>
  <sheetData>
    <row r="1" spans="1:18" ht="18.75" customHeight="1">
      <c r="A1" s="400"/>
      <c r="B1" s="205" t="str">
        <f>'Budget with Assumptions'!A2</f>
        <v>Horizon Science Academy South Chicago</v>
      </c>
      <c r="C1" s="676"/>
      <c r="D1" s="151"/>
      <c r="N1" s="151"/>
      <c r="O1" s="151"/>
      <c r="P1" s="151"/>
      <c r="Q1" s="151"/>
      <c r="R1" s="151"/>
    </row>
    <row r="2" spans="1:18" ht="13.5" customHeight="1">
      <c r="B2" s="92"/>
      <c r="C2" s="151"/>
      <c r="D2" s="151"/>
      <c r="E2" s="635"/>
      <c r="N2" s="151"/>
      <c r="O2" s="151"/>
      <c r="P2" s="151"/>
      <c r="Q2" s="151"/>
      <c r="R2" s="151"/>
    </row>
    <row r="3" spans="1:18" s="847" customFormat="1" ht="16.5" customHeight="1">
      <c r="A3" s="150"/>
      <c r="B3" s="926" t="s">
        <v>220</v>
      </c>
      <c r="C3" s="328"/>
      <c r="D3" s="729"/>
      <c r="E3" s="928" t="s">
        <v>191</v>
      </c>
      <c r="F3" s="272"/>
      <c r="G3" s="153"/>
      <c r="H3" s="153"/>
      <c r="I3" s="153"/>
      <c r="J3" s="153"/>
      <c r="K3" s="153"/>
      <c r="L3" s="153"/>
      <c r="M3" s="153"/>
      <c r="N3" s="418"/>
      <c r="O3" s="418"/>
      <c r="P3" s="418"/>
      <c r="Q3" s="418"/>
      <c r="R3" s="418"/>
    </row>
    <row r="4" spans="1:18" ht="13.5" customHeight="1">
      <c r="B4" s="927"/>
      <c r="C4" s="676"/>
      <c r="D4" s="151"/>
      <c r="E4" s="929"/>
      <c r="F4" s="57"/>
      <c r="N4" s="151"/>
      <c r="O4" s="151"/>
      <c r="P4" s="151"/>
      <c r="Q4" s="151"/>
      <c r="R4" s="151"/>
    </row>
    <row r="5" spans="1:18">
      <c r="B5" s="391"/>
      <c r="C5" s="151"/>
      <c r="D5" s="151"/>
      <c r="E5" s="615"/>
      <c r="N5" s="151"/>
      <c r="O5" s="151"/>
      <c r="P5" s="151"/>
      <c r="Q5" s="151"/>
      <c r="R5" s="151"/>
    </row>
    <row r="6" spans="1:18" ht="13.5" customHeight="1">
      <c r="B6" s="151"/>
      <c r="C6" s="232"/>
      <c r="D6" s="232"/>
      <c r="E6" s="734"/>
      <c r="F6" s="734"/>
      <c r="G6" s="734"/>
      <c r="H6" s="734"/>
      <c r="I6" s="734"/>
      <c r="J6" s="734"/>
      <c r="K6" s="734"/>
      <c r="L6" s="734"/>
      <c r="M6" s="734"/>
      <c r="N6" s="151"/>
      <c r="O6" s="151"/>
      <c r="P6" s="151"/>
      <c r="Q6" s="151"/>
      <c r="R6" s="151"/>
    </row>
    <row r="7" spans="1:18" ht="13.5" customHeight="1">
      <c r="B7" s="203"/>
      <c r="C7" s="456"/>
      <c r="D7" s="452"/>
      <c r="E7" s="915" t="s">
        <v>484</v>
      </c>
      <c r="F7" s="916"/>
      <c r="G7" s="916"/>
      <c r="H7" s="916"/>
      <c r="I7" s="916"/>
      <c r="J7" s="916"/>
      <c r="K7" s="916"/>
      <c r="L7" s="916"/>
      <c r="M7" s="874"/>
      <c r="N7" s="676"/>
      <c r="O7" s="151"/>
      <c r="P7" s="151"/>
      <c r="Q7" s="151"/>
      <c r="R7" s="151"/>
    </row>
    <row r="8" spans="1:18" ht="16.5" customHeight="1">
      <c r="A8" s="400"/>
      <c r="B8" s="293" t="s">
        <v>222</v>
      </c>
      <c r="C8" s="481" t="s">
        <v>223</v>
      </c>
      <c r="D8" s="833"/>
      <c r="E8" s="841">
        <f>'Budget with Assumptions'!L9</f>
        <v>1</v>
      </c>
      <c r="F8" s="841"/>
      <c r="G8" s="841">
        <f>'Budget with Assumptions'!N9</f>
        <v>2</v>
      </c>
      <c r="H8" s="841"/>
      <c r="I8" s="841">
        <f>'Budget with Assumptions'!P9</f>
        <v>3</v>
      </c>
      <c r="J8" s="841"/>
      <c r="K8" s="841">
        <f>'Budget with Assumptions'!R9</f>
        <v>4</v>
      </c>
      <c r="L8" s="841"/>
      <c r="M8" s="841">
        <f>'Budget with Assumptions'!T9</f>
        <v>5</v>
      </c>
      <c r="N8" s="676"/>
      <c r="O8" s="151"/>
      <c r="P8" s="151"/>
      <c r="Q8" s="151"/>
      <c r="R8" s="151"/>
    </row>
    <row r="9" spans="1:18">
      <c r="A9" s="493"/>
      <c r="B9" s="516" t="s">
        <v>224</v>
      </c>
      <c r="C9" s="600"/>
      <c r="D9" s="433"/>
      <c r="E9" s="298">
        <f>E97</f>
        <v>450</v>
      </c>
      <c r="F9" s="346"/>
      <c r="G9" s="298">
        <f>G97</f>
        <v>525</v>
      </c>
      <c r="H9" s="346"/>
      <c r="I9" s="298">
        <f>I97</f>
        <v>595</v>
      </c>
      <c r="J9" s="346"/>
      <c r="K9" s="298">
        <f>K97</f>
        <v>665</v>
      </c>
      <c r="L9" s="346"/>
      <c r="M9" s="298">
        <f>M97</f>
        <v>735</v>
      </c>
      <c r="N9" s="85"/>
      <c r="O9" s="151"/>
      <c r="P9" s="151"/>
      <c r="Q9" s="151"/>
      <c r="R9" s="151"/>
    </row>
    <row r="10" spans="1:18">
      <c r="A10" s="493"/>
      <c r="B10" s="632" t="s">
        <v>225</v>
      </c>
      <c r="C10" s="341"/>
      <c r="D10" s="433"/>
      <c r="E10" s="178">
        <f>IF(ISERROR(VLOOKUP($E$3, 'FRL1'!$A$1:$B$19, 2, 0)), 0.83, VLOOKUP($E$3, 'FRL1'!$A$1:$B$19, 2, 0))</f>
        <v>0.93</v>
      </c>
      <c r="F10" s="309"/>
      <c r="G10" s="178">
        <f>IF(ISERROR(VLOOKUP($E$3, 'FRL1'!$A$1:$B$19, 2, 0)), 0.83, VLOOKUP($E$3, 'FRL1'!$A$1:$B$19, 2, 0))</f>
        <v>0.93</v>
      </c>
      <c r="H10" s="309"/>
      <c r="I10" s="178">
        <f>IF(ISERROR(VLOOKUP($E$3, 'FRL1'!$A$1:$B$19, 2, 0)), 0.83, VLOOKUP($E$3, 'FRL1'!$A$1:$B$19, 2, 0))</f>
        <v>0.93</v>
      </c>
      <c r="J10" s="309"/>
      <c r="K10" s="178">
        <f>IF(ISERROR(VLOOKUP($E$3, 'FRL1'!$A$1:$B$19, 2, 0)), 0.83, VLOOKUP($E$3, 'FRL1'!$A$1:$B$19, 2, 0))</f>
        <v>0.93</v>
      </c>
      <c r="L10" s="309"/>
      <c r="M10" s="178">
        <f>IF(ISERROR(VLOOKUP($E$3, 'FRL1'!$A$1:$B$19, 2, 0)), 0.83, VLOOKUP($E$3, 'FRL1'!$A$1:$B$19, 2, 0))</f>
        <v>0.93</v>
      </c>
      <c r="N10" s="85"/>
      <c r="O10" s="151"/>
      <c r="P10" s="151"/>
      <c r="Q10" s="151"/>
      <c r="R10" s="151"/>
    </row>
    <row r="11" spans="1:18">
      <c r="A11" s="493"/>
      <c r="B11" s="632" t="s">
        <v>226</v>
      </c>
      <c r="C11" s="277"/>
      <c r="D11" s="464"/>
      <c r="E11" s="217">
        <f>ROUND((E9*E10), 0)</f>
        <v>419</v>
      </c>
      <c r="F11" s="95"/>
      <c r="G11" s="217">
        <f>ROUND((G9*G10), 0)</f>
        <v>488</v>
      </c>
      <c r="H11" s="95"/>
      <c r="I11" s="217">
        <f>ROUND((I9*I10), 0)</f>
        <v>553</v>
      </c>
      <c r="J11" s="95"/>
      <c r="K11" s="217">
        <f>ROUND((K9*K10), 0)</f>
        <v>618</v>
      </c>
      <c r="L11" s="95"/>
      <c r="M11" s="217">
        <f>ROUND((M9*M10), 0)</f>
        <v>684</v>
      </c>
      <c r="N11" s="85"/>
      <c r="O11" s="151"/>
      <c r="P11" s="151"/>
      <c r="Q11" s="151"/>
      <c r="R11" s="151"/>
    </row>
    <row r="12" spans="1:18" ht="13.5" customHeight="1">
      <c r="A12" s="493"/>
      <c r="B12" s="281" t="s">
        <v>227</v>
      </c>
      <c r="C12" s="736">
        <v>740</v>
      </c>
      <c r="D12" s="736"/>
      <c r="E12" s="467">
        <v>790</v>
      </c>
      <c r="F12" s="691"/>
      <c r="G12" s="467">
        <f>$E$12</f>
        <v>790</v>
      </c>
      <c r="H12" s="586"/>
      <c r="I12" s="467">
        <f>$E$12</f>
        <v>790</v>
      </c>
      <c r="J12" s="586"/>
      <c r="K12" s="467">
        <f>$E$12</f>
        <v>790</v>
      </c>
      <c r="L12" s="586"/>
      <c r="M12" s="467">
        <f>$E$12</f>
        <v>790</v>
      </c>
      <c r="N12" s="85"/>
      <c r="O12" s="151"/>
      <c r="P12" s="151"/>
      <c r="Q12" s="151"/>
      <c r="R12" s="151"/>
    </row>
    <row r="13" spans="1:18" ht="16.5" customHeight="1">
      <c r="A13" s="400"/>
      <c r="B13" s="293" t="s">
        <v>228</v>
      </c>
      <c r="C13" s="527" t="e">
        <f>#REF!*C12</f>
        <v>#REF!</v>
      </c>
      <c r="D13" s="527"/>
      <c r="E13" s="201">
        <f>E11*E12</f>
        <v>331010</v>
      </c>
      <c r="F13" s="382"/>
      <c r="G13" s="201">
        <f>G11*G12</f>
        <v>385520</v>
      </c>
      <c r="H13" s="382"/>
      <c r="I13" s="201">
        <f>I11*I12</f>
        <v>436870</v>
      </c>
      <c r="J13" s="382"/>
      <c r="K13" s="201">
        <f>K11*K12</f>
        <v>488220</v>
      </c>
      <c r="L13" s="382"/>
      <c r="M13" s="201">
        <f>M11*M12</f>
        <v>540360</v>
      </c>
      <c r="N13" s="676"/>
      <c r="O13" s="151"/>
      <c r="P13" s="151"/>
      <c r="Q13" s="151"/>
      <c r="R13" s="151"/>
    </row>
    <row r="14" spans="1:18" s="518" customFormat="1" ht="15.75" customHeight="1">
      <c r="B14" s="448"/>
      <c r="C14" s="160"/>
      <c r="D14" s="160"/>
      <c r="E14" s="659"/>
      <c r="F14" s="659"/>
      <c r="G14" s="659"/>
      <c r="H14" s="659"/>
      <c r="I14" s="659"/>
      <c r="J14" s="659"/>
      <c r="K14" s="659"/>
      <c r="L14" s="659"/>
      <c r="M14" s="659"/>
    </row>
    <row r="15" spans="1:18" s="518" customFormat="1" ht="16.5" customHeight="1">
      <c r="B15" s="120"/>
      <c r="C15" s="421"/>
      <c r="D15" s="421"/>
      <c r="E15" s="246"/>
      <c r="F15" s="246"/>
      <c r="G15" s="246"/>
      <c r="H15" s="246"/>
      <c r="I15" s="246"/>
      <c r="J15" s="246"/>
      <c r="K15" s="246"/>
      <c r="L15" s="246"/>
      <c r="M15" s="246"/>
    </row>
    <row r="16" spans="1:18" s="518" customFormat="1" ht="16.5" customHeight="1">
      <c r="A16" s="582"/>
      <c r="B16" s="293" t="s">
        <v>229</v>
      </c>
      <c r="C16" s="620"/>
      <c r="D16" s="376"/>
      <c r="E16" s="251">
        <f>E8</f>
        <v>1</v>
      </c>
      <c r="F16" s="636"/>
      <c r="G16" s="251">
        <f>G8</f>
        <v>2</v>
      </c>
      <c r="H16" s="636"/>
      <c r="I16" s="251">
        <f>I8</f>
        <v>3</v>
      </c>
      <c r="J16" s="636"/>
      <c r="K16" s="251">
        <f>K8</f>
        <v>4</v>
      </c>
      <c r="L16" s="636"/>
      <c r="M16" s="251">
        <f>M8</f>
        <v>5</v>
      </c>
      <c r="N16" s="525"/>
    </row>
    <row r="17" spans="1:14" s="518" customFormat="1" ht="13.5" customHeight="1">
      <c r="A17" s="582"/>
      <c r="B17" s="473" t="s">
        <v>230</v>
      </c>
      <c r="C17" s="620"/>
      <c r="D17" s="579"/>
      <c r="E17" s="491">
        <f>E97</f>
        <v>450</v>
      </c>
      <c r="F17" s="66"/>
      <c r="G17" s="491">
        <f>G97</f>
        <v>525</v>
      </c>
      <c r="H17" s="66"/>
      <c r="I17" s="491">
        <f>I97</f>
        <v>595</v>
      </c>
      <c r="J17" s="66"/>
      <c r="K17" s="491">
        <f>K97</f>
        <v>665</v>
      </c>
      <c r="L17" s="66"/>
      <c r="M17" s="491">
        <f>M97</f>
        <v>735</v>
      </c>
      <c r="N17" s="854"/>
    </row>
    <row r="18" spans="1:14" s="518" customFormat="1" ht="13.5" customHeight="1">
      <c r="A18" s="582"/>
      <c r="B18" s="473" t="s">
        <v>231</v>
      </c>
      <c r="C18" s="620"/>
      <c r="D18" s="579"/>
      <c r="E18" s="361">
        <f>E10</f>
        <v>0.93</v>
      </c>
      <c r="F18" s="596"/>
      <c r="G18" s="361">
        <f>G10</f>
        <v>0.93</v>
      </c>
      <c r="H18" s="596"/>
      <c r="I18" s="361">
        <f>I10</f>
        <v>0.93</v>
      </c>
      <c r="J18" s="596"/>
      <c r="K18" s="361">
        <f>K10</f>
        <v>0.93</v>
      </c>
      <c r="L18" s="596"/>
      <c r="M18" s="361">
        <f>M10</f>
        <v>0.93</v>
      </c>
      <c r="N18" s="854"/>
    </row>
    <row r="19" spans="1:14" s="518" customFormat="1" ht="13.5" customHeight="1">
      <c r="A19" s="582"/>
      <c r="B19" s="473" t="s">
        <v>232</v>
      </c>
      <c r="C19" s="620"/>
      <c r="D19" s="579"/>
      <c r="E19" s="719">
        <f>E17*E18</f>
        <v>418.5</v>
      </c>
      <c r="F19" s="580"/>
      <c r="G19" s="719">
        <f>G17*G18</f>
        <v>488.25</v>
      </c>
      <c r="H19" s="580"/>
      <c r="I19" s="719">
        <f>I17*I18</f>
        <v>553.35</v>
      </c>
      <c r="J19" s="580"/>
      <c r="K19" s="719">
        <f>K17*K18</f>
        <v>618.45000000000005</v>
      </c>
      <c r="L19" s="580"/>
      <c r="M19" s="719">
        <f>M17*M18</f>
        <v>683.55000000000007</v>
      </c>
      <c r="N19" s="854"/>
    </row>
    <row r="20" spans="1:14" s="518" customFormat="1" ht="13.5" customHeight="1">
      <c r="A20" s="582"/>
      <c r="B20" s="473" t="s">
        <v>233</v>
      </c>
      <c r="C20" s="620"/>
      <c r="D20" s="579"/>
      <c r="E20" s="719">
        <f>ROUND((E19*0.6), 0)</f>
        <v>251</v>
      </c>
      <c r="F20" s="580">
        <f>F19*0.6</f>
        <v>0</v>
      </c>
      <c r="G20" s="719">
        <f>ROUND((G19*0.6), 0)</f>
        <v>293</v>
      </c>
      <c r="H20" s="580">
        <f>H19*0.6</f>
        <v>0</v>
      </c>
      <c r="I20" s="719">
        <f>ROUND((I19*0.6), 0)</f>
        <v>332</v>
      </c>
      <c r="J20" s="580">
        <f>J19*0.6</f>
        <v>0</v>
      </c>
      <c r="K20" s="719">
        <f>ROUND((K19*0.6), 0)</f>
        <v>371</v>
      </c>
      <c r="L20" s="580">
        <f>L19*0.6</f>
        <v>0</v>
      </c>
      <c r="M20" s="719">
        <f>ROUND((M19*0.6), 0)</f>
        <v>410</v>
      </c>
      <c r="N20" s="854"/>
    </row>
    <row r="21" spans="1:14" s="518" customFormat="1" ht="13.5" customHeight="1">
      <c r="A21" s="582"/>
      <c r="B21" s="473"/>
      <c r="C21" s="620"/>
      <c r="D21" s="579"/>
      <c r="E21" s="171"/>
      <c r="F21" s="596"/>
      <c r="G21" s="171"/>
      <c r="H21" s="596"/>
      <c r="I21" s="171"/>
      <c r="J21" s="596"/>
      <c r="K21" s="171"/>
      <c r="L21" s="596"/>
      <c r="M21" s="171"/>
      <c r="N21" s="854"/>
    </row>
    <row r="22" spans="1:14" s="518" customFormat="1" ht="13.5" customHeight="1">
      <c r="A22" s="582"/>
      <c r="B22" s="473" t="s">
        <v>234</v>
      </c>
      <c r="C22" s="620"/>
      <c r="D22" s="579"/>
      <c r="E22" s="361">
        <f>E20/E17</f>
        <v>0.55777777777777782</v>
      </c>
      <c r="F22" s="152"/>
      <c r="G22" s="361">
        <f>G20/G17</f>
        <v>0.55809523809523809</v>
      </c>
      <c r="H22" s="152"/>
      <c r="I22" s="361">
        <f>I20/I17</f>
        <v>0.55798319327731094</v>
      </c>
      <c r="J22" s="152"/>
      <c r="K22" s="361">
        <f>K20/K17</f>
        <v>0.55789473684210522</v>
      </c>
      <c r="L22" s="152"/>
      <c r="M22" s="361">
        <f>M20/M17</f>
        <v>0.55782312925170063</v>
      </c>
      <c r="N22" s="854"/>
    </row>
    <row r="23" spans="1:14" s="518" customFormat="1" ht="13.5" customHeight="1">
      <c r="A23" s="582"/>
      <c r="B23" s="473" t="s">
        <v>235</v>
      </c>
      <c r="C23" s="620"/>
      <c r="D23" s="579"/>
      <c r="E23" s="294">
        <f>IF(((100*E22)&gt;40),( ((ROUND((E22*100), 0)-40)*22)+430), 0)</f>
        <v>782</v>
      </c>
      <c r="F23" s="727"/>
      <c r="G23" s="294">
        <f>IF(((100*G22)&gt;40),( ((ROUND((G22*100), 0)-40)*22)+430), 0)</f>
        <v>782</v>
      </c>
      <c r="H23" s="727"/>
      <c r="I23" s="294">
        <f>IF(((100*I22)&gt;40),( ((ROUND((I22*100), 0)-40)*22)+430), 0)</f>
        <v>782</v>
      </c>
      <c r="J23" s="727"/>
      <c r="K23" s="294">
        <f>IF(((100*K22)&gt;40),( ((ROUND((K22*100), 0)-40)*22)+430), 0)</f>
        <v>782</v>
      </c>
      <c r="L23" s="727"/>
      <c r="M23" s="294">
        <f>IF(((100*M22)&gt;40),( ((ROUND((M22*100), 0)-40)*22)+430), 0)</f>
        <v>782</v>
      </c>
      <c r="N23" s="854"/>
    </row>
    <row r="24" spans="1:14" s="518" customFormat="1" ht="13.5" customHeight="1">
      <c r="A24" s="582"/>
      <c r="B24" s="473" t="s">
        <v>236</v>
      </c>
      <c r="C24" s="620"/>
      <c r="D24" s="376"/>
      <c r="E24" s="110">
        <f>E23*E20</f>
        <v>196282</v>
      </c>
      <c r="F24" s="735"/>
      <c r="G24" s="110">
        <f>G23*G20</f>
        <v>229126</v>
      </c>
      <c r="H24" s="735"/>
      <c r="I24" s="110">
        <f>I23*I20</f>
        <v>259624</v>
      </c>
      <c r="J24" s="735"/>
      <c r="K24" s="110">
        <f>K23*K20</f>
        <v>290122</v>
      </c>
      <c r="L24" s="735"/>
      <c r="M24" s="110">
        <f>M23*M20</f>
        <v>320620</v>
      </c>
      <c r="N24" s="525"/>
    </row>
    <row r="25" spans="1:14" s="518" customFormat="1" ht="13.5" customHeight="1">
      <c r="B25" s="448"/>
      <c r="C25" s="421"/>
      <c r="D25" s="421"/>
      <c r="E25" s="659"/>
      <c r="F25" s="770"/>
      <c r="G25" s="659"/>
      <c r="H25" s="770"/>
      <c r="I25" s="659"/>
      <c r="J25" s="770"/>
      <c r="K25" s="659"/>
      <c r="L25" s="770"/>
      <c r="M25" s="659"/>
    </row>
    <row r="26" spans="1:14" s="518" customFormat="1" ht="13.5" customHeight="1">
      <c r="B26" s="120"/>
      <c r="C26" s="421"/>
      <c r="D26" s="101"/>
      <c r="E26" s="246"/>
      <c r="F26" s="246"/>
      <c r="G26" s="246"/>
      <c r="H26" s="246"/>
      <c r="I26" s="246"/>
      <c r="J26" s="246"/>
      <c r="K26" s="246"/>
      <c r="L26" s="246"/>
      <c r="M26" s="246"/>
    </row>
    <row r="27" spans="1:14" s="518" customFormat="1" ht="16.5" customHeight="1">
      <c r="A27" s="582"/>
      <c r="B27" s="293" t="s">
        <v>237</v>
      </c>
      <c r="C27" s="726"/>
      <c r="D27" s="238"/>
      <c r="E27" s="841">
        <f>$E$8</f>
        <v>1</v>
      </c>
      <c r="F27" s="841"/>
      <c r="G27" s="841">
        <f>$G$8</f>
        <v>2</v>
      </c>
      <c r="H27" s="841"/>
      <c r="I27" s="841">
        <f>$I$8</f>
        <v>3</v>
      </c>
      <c r="J27" s="841"/>
      <c r="K27" s="841">
        <f>$K$8</f>
        <v>4</v>
      </c>
      <c r="L27" s="841"/>
      <c r="M27" s="841">
        <f>$M$8</f>
        <v>5</v>
      </c>
      <c r="N27" s="525"/>
    </row>
    <row r="28" spans="1:14" s="518" customFormat="1" ht="13.5" customHeight="1">
      <c r="A28" s="628"/>
      <c r="B28" s="516" t="s">
        <v>334</v>
      </c>
      <c r="C28" s="755"/>
      <c r="D28" s="557"/>
      <c r="E28" s="298">
        <f>E97</f>
        <v>450</v>
      </c>
      <c r="F28" s="469"/>
      <c r="G28" s="298">
        <f>G97</f>
        <v>525</v>
      </c>
      <c r="H28" s="469"/>
      <c r="I28" s="298">
        <f>I97</f>
        <v>595</v>
      </c>
      <c r="J28" s="469"/>
      <c r="K28" s="298">
        <f>K97</f>
        <v>665</v>
      </c>
      <c r="L28" s="469"/>
      <c r="M28" s="298">
        <f>M97</f>
        <v>735</v>
      </c>
      <c r="N28" s="854"/>
    </row>
    <row r="29" spans="1:14" s="518" customFormat="1" ht="13.5" customHeight="1">
      <c r="A29" s="628"/>
      <c r="B29" s="281" t="s">
        <v>238</v>
      </c>
      <c r="C29" s="755"/>
      <c r="D29" s="329"/>
      <c r="E29" s="467">
        <v>64</v>
      </c>
      <c r="F29" s="586"/>
      <c r="G29" s="467">
        <f>$E$29</f>
        <v>64</v>
      </c>
      <c r="H29" s="586"/>
      <c r="I29" s="467">
        <f>$E$29</f>
        <v>64</v>
      </c>
      <c r="J29" s="586"/>
      <c r="K29" s="467">
        <f>$E$29</f>
        <v>64</v>
      </c>
      <c r="L29" s="586"/>
      <c r="M29" s="467">
        <f>$E$29</f>
        <v>64</v>
      </c>
      <c r="N29" s="854"/>
    </row>
    <row r="30" spans="1:14" s="518" customFormat="1" ht="15" customHeight="1">
      <c r="A30" s="582"/>
      <c r="B30" s="293" t="s">
        <v>239</v>
      </c>
      <c r="C30" s="726"/>
      <c r="D30" s="250"/>
      <c r="E30" s="201">
        <f>E28*E29</f>
        <v>28800</v>
      </c>
      <c r="F30" s="382"/>
      <c r="G30" s="201">
        <f>G28*G29</f>
        <v>33600</v>
      </c>
      <c r="H30" s="382"/>
      <c r="I30" s="201">
        <f>I28*I29</f>
        <v>38080</v>
      </c>
      <c r="J30" s="382"/>
      <c r="K30" s="201">
        <f>K28*K29</f>
        <v>42560</v>
      </c>
      <c r="L30" s="382"/>
      <c r="M30" s="201">
        <f>M28*M29</f>
        <v>47040</v>
      </c>
      <c r="N30" s="525"/>
    </row>
    <row r="31" spans="1:14" s="518" customFormat="1" ht="13.5" customHeight="1">
      <c r="B31" s="448"/>
      <c r="C31" s="421"/>
      <c r="D31" s="160"/>
      <c r="E31" s="659"/>
      <c r="F31" s="659"/>
      <c r="G31" s="659"/>
      <c r="H31" s="659"/>
      <c r="I31" s="659"/>
      <c r="J31" s="659"/>
      <c r="K31" s="659"/>
      <c r="L31" s="659"/>
      <c r="M31" s="659"/>
    </row>
    <row r="32" spans="1:14" s="518" customFormat="1" ht="13.5" customHeight="1">
      <c r="B32" s="120"/>
      <c r="C32" s="101"/>
      <c r="D32" s="101"/>
      <c r="E32" s="246"/>
      <c r="F32" s="246"/>
      <c r="G32" s="246"/>
      <c r="H32" s="246"/>
      <c r="I32" s="246"/>
      <c r="J32" s="246"/>
      <c r="K32" s="246"/>
      <c r="L32" s="246"/>
      <c r="M32" s="246"/>
    </row>
    <row r="33" spans="1:18" ht="16.5" customHeight="1">
      <c r="A33" s="400"/>
      <c r="B33" s="293" t="s">
        <v>240</v>
      </c>
      <c r="C33" s="481" t="s">
        <v>223</v>
      </c>
      <c r="D33" s="481"/>
      <c r="E33" s="841">
        <f>$E$8</f>
        <v>1</v>
      </c>
      <c r="F33" s="841"/>
      <c r="G33" s="841">
        <f>$G$8</f>
        <v>2</v>
      </c>
      <c r="H33" s="841"/>
      <c r="I33" s="841">
        <f>$I$8</f>
        <v>3</v>
      </c>
      <c r="J33" s="841"/>
      <c r="K33" s="841">
        <f>$K$8</f>
        <v>4</v>
      </c>
      <c r="L33" s="841"/>
      <c r="M33" s="841">
        <f>$M$8</f>
        <v>5</v>
      </c>
      <c r="N33" s="676"/>
      <c r="O33" s="151"/>
      <c r="P33" s="151"/>
      <c r="Q33" s="151"/>
      <c r="R33" s="151"/>
    </row>
    <row r="34" spans="1:18">
      <c r="A34" s="493"/>
      <c r="B34" s="516" t="s">
        <v>241</v>
      </c>
      <c r="C34" s="457"/>
      <c r="D34" s="457"/>
      <c r="E34" s="482">
        <f>E85</f>
        <v>450</v>
      </c>
      <c r="F34" s="47"/>
      <c r="G34" s="482">
        <f>IF((G86="Yes"),IF(((G85-E85)&lt;0),0,(G85-E85)),0)</f>
        <v>0</v>
      </c>
      <c r="H34" s="47"/>
      <c r="I34" s="482">
        <f>IF((I86="Yes"),IF(((I85-G85)&lt;0),0,(I85-G85)),0)</f>
        <v>0</v>
      </c>
      <c r="J34" s="47"/>
      <c r="K34" s="482">
        <f>IF((K86="Yes"),IF(((K85-I85)&lt;0),0,(K85-I85)),0)</f>
        <v>0</v>
      </c>
      <c r="L34" s="47"/>
      <c r="M34" s="482">
        <f>IF((M86="Yes"),IF(((M85-K85)&lt;0),0,(M85-K85)),0)</f>
        <v>0</v>
      </c>
      <c r="N34" s="85"/>
      <c r="O34" s="151"/>
      <c r="P34" s="151"/>
      <c r="Q34" s="151"/>
      <c r="R34" s="151"/>
    </row>
    <row r="35" spans="1:18" ht="13.5" customHeight="1">
      <c r="A35" s="493"/>
      <c r="B35" s="281" t="s">
        <v>242</v>
      </c>
      <c r="C35" s="372">
        <v>800</v>
      </c>
      <c r="D35" s="372"/>
      <c r="E35" s="467">
        <f>$C$35</f>
        <v>800</v>
      </c>
      <c r="F35" s="586"/>
      <c r="G35" s="467">
        <f>$C$35</f>
        <v>800</v>
      </c>
      <c r="H35" s="586"/>
      <c r="I35" s="467">
        <f>$C$35</f>
        <v>800</v>
      </c>
      <c r="J35" s="586"/>
      <c r="K35" s="467">
        <f>$C$35</f>
        <v>800</v>
      </c>
      <c r="L35" s="586"/>
      <c r="M35" s="467">
        <f>$C$35</f>
        <v>800</v>
      </c>
      <c r="N35" s="85"/>
      <c r="O35" s="151"/>
      <c r="P35" s="151"/>
      <c r="Q35" s="151"/>
      <c r="R35" s="151"/>
    </row>
    <row r="36" spans="1:18" ht="13.5" customHeight="1">
      <c r="A36" s="400"/>
      <c r="B36" s="76" t="s">
        <v>243</v>
      </c>
      <c r="C36" s="527">
        <f>C34*C35</f>
        <v>0</v>
      </c>
      <c r="D36" s="527"/>
      <c r="E36" s="201">
        <f>E34*E35</f>
        <v>360000</v>
      </c>
      <c r="F36" s="382"/>
      <c r="G36" s="201">
        <f>G34*G35</f>
        <v>0</v>
      </c>
      <c r="H36" s="382"/>
      <c r="I36" s="201">
        <f>I34*I35</f>
        <v>0</v>
      </c>
      <c r="J36" s="382"/>
      <c r="K36" s="201">
        <f>K34*K35</f>
        <v>0</v>
      </c>
      <c r="L36" s="382"/>
      <c r="M36" s="201">
        <f>M34*M35</f>
        <v>0</v>
      </c>
      <c r="N36" s="676"/>
      <c r="O36" s="151"/>
      <c r="P36" s="151"/>
      <c r="Q36" s="151"/>
      <c r="R36" s="151"/>
    </row>
    <row r="37" spans="1:18" ht="13.5" customHeight="1">
      <c r="B37" s="118"/>
      <c r="C37" s="247"/>
      <c r="D37" s="247"/>
      <c r="E37" s="758"/>
      <c r="F37" s="758"/>
      <c r="G37" s="758"/>
      <c r="H37" s="758"/>
      <c r="I37" s="758"/>
      <c r="J37" s="758"/>
      <c r="K37" s="758"/>
      <c r="L37" s="758"/>
      <c r="M37" s="758"/>
      <c r="N37" s="151"/>
      <c r="O37" s="151"/>
      <c r="P37" s="151"/>
      <c r="Q37" s="151"/>
      <c r="R37" s="151"/>
    </row>
    <row r="38" spans="1:18" ht="16.5" customHeight="1">
      <c r="A38" s="400"/>
      <c r="B38" s="293" t="s">
        <v>244</v>
      </c>
      <c r="C38" s="323"/>
      <c r="D38" s="297"/>
      <c r="E38" s="366"/>
      <c r="F38" s="366"/>
      <c r="G38" s="366"/>
      <c r="H38" s="366"/>
      <c r="I38" s="366"/>
      <c r="J38" s="366"/>
      <c r="K38" s="366"/>
      <c r="L38" s="366"/>
      <c r="M38" s="366"/>
      <c r="N38" s="151"/>
      <c r="O38" s="151"/>
      <c r="P38" s="151"/>
      <c r="Q38" s="151"/>
      <c r="R38" s="151"/>
    </row>
    <row r="39" spans="1:18">
      <c r="A39" s="493"/>
      <c r="B39" s="516" t="s">
        <v>241</v>
      </c>
      <c r="C39" s="83"/>
      <c r="D39" s="83"/>
      <c r="E39" s="344">
        <f>$E$94</f>
        <v>0</v>
      </c>
      <c r="F39" s="783"/>
      <c r="G39" s="344">
        <f>IF((G95="Yes"),IF(((G94-E94)&lt;0),0,(G94-E94)),0)</f>
        <v>0</v>
      </c>
      <c r="H39" s="783"/>
      <c r="I39" s="344">
        <f>IF((I95="Yes"),IF(((I94-G94)&lt;0),0,(I94-G94)),0)</f>
        <v>0</v>
      </c>
      <c r="J39" s="783"/>
      <c r="K39" s="344">
        <f>IF((K95="Yes"),IF(((K94-I94)&lt;0),0,(K94-I94)),0)</f>
        <v>0</v>
      </c>
      <c r="L39" s="783"/>
      <c r="M39" s="344">
        <f>IF((M95="Yes"),IF(((M94-K94)&lt;0),0,(M94-K94)),0)</f>
        <v>0</v>
      </c>
      <c r="N39" s="85"/>
      <c r="O39" s="151"/>
      <c r="P39" s="151"/>
      <c r="Q39" s="151"/>
      <c r="R39" s="151"/>
    </row>
    <row r="40" spans="1:18" ht="13.5" customHeight="1">
      <c r="A40" s="493"/>
      <c r="B40" s="281" t="s">
        <v>242</v>
      </c>
      <c r="C40" s="372">
        <v>1000</v>
      </c>
      <c r="D40" s="372"/>
      <c r="E40" s="467">
        <f>$C$40</f>
        <v>1000</v>
      </c>
      <c r="F40" s="586"/>
      <c r="G40" s="467">
        <f>$C$40</f>
        <v>1000</v>
      </c>
      <c r="H40" s="586"/>
      <c r="I40" s="467">
        <f>$C$40</f>
        <v>1000</v>
      </c>
      <c r="J40" s="586"/>
      <c r="K40" s="467">
        <f>$C$40</f>
        <v>1000</v>
      </c>
      <c r="L40" s="586"/>
      <c r="M40" s="467">
        <f>$C$40</f>
        <v>1000</v>
      </c>
      <c r="N40" s="85"/>
      <c r="O40" s="151"/>
      <c r="P40" s="151"/>
      <c r="Q40" s="151"/>
      <c r="R40" s="151"/>
    </row>
    <row r="41" spans="1:18" ht="13.5" customHeight="1">
      <c r="A41" s="400"/>
      <c r="B41" s="76" t="s">
        <v>245</v>
      </c>
      <c r="C41" s="527">
        <f>C39*C40</f>
        <v>0</v>
      </c>
      <c r="D41" s="527"/>
      <c r="E41" s="201">
        <f>E39*E40</f>
        <v>0</v>
      </c>
      <c r="F41" s="382"/>
      <c r="G41" s="201">
        <f>G39*G40</f>
        <v>0</v>
      </c>
      <c r="H41" s="382"/>
      <c r="I41" s="201">
        <f>I39*I40</f>
        <v>0</v>
      </c>
      <c r="J41" s="382"/>
      <c r="K41" s="201">
        <f>K39*K40</f>
        <v>0</v>
      </c>
      <c r="L41" s="382"/>
      <c r="M41" s="201">
        <f>M39*M40</f>
        <v>0</v>
      </c>
      <c r="N41" s="676"/>
      <c r="O41" s="151"/>
      <c r="P41" s="151"/>
      <c r="Q41" s="151"/>
      <c r="R41" s="151"/>
    </row>
    <row r="42" spans="1:18" ht="13.5" customHeight="1">
      <c r="B42" s="581"/>
      <c r="C42" s="27"/>
      <c r="D42" s="27"/>
      <c r="E42" s="70"/>
      <c r="F42" s="70"/>
      <c r="G42" s="70"/>
      <c r="H42" s="70"/>
      <c r="I42" s="70"/>
      <c r="J42" s="70"/>
      <c r="K42" s="70"/>
      <c r="L42" s="70"/>
      <c r="M42" s="70"/>
      <c r="N42" s="151"/>
      <c r="O42" s="151"/>
      <c r="P42" s="151"/>
      <c r="Q42" s="151"/>
      <c r="R42" s="151"/>
    </row>
    <row r="43" spans="1:18" ht="16.5" customHeight="1">
      <c r="A43" s="400"/>
      <c r="B43" s="293" t="s">
        <v>246</v>
      </c>
      <c r="C43" s="527">
        <f>C36+C41</f>
        <v>0</v>
      </c>
      <c r="D43" s="527"/>
      <c r="E43" s="139">
        <f>E36+E41</f>
        <v>360000</v>
      </c>
      <c r="F43" s="459"/>
      <c r="G43" s="139">
        <f>G36+G41</f>
        <v>0</v>
      </c>
      <c r="H43" s="459"/>
      <c r="I43" s="139">
        <f>I36+I41</f>
        <v>0</v>
      </c>
      <c r="J43" s="459"/>
      <c r="K43" s="139">
        <f>K36+K41</f>
        <v>0</v>
      </c>
      <c r="L43" s="459"/>
      <c r="M43" s="139">
        <f>M36+M41</f>
        <v>0</v>
      </c>
      <c r="N43" s="676"/>
      <c r="O43" s="151"/>
      <c r="P43" s="151"/>
      <c r="Q43" s="151"/>
      <c r="R43" s="151"/>
    </row>
    <row r="44" spans="1:18">
      <c r="B44" s="391"/>
      <c r="C44" s="391"/>
      <c r="D44" s="391"/>
      <c r="E44" s="269"/>
      <c r="F44" s="269"/>
      <c r="G44" s="269"/>
      <c r="H44" s="269"/>
      <c r="I44" s="269"/>
      <c r="J44" s="269"/>
      <c r="K44" s="269"/>
      <c r="L44" s="269"/>
      <c r="M44" s="269"/>
      <c r="N44" s="151"/>
      <c r="O44" s="151"/>
      <c r="P44" s="151"/>
      <c r="Q44" s="151"/>
      <c r="R44" s="151"/>
    </row>
    <row r="45" spans="1:18" ht="13.5" customHeight="1">
      <c r="B45" s="456"/>
      <c r="C45" s="151"/>
      <c r="D45" s="456"/>
      <c r="E45" s="574"/>
      <c r="F45" s="574"/>
      <c r="G45" s="574"/>
      <c r="H45" s="574"/>
      <c r="I45" s="574"/>
      <c r="J45" s="574"/>
      <c r="K45" s="574"/>
      <c r="L45" s="574"/>
      <c r="M45" s="574"/>
      <c r="N45" s="151"/>
      <c r="O45" s="151"/>
      <c r="P45" s="151"/>
      <c r="Q45" s="151"/>
      <c r="R45" s="151"/>
    </row>
    <row r="46" spans="1:18" ht="16.5" customHeight="1">
      <c r="A46" s="400"/>
      <c r="B46" s="293" t="s">
        <v>247</v>
      </c>
      <c r="C46" s="242">
        <f>IF(OR(($C$5="Grade Expansion"),($C$5="Charter Conversion")),"Prior Fiscal Year",IF(($C$4="2012 (FY13)"),"FY12  Incubation",IF(($C$4="2013 (FY14)"),"FY13  Incubation",0)))</f>
        <v>0</v>
      </c>
      <c r="D46" s="833"/>
      <c r="E46" s="841">
        <f>$E$8</f>
        <v>1</v>
      </c>
      <c r="F46" s="841"/>
      <c r="G46" s="841">
        <f>$G$8</f>
        <v>2</v>
      </c>
      <c r="H46" s="841"/>
      <c r="I46" s="841">
        <f>$I$8</f>
        <v>3</v>
      </c>
      <c r="J46" s="841"/>
      <c r="K46" s="841">
        <f>$K$8</f>
        <v>4</v>
      </c>
      <c r="L46" s="841"/>
      <c r="M46" s="841">
        <f>$M$8</f>
        <v>5</v>
      </c>
      <c r="N46" s="676"/>
      <c r="O46" s="151"/>
      <c r="P46" s="151"/>
      <c r="Q46" s="151"/>
      <c r="R46" s="151"/>
    </row>
    <row r="47" spans="1:18">
      <c r="A47" s="493"/>
      <c r="B47" s="516" t="s">
        <v>248</v>
      </c>
      <c r="C47" s="541"/>
      <c r="D47" s="583"/>
      <c r="E47" s="275"/>
      <c r="F47" s="275"/>
      <c r="G47" s="275"/>
      <c r="H47" s="275"/>
      <c r="I47" s="275"/>
      <c r="J47" s="275"/>
      <c r="K47" s="275"/>
      <c r="L47" s="275"/>
      <c r="M47" s="745" t="s">
        <v>488</v>
      </c>
      <c r="N47" s="85"/>
      <c r="O47" s="151"/>
      <c r="P47" s="151"/>
      <c r="Q47" s="151"/>
      <c r="R47" s="151"/>
    </row>
    <row r="48" spans="1:18">
      <c r="A48" s="493"/>
      <c r="B48" s="632" t="s">
        <v>249</v>
      </c>
      <c r="C48" s="541"/>
      <c r="D48" s="583"/>
      <c r="E48" s="304"/>
      <c r="F48" s="304"/>
      <c r="G48" s="304"/>
      <c r="H48" s="304"/>
      <c r="I48" s="304"/>
      <c r="J48" s="304"/>
      <c r="K48" s="304"/>
      <c r="L48" s="304"/>
      <c r="M48" s="529" t="s">
        <v>488</v>
      </c>
      <c r="N48" s="85"/>
      <c r="O48" s="151"/>
      <c r="P48" s="151"/>
      <c r="Q48" s="151"/>
      <c r="R48" s="151"/>
    </row>
    <row r="49" spans="1:18">
      <c r="A49" s="493"/>
      <c r="B49" s="632" t="s">
        <v>250</v>
      </c>
      <c r="C49" s="541"/>
      <c r="D49" s="583"/>
      <c r="E49" s="304"/>
      <c r="F49" s="304"/>
      <c r="G49" s="304"/>
      <c r="H49" s="304"/>
      <c r="I49" s="304"/>
      <c r="J49" s="304"/>
      <c r="K49" s="304"/>
      <c r="L49" s="304"/>
      <c r="M49" s="529" t="s">
        <v>488</v>
      </c>
      <c r="N49" s="85"/>
      <c r="O49" s="151"/>
      <c r="P49" s="151"/>
      <c r="Q49" s="151"/>
      <c r="R49" s="151"/>
    </row>
    <row r="50" spans="1:18">
      <c r="A50" s="493"/>
      <c r="B50" s="632" t="s">
        <v>251</v>
      </c>
      <c r="C50" s="541"/>
      <c r="D50" s="583"/>
      <c r="E50" s="304"/>
      <c r="F50" s="304"/>
      <c r="G50" s="304"/>
      <c r="H50" s="304"/>
      <c r="I50" s="304"/>
      <c r="J50" s="304"/>
      <c r="K50" s="304"/>
      <c r="L50" s="304"/>
      <c r="M50" s="529" t="s">
        <v>488</v>
      </c>
      <c r="N50" s="85"/>
      <c r="O50" s="151"/>
      <c r="P50" s="151"/>
      <c r="Q50" s="151"/>
      <c r="R50" s="151"/>
    </row>
    <row r="51" spans="1:18" ht="13.5" customHeight="1">
      <c r="B51" s="132"/>
      <c r="C51" s="695"/>
      <c r="D51" s="147"/>
      <c r="E51" s="41"/>
      <c r="F51" s="41"/>
      <c r="G51" s="41"/>
      <c r="H51" s="41"/>
      <c r="I51" s="41"/>
      <c r="J51" s="41"/>
      <c r="K51" s="41"/>
      <c r="L51" s="41"/>
      <c r="M51" s="41"/>
      <c r="N51" s="151"/>
      <c r="O51" s="151"/>
      <c r="P51" s="151"/>
      <c r="Q51" s="151"/>
      <c r="R51" s="151"/>
    </row>
    <row r="52" spans="1:18" ht="13.5" customHeight="1">
      <c r="A52" s="400"/>
      <c r="B52" s="841" t="s">
        <v>252</v>
      </c>
      <c r="C52" s="676"/>
      <c r="D52" s="394"/>
      <c r="E52" s="635"/>
      <c r="F52" s="635"/>
      <c r="G52" s="635"/>
      <c r="H52" s="635"/>
      <c r="I52" s="635"/>
      <c r="J52" s="635"/>
      <c r="K52" s="635"/>
      <c r="L52" s="635"/>
      <c r="M52" s="635"/>
      <c r="N52" s="151"/>
      <c r="O52" s="151"/>
      <c r="P52" s="151"/>
      <c r="Q52" s="151"/>
      <c r="R52" s="151"/>
    </row>
    <row r="53" spans="1:18">
      <c r="A53" s="493"/>
      <c r="B53" s="516" t="s">
        <v>253</v>
      </c>
      <c r="C53" s="809"/>
      <c r="D53" s="583"/>
      <c r="E53" s="467">
        <v>0</v>
      </c>
      <c r="F53" s="692"/>
      <c r="G53" s="467">
        <v>142</v>
      </c>
      <c r="H53" s="692"/>
      <c r="I53" s="467">
        <f>$G$53</f>
        <v>142</v>
      </c>
      <c r="J53" s="692"/>
      <c r="K53" s="467">
        <f>$G$53</f>
        <v>142</v>
      </c>
      <c r="L53" s="692"/>
      <c r="M53" s="467">
        <f>$G$53</f>
        <v>142</v>
      </c>
      <c r="N53" s="85"/>
      <c r="O53" s="151"/>
      <c r="P53" s="151"/>
      <c r="Q53" s="151"/>
      <c r="R53" s="151"/>
    </row>
    <row r="54" spans="1:18">
      <c r="A54" s="493"/>
      <c r="B54" s="632" t="s">
        <v>254</v>
      </c>
      <c r="C54" s="809"/>
      <c r="D54" s="583"/>
      <c r="E54" s="467">
        <v>0</v>
      </c>
      <c r="F54" s="692"/>
      <c r="G54" s="467">
        <v>284</v>
      </c>
      <c r="H54" s="692"/>
      <c r="I54" s="467">
        <f>$G$54</f>
        <v>284</v>
      </c>
      <c r="J54" s="692"/>
      <c r="K54" s="467">
        <f>$G$54</f>
        <v>284</v>
      </c>
      <c r="L54" s="692"/>
      <c r="M54" s="467">
        <f>$G$54</f>
        <v>284</v>
      </c>
      <c r="N54" s="85"/>
      <c r="O54" s="151"/>
      <c r="P54" s="151"/>
      <c r="Q54" s="151"/>
      <c r="R54" s="151"/>
    </row>
    <row r="55" spans="1:18">
      <c r="A55" s="493"/>
      <c r="B55" s="632" t="s">
        <v>255</v>
      </c>
      <c r="C55" s="809"/>
      <c r="D55" s="583"/>
      <c r="E55" s="467">
        <v>0</v>
      </c>
      <c r="F55" s="692"/>
      <c r="G55" s="467">
        <v>165</v>
      </c>
      <c r="H55" s="692"/>
      <c r="I55" s="467">
        <f>$G$55</f>
        <v>165</v>
      </c>
      <c r="J55" s="692"/>
      <c r="K55" s="467">
        <f>$G$55</f>
        <v>165</v>
      </c>
      <c r="L55" s="692"/>
      <c r="M55" s="467">
        <f>$G$55</f>
        <v>165</v>
      </c>
      <c r="N55" s="85"/>
      <c r="O55" s="151"/>
      <c r="P55" s="151"/>
      <c r="Q55" s="151"/>
      <c r="R55" s="151"/>
    </row>
    <row r="56" spans="1:18">
      <c r="A56" s="493"/>
      <c r="B56" s="632" t="s">
        <v>158</v>
      </c>
      <c r="C56" s="809"/>
      <c r="D56" s="583"/>
      <c r="E56" s="467">
        <v>0</v>
      </c>
      <c r="F56" s="692"/>
      <c r="G56" s="467">
        <v>330</v>
      </c>
      <c r="H56" s="692"/>
      <c r="I56" s="467">
        <f>$G$56</f>
        <v>330</v>
      </c>
      <c r="J56" s="692"/>
      <c r="K56" s="467">
        <f>$G$56</f>
        <v>330</v>
      </c>
      <c r="L56" s="692"/>
      <c r="M56" s="467">
        <f>$G$56</f>
        <v>330</v>
      </c>
      <c r="N56" s="85"/>
      <c r="O56" s="151"/>
      <c r="P56" s="151"/>
      <c r="Q56" s="151"/>
      <c r="R56" s="151"/>
    </row>
    <row r="57" spans="1:18" s="518" customFormat="1" ht="13.5" customHeight="1">
      <c r="B57" s="132"/>
      <c r="D57" s="147"/>
      <c r="E57" s="87"/>
      <c r="F57" s="87"/>
      <c r="G57" s="87"/>
      <c r="H57" s="87"/>
      <c r="I57" s="87"/>
      <c r="J57" s="87"/>
      <c r="K57" s="87"/>
      <c r="L57" s="87"/>
      <c r="M57" s="87"/>
    </row>
    <row r="58" spans="1:18" s="518" customFormat="1" ht="13.5" customHeight="1">
      <c r="A58" s="582"/>
      <c r="B58" s="841" t="s">
        <v>159</v>
      </c>
      <c r="C58" s="525"/>
      <c r="D58" s="543"/>
      <c r="E58" s="546"/>
      <c r="F58" s="546"/>
      <c r="G58" s="546"/>
      <c r="H58" s="546"/>
      <c r="I58" s="546"/>
      <c r="J58" s="546"/>
      <c r="K58" s="546"/>
      <c r="L58" s="546"/>
      <c r="M58" s="546"/>
    </row>
    <row r="59" spans="1:18">
      <c r="A59" s="493"/>
      <c r="B59" s="516" t="s">
        <v>253</v>
      </c>
      <c r="C59" s="809"/>
      <c r="D59" s="583"/>
      <c r="E59" s="467">
        <v>0</v>
      </c>
      <c r="F59" s="692"/>
      <c r="G59" s="467">
        <v>75</v>
      </c>
      <c r="H59" s="692"/>
      <c r="I59" s="467">
        <f>$G$59</f>
        <v>75</v>
      </c>
      <c r="J59" s="692"/>
      <c r="K59" s="467">
        <f>$G$59</f>
        <v>75</v>
      </c>
      <c r="L59" s="692"/>
      <c r="M59" s="467">
        <f>$G$59</f>
        <v>75</v>
      </c>
      <c r="N59" s="85"/>
      <c r="O59" s="151"/>
      <c r="P59" s="151"/>
      <c r="Q59" s="151"/>
      <c r="R59" s="151"/>
    </row>
    <row r="60" spans="1:18">
      <c r="A60" s="493"/>
      <c r="B60" s="632" t="s">
        <v>254</v>
      </c>
      <c r="C60" s="809"/>
      <c r="D60" s="583"/>
      <c r="E60" s="467">
        <v>0</v>
      </c>
      <c r="F60" s="692"/>
      <c r="G60" s="467">
        <v>150</v>
      </c>
      <c r="H60" s="692"/>
      <c r="I60" s="467">
        <f>$G$60</f>
        <v>150</v>
      </c>
      <c r="J60" s="692"/>
      <c r="K60" s="467">
        <f>$G$60</f>
        <v>150</v>
      </c>
      <c r="L60" s="692"/>
      <c r="M60" s="467">
        <f>$G$60</f>
        <v>150</v>
      </c>
      <c r="N60" s="85"/>
      <c r="O60" s="151"/>
      <c r="P60" s="151"/>
      <c r="Q60" s="151"/>
      <c r="R60" s="151"/>
    </row>
    <row r="61" spans="1:18">
      <c r="A61" s="493"/>
      <c r="B61" s="632" t="s">
        <v>255</v>
      </c>
      <c r="C61" s="809"/>
      <c r="D61" s="583"/>
      <c r="E61" s="467">
        <v>0</v>
      </c>
      <c r="F61" s="692"/>
      <c r="G61" s="467">
        <v>75</v>
      </c>
      <c r="H61" s="692"/>
      <c r="I61" s="467">
        <f>$G$61</f>
        <v>75</v>
      </c>
      <c r="J61" s="692"/>
      <c r="K61" s="467">
        <f>$G$61</f>
        <v>75</v>
      </c>
      <c r="L61" s="692"/>
      <c r="M61" s="467">
        <f>$G$61</f>
        <v>75</v>
      </c>
      <c r="N61" s="85"/>
      <c r="O61" s="151"/>
      <c r="P61" s="151"/>
      <c r="Q61" s="151"/>
      <c r="R61" s="151"/>
    </row>
    <row r="62" spans="1:18">
      <c r="A62" s="493"/>
      <c r="B62" s="632" t="s">
        <v>158</v>
      </c>
      <c r="C62" s="809"/>
      <c r="D62" s="583"/>
      <c r="E62" s="467">
        <v>0</v>
      </c>
      <c r="F62" s="692"/>
      <c r="G62" s="467">
        <v>150</v>
      </c>
      <c r="H62" s="692"/>
      <c r="I62" s="467">
        <f>$G$62</f>
        <v>150</v>
      </c>
      <c r="J62" s="692"/>
      <c r="K62" s="467">
        <f>$G$62</f>
        <v>150</v>
      </c>
      <c r="L62" s="692"/>
      <c r="M62" s="467">
        <f>$G$62</f>
        <v>150</v>
      </c>
      <c r="N62" s="85"/>
      <c r="O62" s="151"/>
      <c r="P62" s="151"/>
      <c r="Q62" s="151"/>
      <c r="R62" s="151"/>
    </row>
    <row r="63" spans="1:18" s="518" customFormat="1">
      <c r="B63" s="599"/>
      <c r="D63" s="147"/>
      <c r="E63" s="87"/>
      <c r="F63" s="87"/>
      <c r="G63" s="87"/>
      <c r="H63" s="87"/>
      <c r="I63" s="87"/>
      <c r="J63" s="87"/>
      <c r="K63" s="87"/>
      <c r="L63" s="87"/>
      <c r="M63" s="87"/>
    </row>
    <row r="64" spans="1:18" s="518" customFormat="1" ht="13.5" customHeight="1">
      <c r="B64" s="229"/>
      <c r="D64" s="313"/>
      <c r="E64" s="770"/>
      <c r="F64" s="770"/>
      <c r="G64" s="770"/>
      <c r="H64" s="770"/>
      <c r="I64" s="770"/>
      <c r="J64" s="770"/>
      <c r="K64" s="770"/>
      <c r="L64" s="770"/>
      <c r="M64" s="770"/>
    </row>
    <row r="65" spans="1:18" ht="13.5" customHeight="1">
      <c r="A65" s="400"/>
      <c r="B65" s="841" t="s">
        <v>160</v>
      </c>
      <c r="C65" s="676"/>
      <c r="D65" s="478"/>
      <c r="E65" s="366"/>
      <c r="F65" s="366"/>
      <c r="G65" s="366"/>
      <c r="H65" s="366"/>
      <c r="I65" s="366"/>
      <c r="J65" s="366"/>
      <c r="K65" s="366"/>
      <c r="L65" s="366"/>
      <c r="M65" s="366"/>
      <c r="N65" s="151"/>
      <c r="O65" s="151"/>
      <c r="P65" s="151"/>
      <c r="Q65" s="151"/>
      <c r="R65" s="151"/>
    </row>
    <row r="66" spans="1:18">
      <c r="A66" s="493"/>
      <c r="B66" s="516" t="s">
        <v>161</v>
      </c>
      <c r="C66" s="809"/>
      <c r="D66" s="583"/>
      <c r="E66" s="467">
        <f>E47*E53</f>
        <v>0</v>
      </c>
      <c r="F66" s="692"/>
      <c r="G66" s="467">
        <f>E47*(G53+G59)</f>
        <v>0</v>
      </c>
      <c r="H66" s="692"/>
      <c r="I66" s="467">
        <f>G47*(I53+I59)</f>
        <v>0</v>
      </c>
      <c r="J66" s="692"/>
      <c r="K66" s="467">
        <f>I47*(K53+K59)</f>
        <v>0</v>
      </c>
      <c r="L66" s="692"/>
      <c r="M66" s="467">
        <f>K47*(M53+M59)</f>
        <v>0</v>
      </c>
      <c r="N66" s="85"/>
      <c r="O66" s="151"/>
      <c r="P66" s="151"/>
      <c r="Q66" s="151"/>
      <c r="R66" s="151"/>
    </row>
    <row r="67" spans="1:18">
      <c r="A67" s="493"/>
      <c r="B67" s="632" t="s">
        <v>162</v>
      </c>
      <c r="C67" s="809"/>
      <c r="D67" s="583"/>
      <c r="E67" s="467">
        <f>E48*E54</f>
        <v>0</v>
      </c>
      <c r="F67" s="692"/>
      <c r="G67" s="467">
        <f>E48*(G54+G60)</f>
        <v>0</v>
      </c>
      <c r="H67" s="692"/>
      <c r="I67" s="467">
        <f>G48*(I54+I60)</f>
        <v>0</v>
      </c>
      <c r="J67" s="692"/>
      <c r="K67" s="467">
        <f>I48*(K54+K60)</f>
        <v>0</v>
      </c>
      <c r="L67" s="692"/>
      <c r="M67" s="467">
        <f>K48*(M54+M60)</f>
        <v>0</v>
      </c>
      <c r="N67" s="85"/>
      <c r="O67" s="151"/>
      <c r="P67" s="151"/>
      <c r="Q67" s="151"/>
      <c r="R67" s="151"/>
    </row>
    <row r="68" spans="1:18">
      <c r="A68" s="493"/>
      <c r="B68" s="632" t="s">
        <v>163</v>
      </c>
      <c r="C68" s="809"/>
      <c r="D68" s="583"/>
      <c r="E68" s="467">
        <f>E49*E55</f>
        <v>0</v>
      </c>
      <c r="F68" s="692"/>
      <c r="G68" s="467">
        <f>E49*(G55+G61)</f>
        <v>0</v>
      </c>
      <c r="H68" s="692"/>
      <c r="I68" s="467">
        <f>G49*(I55+I61)</f>
        <v>0</v>
      </c>
      <c r="J68" s="692"/>
      <c r="K68" s="467">
        <f>I49*(K55+K61)</f>
        <v>0</v>
      </c>
      <c r="L68" s="692"/>
      <c r="M68" s="467">
        <f>K49*(M55+M61)</f>
        <v>0</v>
      </c>
      <c r="N68" s="85"/>
      <c r="O68" s="151"/>
      <c r="P68" s="151"/>
      <c r="Q68" s="151"/>
      <c r="R68" s="151"/>
    </row>
    <row r="69" spans="1:18" ht="13.5" customHeight="1">
      <c r="A69" s="493"/>
      <c r="B69" s="632" t="s">
        <v>164</v>
      </c>
      <c r="C69" s="809"/>
      <c r="D69" s="486"/>
      <c r="E69" s="467">
        <f>E50*E56</f>
        <v>0</v>
      </c>
      <c r="F69" s="692"/>
      <c r="G69" s="467">
        <f>E50*(G56+G62)</f>
        <v>0</v>
      </c>
      <c r="H69" s="692"/>
      <c r="I69" s="467">
        <f>G50*(I56+I62)</f>
        <v>0</v>
      </c>
      <c r="J69" s="692"/>
      <c r="K69" s="467">
        <f>I50*(K56+K62)</f>
        <v>0</v>
      </c>
      <c r="L69" s="692"/>
      <c r="M69" s="467">
        <f>K50*(M56+M62)</f>
        <v>0</v>
      </c>
      <c r="N69" s="85"/>
      <c r="O69" s="151"/>
      <c r="P69" s="151"/>
      <c r="Q69" s="151"/>
      <c r="R69" s="151"/>
    </row>
    <row r="70" spans="1:18" ht="16.5" customHeight="1">
      <c r="A70" s="400"/>
      <c r="B70" s="568" t="s">
        <v>165</v>
      </c>
      <c r="C70" s="550"/>
      <c r="D70" s="109"/>
      <c r="E70" s="201">
        <f>SUM(E66:E69)</f>
        <v>0</v>
      </c>
      <c r="F70" s="382"/>
      <c r="G70" s="201">
        <f>SUM(G66:G69)</f>
        <v>0</v>
      </c>
      <c r="H70" s="382"/>
      <c r="I70" s="201">
        <f>SUM(I66:I69)</f>
        <v>0</v>
      </c>
      <c r="J70" s="382"/>
      <c r="K70" s="201">
        <f>SUM(K66:K69)</f>
        <v>0</v>
      </c>
      <c r="L70" s="382"/>
      <c r="M70" s="201">
        <f>SUM(M66:M69)</f>
        <v>0</v>
      </c>
      <c r="N70" s="676"/>
      <c r="O70" s="151"/>
      <c r="P70" s="151"/>
      <c r="Q70" s="151"/>
      <c r="R70" s="151"/>
    </row>
    <row r="71" spans="1:18">
      <c r="B71" s="391"/>
      <c r="C71" s="151"/>
      <c r="D71" s="391"/>
      <c r="E71" s="269"/>
      <c r="F71" s="269"/>
      <c r="G71" s="269"/>
      <c r="H71" s="269"/>
      <c r="I71" s="269"/>
      <c r="J71" s="269"/>
      <c r="K71" s="269"/>
      <c r="L71" s="269"/>
      <c r="M71" s="269"/>
      <c r="N71" s="151"/>
      <c r="O71" s="151"/>
      <c r="P71" s="151"/>
      <c r="Q71" s="151"/>
      <c r="R71" s="151"/>
    </row>
    <row r="72" spans="1:18" ht="13.5" customHeight="1">
      <c r="B72" s="456"/>
      <c r="C72" s="456"/>
      <c r="D72" s="456"/>
      <c r="E72" s="574"/>
      <c r="F72" s="574"/>
      <c r="G72" s="574"/>
      <c r="H72" s="574"/>
      <c r="I72" s="574"/>
      <c r="J72" s="574"/>
      <c r="K72" s="574"/>
      <c r="L72" s="574"/>
      <c r="M72" s="574"/>
      <c r="N72" s="151"/>
      <c r="O72" s="151"/>
      <c r="P72" s="151"/>
      <c r="Q72" s="151"/>
      <c r="R72" s="151"/>
    </row>
    <row r="73" spans="1:18" ht="13.5" customHeight="1">
      <c r="A73" s="400"/>
      <c r="B73" s="915" t="s">
        <v>166</v>
      </c>
      <c r="C73" s="916"/>
      <c r="D73" s="916"/>
      <c r="E73" s="916"/>
      <c r="F73" s="916"/>
      <c r="G73" s="916"/>
      <c r="H73" s="916"/>
      <c r="I73" s="916"/>
      <c r="J73" s="916"/>
      <c r="K73" s="916"/>
      <c r="L73" s="916"/>
      <c r="M73" s="874"/>
      <c r="N73" s="676"/>
      <c r="O73" s="151"/>
      <c r="P73" s="151"/>
      <c r="Q73" s="151"/>
      <c r="R73" s="151"/>
    </row>
    <row r="74" spans="1:18" ht="13.5" customHeight="1">
      <c r="B74" s="816"/>
      <c r="C74" s="391"/>
      <c r="D74" s="391"/>
      <c r="E74" s="70"/>
      <c r="F74" s="269"/>
      <c r="G74" s="70"/>
      <c r="H74" s="269"/>
      <c r="I74" s="70"/>
      <c r="J74" s="269"/>
      <c r="K74" s="70"/>
      <c r="L74" s="269"/>
      <c r="M74" s="70"/>
      <c r="N74" s="151"/>
      <c r="O74" s="151"/>
      <c r="P74" s="151"/>
      <c r="Q74" s="151"/>
      <c r="R74" s="151"/>
    </row>
    <row r="75" spans="1:18" ht="13.5" customHeight="1">
      <c r="A75" s="400"/>
      <c r="B75" s="841" t="s">
        <v>167</v>
      </c>
      <c r="C75" s="676"/>
      <c r="D75" s="400"/>
      <c r="E75" s="841">
        <f>$E$8</f>
        <v>1</v>
      </c>
      <c r="F75" s="360"/>
      <c r="G75" s="841">
        <f>$G$8</f>
        <v>2</v>
      </c>
      <c r="H75" s="360"/>
      <c r="I75" s="841">
        <f>$I$8</f>
        <v>3</v>
      </c>
      <c r="J75" s="360"/>
      <c r="K75" s="841">
        <f>$K$8</f>
        <v>4</v>
      </c>
      <c r="L75" s="360"/>
      <c r="M75" s="841">
        <f>$M$8</f>
        <v>5</v>
      </c>
      <c r="N75" s="676"/>
      <c r="O75" s="151"/>
      <c r="P75" s="151"/>
      <c r="Q75" s="151"/>
      <c r="R75" s="151"/>
    </row>
    <row r="76" spans="1:18" ht="13.5" customHeight="1">
      <c r="A76" s="400"/>
      <c r="B76" s="777" t="s">
        <v>168</v>
      </c>
      <c r="C76" s="676"/>
      <c r="D76" s="493"/>
      <c r="E76" s="298">
        <f>'Revenues-Per Capita &amp; SPED'!E26</f>
        <v>50</v>
      </c>
      <c r="F76" s="341"/>
      <c r="G76" s="298">
        <f>'Revenues-Per Capita &amp; SPED'!L26</f>
        <v>50</v>
      </c>
      <c r="H76" s="341"/>
      <c r="I76" s="298">
        <f>'Revenues-Per Capita &amp; SPED'!S26</f>
        <v>50</v>
      </c>
      <c r="J76" s="341"/>
      <c r="K76" s="298">
        <f>'Revenues-Per Capita &amp; SPED'!Z26</f>
        <v>50</v>
      </c>
      <c r="L76" s="341"/>
      <c r="M76" s="298">
        <f>'Revenues-Per Capita &amp; SPED'!AG26</f>
        <v>50</v>
      </c>
      <c r="N76" s="85"/>
      <c r="O76" s="151"/>
      <c r="P76" s="151"/>
      <c r="Q76" s="151"/>
      <c r="R76" s="151"/>
    </row>
    <row r="77" spans="1:18" ht="13.5" customHeight="1">
      <c r="A77" s="400"/>
      <c r="B77" s="777" t="s">
        <v>169</v>
      </c>
      <c r="C77" s="676"/>
      <c r="D77" s="493"/>
      <c r="E77" s="217">
        <f>'Revenues-Per Capita &amp; SPED'!E27</f>
        <v>50</v>
      </c>
      <c r="F77" s="341"/>
      <c r="G77" s="217">
        <f>'Revenues-Per Capita &amp; SPED'!L27</f>
        <v>50</v>
      </c>
      <c r="H77" s="341"/>
      <c r="I77" s="217">
        <f>'Revenues-Per Capita &amp; SPED'!S27</f>
        <v>50</v>
      </c>
      <c r="J77" s="341"/>
      <c r="K77" s="217">
        <f>'Revenues-Per Capita &amp; SPED'!Z27</f>
        <v>50</v>
      </c>
      <c r="L77" s="341"/>
      <c r="M77" s="217">
        <f>'Revenues-Per Capita &amp; SPED'!AG27</f>
        <v>50</v>
      </c>
      <c r="N77" s="85"/>
      <c r="O77" s="151"/>
      <c r="P77" s="151"/>
      <c r="Q77" s="151"/>
      <c r="R77" s="151"/>
    </row>
    <row r="78" spans="1:18" ht="13.5" customHeight="1">
      <c r="A78" s="400"/>
      <c r="B78" s="777" t="s">
        <v>170</v>
      </c>
      <c r="C78" s="676"/>
      <c r="D78" s="493"/>
      <c r="E78" s="217">
        <f>'Revenues-Per Capita &amp; SPED'!E28</f>
        <v>50</v>
      </c>
      <c r="F78" s="341"/>
      <c r="G78" s="217">
        <f>'Revenues-Per Capita &amp; SPED'!L28</f>
        <v>50</v>
      </c>
      <c r="H78" s="341"/>
      <c r="I78" s="217">
        <f>'Revenues-Per Capita &amp; SPED'!S28</f>
        <v>50</v>
      </c>
      <c r="J78" s="341"/>
      <c r="K78" s="217">
        <f>'Revenues-Per Capita &amp; SPED'!Z28</f>
        <v>50</v>
      </c>
      <c r="L78" s="341"/>
      <c r="M78" s="217">
        <f>'Revenues-Per Capita &amp; SPED'!AG28</f>
        <v>50</v>
      </c>
      <c r="N78" s="85"/>
      <c r="O78" s="151"/>
      <c r="P78" s="151"/>
      <c r="Q78" s="151"/>
      <c r="R78" s="151"/>
    </row>
    <row r="79" spans="1:18" ht="13.5" customHeight="1">
      <c r="A79" s="400"/>
      <c r="B79" s="777" t="s">
        <v>171</v>
      </c>
      <c r="C79" s="676"/>
      <c r="D79" s="493"/>
      <c r="E79" s="217">
        <f>'Revenues-Per Capita &amp; SPED'!E29</f>
        <v>50</v>
      </c>
      <c r="F79" s="341"/>
      <c r="G79" s="217">
        <f>'Revenues-Per Capita &amp; SPED'!L29</f>
        <v>50</v>
      </c>
      <c r="H79" s="341"/>
      <c r="I79" s="217">
        <f>'Revenues-Per Capita &amp; SPED'!S29</f>
        <v>50</v>
      </c>
      <c r="J79" s="341"/>
      <c r="K79" s="217">
        <f>'Revenues-Per Capita &amp; SPED'!Z29</f>
        <v>50</v>
      </c>
      <c r="L79" s="341"/>
      <c r="M79" s="217">
        <f>'Revenues-Per Capita &amp; SPED'!AG29</f>
        <v>50</v>
      </c>
      <c r="N79" s="85"/>
      <c r="O79" s="151"/>
      <c r="P79" s="151"/>
      <c r="Q79" s="151"/>
      <c r="R79" s="151"/>
    </row>
    <row r="80" spans="1:18" ht="13.5" customHeight="1">
      <c r="A80" s="400"/>
      <c r="B80" s="777" t="s">
        <v>172</v>
      </c>
      <c r="C80" s="676"/>
      <c r="D80" s="493"/>
      <c r="E80" s="217">
        <f>'Revenues-Per Capita &amp; SPED'!E61</f>
        <v>50</v>
      </c>
      <c r="F80" s="341"/>
      <c r="G80" s="217">
        <f>'Revenues-Per Capita &amp; SPED'!L61</f>
        <v>50</v>
      </c>
      <c r="H80" s="341"/>
      <c r="I80" s="217">
        <f>'Revenues-Per Capita &amp; SPED'!S61</f>
        <v>50</v>
      </c>
      <c r="J80" s="341"/>
      <c r="K80" s="217">
        <f>'Revenues-Per Capita &amp; SPED'!Z61</f>
        <v>50</v>
      </c>
      <c r="L80" s="341"/>
      <c r="M80" s="217">
        <f>'Revenues-Per Capita &amp; SPED'!AG61</f>
        <v>50</v>
      </c>
      <c r="N80" s="85"/>
      <c r="O80" s="151"/>
      <c r="P80" s="151"/>
      <c r="Q80" s="151"/>
      <c r="R80" s="151"/>
    </row>
    <row r="81" spans="1:18" ht="13.5" customHeight="1">
      <c r="A81" s="400"/>
      <c r="B81" s="777" t="s">
        <v>173</v>
      </c>
      <c r="C81" s="676"/>
      <c r="D81" s="493"/>
      <c r="E81" s="217">
        <f>'Revenues-Per Capita &amp; SPED'!E62</f>
        <v>50</v>
      </c>
      <c r="F81" s="341"/>
      <c r="G81" s="217">
        <f>'Revenues-Per Capita &amp; SPED'!L62</f>
        <v>50</v>
      </c>
      <c r="H81" s="341"/>
      <c r="I81" s="217">
        <f>'Revenues-Per Capita &amp; SPED'!S62</f>
        <v>50</v>
      </c>
      <c r="J81" s="341"/>
      <c r="K81" s="217">
        <f>'Revenues-Per Capita &amp; SPED'!Z62</f>
        <v>50</v>
      </c>
      <c r="L81" s="341"/>
      <c r="M81" s="217">
        <f>'Revenues-Per Capita &amp; SPED'!AG62</f>
        <v>50</v>
      </c>
      <c r="N81" s="85"/>
      <c r="O81" s="151"/>
      <c r="P81" s="151"/>
      <c r="Q81" s="151"/>
      <c r="R81" s="151"/>
    </row>
    <row r="82" spans="1:18" ht="13.5" customHeight="1">
      <c r="A82" s="400"/>
      <c r="B82" s="777" t="s">
        <v>174</v>
      </c>
      <c r="C82" s="676"/>
      <c r="D82" s="493"/>
      <c r="E82" s="217">
        <f>'Revenues-Per Capita &amp; SPED'!E63+'Revenues-Per Capita &amp; SPED'!F95</f>
        <v>50</v>
      </c>
      <c r="F82" s="341"/>
      <c r="G82" s="217">
        <f>'Revenues-Per Capita &amp; SPED'!L63+'Revenues-Per Capita &amp; SPED'!M95</f>
        <v>50</v>
      </c>
      <c r="H82" s="341"/>
      <c r="I82" s="217">
        <f>'Revenues-Per Capita &amp; SPED'!S63</f>
        <v>50</v>
      </c>
      <c r="J82" s="341"/>
      <c r="K82" s="217">
        <f>'Revenues-Per Capita &amp; SPED'!Z63</f>
        <v>50</v>
      </c>
      <c r="L82" s="341"/>
      <c r="M82" s="217">
        <f>'Revenues-Per Capita &amp; SPED'!AG63</f>
        <v>50</v>
      </c>
      <c r="N82" s="85"/>
      <c r="O82" s="151"/>
      <c r="P82" s="151"/>
      <c r="Q82" s="151"/>
      <c r="R82" s="151"/>
    </row>
    <row r="83" spans="1:18" ht="13.5" customHeight="1">
      <c r="A83" s="400"/>
      <c r="B83" s="777" t="s">
        <v>175</v>
      </c>
      <c r="C83" s="676"/>
      <c r="D83" s="493"/>
      <c r="E83" s="217">
        <f>'Revenues-Per Capita &amp; SPED'!E64+'Revenues-Per Capita &amp; SPED'!F96</f>
        <v>50</v>
      </c>
      <c r="F83" s="341"/>
      <c r="G83" s="217">
        <f>'Revenues-Per Capita &amp; SPED'!L64+'Revenues-Per Capita &amp; SPED'!M96</f>
        <v>50</v>
      </c>
      <c r="H83" s="341"/>
      <c r="I83" s="217">
        <f>'Revenues-Per Capita &amp; SPED'!S64</f>
        <v>50</v>
      </c>
      <c r="J83" s="341"/>
      <c r="K83" s="217">
        <f>'Revenues-Per Capita &amp; SPED'!Z64</f>
        <v>50</v>
      </c>
      <c r="L83" s="341"/>
      <c r="M83" s="217">
        <f>'Revenues-Per Capita &amp; SPED'!AG64</f>
        <v>50</v>
      </c>
      <c r="N83" s="85"/>
      <c r="O83" s="151"/>
      <c r="P83" s="151"/>
      <c r="Q83" s="151"/>
      <c r="R83" s="151"/>
    </row>
    <row r="84" spans="1:18" ht="13.5" customHeight="1">
      <c r="A84" s="400"/>
      <c r="B84" s="777" t="s">
        <v>176</v>
      </c>
      <c r="C84" s="676"/>
      <c r="D84" s="493"/>
      <c r="E84" s="217">
        <f>'Revenues-Per Capita &amp; SPED'!E65+'Revenues-Per Capita &amp; SPED'!F97</f>
        <v>50</v>
      </c>
      <c r="F84" s="341"/>
      <c r="G84" s="217">
        <f>'Revenues-Per Capita &amp; SPED'!L65+'Revenues-Per Capita &amp; SPED'!M97</f>
        <v>50</v>
      </c>
      <c r="H84" s="341"/>
      <c r="I84" s="217">
        <f>'Revenues-Per Capita &amp; SPED'!S65</f>
        <v>50</v>
      </c>
      <c r="J84" s="341"/>
      <c r="K84" s="217">
        <f>'Revenues-Per Capita &amp; SPED'!Z65</f>
        <v>50</v>
      </c>
      <c r="L84" s="341"/>
      <c r="M84" s="217">
        <f>'Revenues-Per Capita &amp; SPED'!AG65</f>
        <v>50</v>
      </c>
      <c r="N84" s="85"/>
      <c r="O84" s="151"/>
      <c r="P84" s="151"/>
      <c r="Q84" s="151"/>
      <c r="R84" s="151"/>
    </row>
    <row r="85" spans="1:18" ht="13.5" customHeight="1">
      <c r="A85" s="400"/>
      <c r="B85" s="841" t="s">
        <v>177</v>
      </c>
      <c r="C85" s="676"/>
      <c r="D85" s="400"/>
      <c r="E85" s="756">
        <f>SUM(E76:E84)</f>
        <v>450</v>
      </c>
      <c r="F85" s="721"/>
      <c r="G85" s="756">
        <f>SUM(G76:G84)</f>
        <v>450</v>
      </c>
      <c r="H85" s="721"/>
      <c r="I85" s="756">
        <f>SUM(I76:I84)</f>
        <v>450</v>
      </c>
      <c r="J85" s="721"/>
      <c r="K85" s="756">
        <f>SUM(K76:K84)</f>
        <v>450</v>
      </c>
      <c r="L85" s="721"/>
      <c r="M85" s="756">
        <f>SUM(M76:M84)</f>
        <v>450</v>
      </c>
      <c r="N85" s="676"/>
      <c r="O85" s="151"/>
      <c r="P85" s="151"/>
      <c r="Q85" s="151"/>
      <c r="R85" s="151"/>
    </row>
    <row r="86" spans="1:18" ht="13.5" customHeight="1">
      <c r="A86" s="400"/>
      <c r="B86" s="58" t="s">
        <v>178</v>
      </c>
      <c r="C86" s="676"/>
      <c r="D86" s="400"/>
      <c r="E86" s="787" t="s">
        <v>488</v>
      </c>
      <c r="F86" s="785"/>
      <c r="G86" s="16"/>
      <c r="H86" s="785"/>
      <c r="I86" s="16"/>
      <c r="J86" s="785"/>
      <c r="K86" s="16"/>
      <c r="L86" s="785"/>
      <c r="M86" s="16"/>
      <c r="N86" s="676"/>
      <c r="O86" s="151"/>
      <c r="P86" s="151"/>
      <c r="Q86" s="151"/>
      <c r="R86" s="151"/>
    </row>
    <row r="87" spans="1:18">
      <c r="B87" s="168"/>
      <c r="C87" s="151"/>
      <c r="D87" s="151"/>
      <c r="E87" s="784"/>
      <c r="F87" s="232"/>
      <c r="G87" s="784"/>
      <c r="H87" s="232"/>
      <c r="I87" s="784"/>
      <c r="J87" s="232"/>
      <c r="K87" s="784"/>
      <c r="L87" s="232"/>
      <c r="M87" s="784"/>
      <c r="N87" s="151"/>
      <c r="O87" s="151"/>
      <c r="P87" s="151"/>
      <c r="Q87" s="151"/>
      <c r="R87" s="151"/>
    </row>
    <row r="88" spans="1:18" ht="13.5" customHeight="1">
      <c r="B88" s="734"/>
      <c r="C88" s="151"/>
      <c r="D88" s="151"/>
      <c r="E88" s="734"/>
      <c r="F88" s="232"/>
      <c r="G88" s="734"/>
      <c r="H88" s="232"/>
      <c r="I88" s="734"/>
      <c r="J88" s="232"/>
      <c r="K88" s="734"/>
      <c r="L88" s="232"/>
      <c r="M88" s="734"/>
      <c r="N88" s="151"/>
      <c r="O88" s="151"/>
      <c r="P88" s="151"/>
      <c r="Q88" s="151"/>
      <c r="R88" s="151"/>
    </row>
    <row r="89" spans="1:18" ht="13.5" customHeight="1">
      <c r="A89" s="400"/>
      <c r="B89" s="186" t="s">
        <v>179</v>
      </c>
      <c r="C89" s="676"/>
      <c r="D89" s="400"/>
      <c r="E89" s="841">
        <f>$E$8</f>
        <v>1</v>
      </c>
      <c r="F89" s="721"/>
      <c r="G89" s="841">
        <f>$G$8</f>
        <v>2</v>
      </c>
      <c r="H89" s="721"/>
      <c r="I89" s="841">
        <f>$I$8</f>
        <v>3</v>
      </c>
      <c r="J89" s="721"/>
      <c r="K89" s="841">
        <f>$K$8</f>
        <v>4</v>
      </c>
      <c r="L89" s="721"/>
      <c r="M89" s="841">
        <f>$M$8</f>
        <v>5</v>
      </c>
      <c r="N89" s="676"/>
      <c r="O89" s="151"/>
      <c r="P89" s="151"/>
      <c r="Q89" s="151"/>
      <c r="R89" s="151"/>
    </row>
    <row r="90" spans="1:18" ht="13.5" customHeight="1">
      <c r="A90" s="400"/>
      <c r="B90" s="777" t="s">
        <v>180</v>
      </c>
      <c r="C90" s="676"/>
      <c r="D90" s="493"/>
      <c r="E90" s="298">
        <f>'Revenues-Per Capita &amp; SPED'!F126</f>
        <v>0</v>
      </c>
      <c r="F90" s="341"/>
      <c r="G90" s="298">
        <f>'Revenues-Per Capita &amp; SPED'!M126</f>
        <v>75</v>
      </c>
      <c r="H90" s="341"/>
      <c r="I90" s="298">
        <f>'Revenues-Per Capita &amp; SPED'!T126</f>
        <v>75</v>
      </c>
      <c r="J90" s="341"/>
      <c r="K90" s="298">
        <f>'Revenues-Per Capita &amp; SPED'!AA126</f>
        <v>75</v>
      </c>
      <c r="L90" s="341"/>
      <c r="M90" s="298">
        <f>'Revenues-Per Capita &amp; SPED'!AH126</f>
        <v>75</v>
      </c>
      <c r="N90" s="85"/>
      <c r="O90" s="151"/>
      <c r="P90" s="151"/>
      <c r="Q90" s="151"/>
      <c r="R90" s="151"/>
    </row>
    <row r="91" spans="1:18" ht="13.5" customHeight="1">
      <c r="A91" s="400"/>
      <c r="B91" s="777" t="s">
        <v>181</v>
      </c>
      <c r="C91" s="676"/>
      <c r="D91" s="493"/>
      <c r="E91" s="217">
        <f>'Revenues-Per Capita &amp; SPED'!F127</f>
        <v>0</v>
      </c>
      <c r="F91" s="341"/>
      <c r="G91" s="217">
        <f>'Revenues-Per Capita &amp; SPED'!M127</f>
        <v>0</v>
      </c>
      <c r="H91" s="341"/>
      <c r="I91" s="217">
        <f>'Revenues-Per Capita &amp; SPED'!T127</f>
        <v>70</v>
      </c>
      <c r="J91" s="341"/>
      <c r="K91" s="217">
        <f>'Revenues-Per Capita &amp; SPED'!AA127</f>
        <v>70</v>
      </c>
      <c r="L91" s="341"/>
      <c r="M91" s="217">
        <f>'Revenues-Per Capita &amp; SPED'!AH127</f>
        <v>70</v>
      </c>
      <c r="N91" s="85"/>
      <c r="O91" s="151"/>
      <c r="P91" s="151"/>
      <c r="Q91" s="151"/>
      <c r="R91" s="151"/>
    </row>
    <row r="92" spans="1:18" ht="13.5" customHeight="1">
      <c r="A92" s="400"/>
      <c r="B92" s="777" t="s">
        <v>182</v>
      </c>
      <c r="C92" s="676"/>
      <c r="D92" s="493"/>
      <c r="E92" s="217">
        <f>'Revenues-Per Capita &amp; SPED'!F128</f>
        <v>0</v>
      </c>
      <c r="F92" s="341"/>
      <c r="G92" s="217">
        <f>'Revenues-Per Capita &amp; SPED'!M128</f>
        <v>0</v>
      </c>
      <c r="H92" s="341"/>
      <c r="I92" s="217">
        <f>'Revenues-Per Capita &amp; SPED'!T128</f>
        <v>0</v>
      </c>
      <c r="J92" s="341"/>
      <c r="K92" s="217">
        <f>'Revenues-Per Capita &amp; SPED'!AA128</f>
        <v>70</v>
      </c>
      <c r="L92" s="341"/>
      <c r="M92" s="217">
        <f>'Revenues-Per Capita &amp; SPED'!AH128</f>
        <v>70</v>
      </c>
      <c r="N92" s="85"/>
      <c r="O92" s="151"/>
      <c r="P92" s="151"/>
      <c r="Q92" s="151"/>
      <c r="R92" s="151"/>
    </row>
    <row r="93" spans="1:18" ht="13.5" customHeight="1">
      <c r="A93" s="400"/>
      <c r="B93" s="777" t="s">
        <v>183</v>
      </c>
      <c r="C93" s="676"/>
      <c r="D93" s="493"/>
      <c r="E93" s="217">
        <f>'Revenues-Per Capita &amp; SPED'!F129</f>
        <v>0</v>
      </c>
      <c r="F93" s="341"/>
      <c r="G93" s="217">
        <f>'Revenues-Per Capita &amp; SPED'!M129</f>
        <v>0</v>
      </c>
      <c r="H93" s="341"/>
      <c r="I93" s="217">
        <f>'Revenues-Per Capita &amp; SPED'!T129</f>
        <v>0</v>
      </c>
      <c r="J93" s="341"/>
      <c r="K93" s="217">
        <f>'Revenues-Per Capita &amp; SPED'!AA129</f>
        <v>0</v>
      </c>
      <c r="L93" s="341"/>
      <c r="M93" s="217">
        <f>'Revenues-Per Capita &amp; SPED'!AH129</f>
        <v>70</v>
      </c>
      <c r="N93" s="85"/>
      <c r="O93" s="151"/>
      <c r="P93" s="151"/>
      <c r="Q93" s="151"/>
      <c r="R93" s="151"/>
    </row>
    <row r="94" spans="1:18" ht="13.5" customHeight="1">
      <c r="A94" s="400"/>
      <c r="B94" s="787" t="s">
        <v>184</v>
      </c>
      <c r="C94" s="676"/>
      <c r="D94" s="400"/>
      <c r="E94" s="756">
        <f>SUM(E90:E93)</f>
        <v>0</v>
      </c>
      <c r="F94" s="721"/>
      <c r="G94" s="756">
        <f>SUM(G90:G93)</f>
        <v>75</v>
      </c>
      <c r="H94" s="721"/>
      <c r="I94" s="756">
        <f>SUM(I90:I93)</f>
        <v>145</v>
      </c>
      <c r="J94" s="721"/>
      <c r="K94" s="756">
        <f>SUM(K90:K93)</f>
        <v>215</v>
      </c>
      <c r="L94" s="721"/>
      <c r="M94" s="756">
        <f>SUM(M90:M93)</f>
        <v>285</v>
      </c>
      <c r="N94" s="676"/>
      <c r="O94" s="151"/>
      <c r="P94" s="151"/>
      <c r="Q94" s="151"/>
      <c r="R94" s="151"/>
    </row>
    <row r="95" spans="1:18" ht="13.5" customHeight="1">
      <c r="A95" s="400"/>
      <c r="B95" s="58" t="s">
        <v>185</v>
      </c>
      <c r="C95" s="676"/>
      <c r="D95" s="400"/>
      <c r="E95" s="787" t="s">
        <v>488</v>
      </c>
      <c r="F95" s="785"/>
      <c r="G95" s="16"/>
      <c r="H95" s="785"/>
      <c r="I95" s="16"/>
      <c r="J95" s="785"/>
      <c r="K95" s="16"/>
      <c r="L95" s="785"/>
      <c r="M95" s="16"/>
      <c r="N95" s="676"/>
      <c r="O95" s="151"/>
      <c r="P95" s="151"/>
      <c r="Q95" s="151"/>
      <c r="R95" s="151"/>
    </row>
    <row r="96" spans="1:18" ht="13.5" customHeight="1">
      <c r="B96" s="27"/>
      <c r="C96" s="151"/>
      <c r="D96" s="151"/>
      <c r="E96" s="816"/>
      <c r="F96" s="232"/>
      <c r="G96" s="816"/>
      <c r="H96" s="232"/>
      <c r="I96" s="816"/>
      <c r="J96" s="232"/>
      <c r="K96" s="816"/>
      <c r="L96" s="232"/>
      <c r="M96" s="816">
        <f>+A53</f>
        <v>0</v>
      </c>
      <c r="N96" s="151"/>
      <c r="O96" s="151"/>
      <c r="P96" s="151"/>
      <c r="Q96" s="151"/>
      <c r="R96" s="151"/>
    </row>
    <row r="97" spans="1:18" ht="13.5" customHeight="1">
      <c r="A97" s="400"/>
      <c r="B97" s="841" t="s">
        <v>334</v>
      </c>
      <c r="C97" s="676"/>
      <c r="D97" s="400"/>
      <c r="E97" s="787">
        <f>E85+E94</f>
        <v>450</v>
      </c>
      <c r="F97" s="721"/>
      <c r="G97" s="787">
        <f>G85+G94</f>
        <v>525</v>
      </c>
      <c r="H97" s="721"/>
      <c r="I97" s="787">
        <f>I85+I94</f>
        <v>595</v>
      </c>
      <c r="J97" s="721"/>
      <c r="K97" s="787">
        <f>K85+K94</f>
        <v>665</v>
      </c>
      <c r="L97" s="721"/>
      <c r="M97" s="787">
        <f>M85+M94</f>
        <v>735</v>
      </c>
      <c r="N97" s="676"/>
      <c r="O97" s="151"/>
      <c r="P97" s="151"/>
      <c r="Q97" s="151"/>
      <c r="R97" s="151"/>
    </row>
    <row r="98" spans="1:18">
      <c r="B98" s="391"/>
      <c r="C98" s="151"/>
      <c r="D98" s="151"/>
      <c r="E98" s="784"/>
      <c r="F98" s="232"/>
      <c r="G98" s="784"/>
      <c r="H98" s="232"/>
      <c r="I98" s="784"/>
      <c r="J98" s="232"/>
      <c r="K98" s="784"/>
      <c r="L98" s="232"/>
      <c r="M98" s="784"/>
      <c r="N98" s="151"/>
      <c r="O98" s="151"/>
      <c r="P98" s="151"/>
      <c r="Q98" s="151"/>
      <c r="R98" s="151"/>
    </row>
    <row r="99" spans="1:18">
      <c r="B99" s="151"/>
      <c r="C99" s="151"/>
      <c r="D99" s="151"/>
      <c r="E99" s="232"/>
      <c r="F99" s="232"/>
      <c r="G99" s="232"/>
      <c r="H99" s="232"/>
      <c r="I99" s="232"/>
      <c r="J99" s="232"/>
      <c r="K99" s="232"/>
      <c r="L99" s="232"/>
      <c r="M99" s="232"/>
      <c r="N99" s="151"/>
      <c r="O99" s="151"/>
      <c r="P99" s="151"/>
      <c r="Q99" s="151"/>
      <c r="R99" s="151"/>
    </row>
    <row r="100" spans="1:18">
      <c r="B100" s="151"/>
      <c r="C100" s="151"/>
      <c r="D100" s="151"/>
      <c r="E100" s="232"/>
      <c r="F100" s="232"/>
      <c r="G100" s="232"/>
      <c r="H100" s="232"/>
      <c r="I100" s="232"/>
      <c r="J100" s="232"/>
      <c r="K100" s="232"/>
      <c r="L100" s="232"/>
      <c r="M100" s="232"/>
      <c r="N100" s="151"/>
      <c r="O100" s="151"/>
      <c r="P100" s="151"/>
      <c r="Q100" s="151"/>
      <c r="R100" s="151"/>
    </row>
    <row r="101" spans="1:18">
      <c r="B101" s="151"/>
      <c r="C101" s="151"/>
      <c r="D101" s="151"/>
      <c r="E101" s="133"/>
      <c r="F101" s="377"/>
      <c r="G101" s="377"/>
      <c r="H101" s="377"/>
      <c r="I101" s="377"/>
      <c r="J101" s="377"/>
      <c r="K101" s="377"/>
      <c r="L101" s="377"/>
      <c r="M101" s="377"/>
      <c r="N101" s="151"/>
      <c r="O101" s="151"/>
      <c r="P101" s="151"/>
      <c r="Q101" s="151"/>
      <c r="R101" s="151"/>
    </row>
    <row r="102" spans="1:18">
      <c r="B102" s="151"/>
      <c r="C102" s="151"/>
      <c r="D102" s="151"/>
      <c r="E102" s="377"/>
      <c r="F102" s="377"/>
      <c r="G102" s="377"/>
      <c r="H102" s="377"/>
      <c r="I102" s="377"/>
      <c r="J102" s="377"/>
      <c r="K102" s="377"/>
      <c r="L102" s="377"/>
      <c r="M102" s="377"/>
      <c r="N102" s="151"/>
      <c r="O102" s="151"/>
      <c r="P102" s="151"/>
      <c r="Q102" s="151"/>
      <c r="R102" s="151"/>
    </row>
    <row r="103" spans="1:18">
      <c r="B103" s="151"/>
      <c r="C103" s="151"/>
      <c r="D103" s="151"/>
      <c r="E103" s="232"/>
      <c r="F103" s="232"/>
      <c r="G103" s="232"/>
      <c r="H103" s="232"/>
      <c r="I103" s="232"/>
      <c r="J103" s="232"/>
      <c r="K103" s="232"/>
      <c r="L103" s="232"/>
      <c r="M103" s="232"/>
      <c r="N103" s="151"/>
      <c r="O103" s="151"/>
      <c r="P103" s="151"/>
      <c r="Q103" s="151"/>
      <c r="R103" s="151"/>
    </row>
    <row r="104" spans="1:18">
      <c r="B104" s="151"/>
      <c r="C104" s="151"/>
      <c r="D104" s="151"/>
      <c r="E104" s="232"/>
      <c r="F104" s="232"/>
      <c r="G104" s="232"/>
      <c r="H104" s="232"/>
      <c r="I104" s="232"/>
      <c r="J104" s="232"/>
      <c r="K104" s="232"/>
      <c r="L104" s="232"/>
      <c r="M104" s="232"/>
      <c r="N104" s="151"/>
      <c r="O104" s="151"/>
      <c r="P104" s="151"/>
      <c r="Q104" s="151"/>
      <c r="R104" s="151"/>
    </row>
    <row r="105" spans="1:18">
      <c r="B105" s="151"/>
      <c r="C105" s="151"/>
      <c r="D105" s="151"/>
      <c r="E105" s="232"/>
      <c r="F105" s="232"/>
      <c r="G105" s="232"/>
      <c r="H105" s="232"/>
      <c r="I105" s="232"/>
      <c r="J105" s="232"/>
      <c r="K105" s="232"/>
      <c r="L105" s="232"/>
      <c r="M105" s="232"/>
      <c r="N105" s="151"/>
      <c r="O105" s="151"/>
      <c r="P105" s="151"/>
      <c r="Q105" s="151"/>
      <c r="R105" s="151"/>
    </row>
    <row r="106" spans="1:18">
      <c r="B106" s="151"/>
      <c r="C106" s="151"/>
      <c r="D106" s="151"/>
      <c r="E106" s="232"/>
      <c r="F106" s="232"/>
      <c r="G106" s="232"/>
      <c r="H106" s="232"/>
      <c r="I106" s="232"/>
      <c r="J106" s="232"/>
      <c r="K106" s="232"/>
      <c r="L106" s="232"/>
      <c r="M106" s="232"/>
      <c r="N106" s="151"/>
      <c r="O106" s="151"/>
      <c r="P106" s="151"/>
      <c r="Q106" s="151"/>
      <c r="R106" s="151"/>
    </row>
    <row r="107" spans="1:18">
      <c r="B107" s="151"/>
      <c r="C107" s="151"/>
      <c r="D107" s="151"/>
      <c r="E107" s="232"/>
      <c r="F107" s="232"/>
      <c r="G107" s="232"/>
      <c r="H107" s="232"/>
      <c r="I107" s="232"/>
      <c r="J107" s="232"/>
      <c r="K107" s="232"/>
      <c r="L107" s="232"/>
      <c r="M107" s="232"/>
      <c r="N107" s="151"/>
      <c r="O107" s="151"/>
      <c r="P107" s="151"/>
      <c r="Q107" s="151"/>
      <c r="R107" s="151"/>
    </row>
    <row r="108" spans="1:18">
      <c r="B108" s="151"/>
      <c r="C108" s="151"/>
      <c r="D108" s="151"/>
      <c r="N108" s="151"/>
      <c r="O108" s="151"/>
      <c r="P108" s="151"/>
      <c r="Q108" s="151"/>
      <c r="R108" s="151"/>
    </row>
    <row r="109" spans="1:18">
      <c r="B109" s="151"/>
      <c r="C109" s="151"/>
      <c r="D109" s="151"/>
      <c r="N109" s="151"/>
      <c r="O109" s="151"/>
      <c r="P109" s="151"/>
      <c r="Q109" s="151"/>
      <c r="R109" s="151"/>
    </row>
    <row r="110" spans="1:18">
      <c r="B110" s="151"/>
      <c r="C110" s="151"/>
      <c r="D110" s="151"/>
      <c r="N110" s="151"/>
      <c r="O110" s="151"/>
      <c r="P110" s="151"/>
      <c r="Q110" s="151"/>
      <c r="R110" s="151"/>
    </row>
    <row r="111" spans="1:18">
      <c r="B111" s="151"/>
      <c r="C111" s="151"/>
      <c r="D111" s="151"/>
      <c r="N111" s="151"/>
      <c r="O111" s="151"/>
      <c r="P111" s="151"/>
      <c r="Q111" s="151"/>
      <c r="R111" s="151"/>
    </row>
    <row r="112" spans="1:18">
      <c r="B112" s="151"/>
      <c r="C112" s="151"/>
      <c r="D112" s="151"/>
      <c r="N112" s="151"/>
      <c r="O112" s="151"/>
      <c r="P112" s="151"/>
      <c r="Q112" s="151"/>
      <c r="R112" s="151"/>
    </row>
    <row r="113" spans="2:18">
      <c r="B113" s="151"/>
      <c r="C113" s="151"/>
      <c r="D113" s="151"/>
      <c r="N113" s="151"/>
      <c r="O113" s="151"/>
      <c r="P113" s="151"/>
      <c r="Q113" s="151"/>
      <c r="R113" s="151"/>
    </row>
    <row r="114" spans="2:18">
      <c r="B114" s="151"/>
      <c r="C114" s="151"/>
      <c r="D114" s="151"/>
      <c r="N114" s="151"/>
      <c r="O114" s="151"/>
      <c r="P114" s="151"/>
      <c r="Q114" s="151"/>
      <c r="R114" s="151"/>
    </row>
    <row r="115" spans="2:18">
      <c r="B115" s="151"/>
      <c r="C115" s="151"/>
      <c r="D115" s="151"/>
      <c r="N115" s="151"/>
      <c r="O115" s="151"/>
      <c r="P115" s="151"/>
      <c r="Q115" s="151"/>
      <c r="R115" s="151"/>
    </row>
    <row r="116" spans="2:18">
      <c r="B116" s="151"/>
      <c r="C116" s="151"/>
      <c r="D116" s="151"/>
      <c r="N116" s="151"/>
      <c r="O116" s="151"/>
      <c r="P116" s="151"/>
      <c r="Q116" s="151"/>
      <c r="R116" s="151"/>
    </row>
    <row r="117" spans="2:18">
      <c r="B117" s="151"/>
      <c r="C117" s="151"/>
      <c r="D117" s="151"/>
      <c r="N117" s="151"/>
      <c r="O117" s="151"/>
      <c r="P117" s="151"/>
      <c r="Q117" s="151"/>
      <c r="R117" s="151"/>
    </row>
    <row r="118" spans="2:18">
      <c r="B118" s="151"/>
      <c r="C118" s="151"/>
      <c r="D118" s="151"/>
      <c r="N118" s="151"/>
      <c r="O118" s="151"/>
      <c r="P118" s="151"/>
      <c r="Q118" s="151"/>
      <c r="R118" s="151"/>
    </row>
    <row r="119" spans="2:18">
      <c r="B119" s="151"/>
      <c r="C119" s="151"/>
      <c r="D119" s="151"/>
      <c r="N119" s="151"/>
      <c r="O119" s="151"/>
      <c r="P119" s="151"/>
      <c r="Q119" s="151"/>
      <c r="R119" s="151"/>
    </row>
    <row r="120" spans="2:18">
      <c r="B120" s="151"/>
      <c r="C120" s="151"/>
      <c r="D120" s="151"/>
      <c r="N120" s="151"/>
      <c r="O120" s="151"/>
      <c r="P120" s="151"/>
      <c r="Q120" s="151"/>
      <c r="R120" s="151"/>
    </row>
    <row r="121" spans="2:18">
      <c r="B121" s="151"/>
      <c r="C121" s="151"/>
      <c r="D121" s="151"/>
      <c r="N121" s="151"/>
      <c r="O121" s="151"/>
      <c r="P121" s="151"/>
      <c r="Q121" s="151"/>
      <c r="R121" s="151"/>
    </row>
    <row r="122" spans="2:18">
      <c r="B122" s="151"/>
      <c r="C122" s="151"/>
      <c r="D122" s="151"/>
      <c r="N122" s="151"/>
      <c r="O122" s="151"/>
      <c r="P122" s="151"/>
      <c r="Q122" s="151"/>
      <c r="R122" s="151"/>
    </row>
    <row r="123" spans="2:18">
      <c r="B123" s="151"/>
      <c r="C123" s="151"/>
      <c r="D123" s="151"/>
      <c r="N123" s="151"/>
      <c r="O123" s="151"/>
      <c r="P123" s="151"/>
      <c r="Q123" s="151"/>
      <c r="R123" s="151"/>
    </row>
    <row r="124" spans="2:18">
      <c r="B124" s="151"/>
      <c r="C124" s="151"/>
      <c r="D124" s="151"/>
      <c r="N124" s="151"/>
      <c r="O124" s="151"/>
      <c r="P124" s="151"/>
      <c r="Q124" s="151"/>
      <c r="R124" s="151"/>
    </row>
    <row r="125" spans="2:18">
      <c r="B125" s="151"/>
      <c r="C125" s="151"/>
      <c r="D125" s="151"/>
      <c r="N125" s="151"/>
      <c r="O125" s="151"/>
      <c r="P125" s="151"/>
      <c r="Q125" s="151"/>
      <c r="R125" s="151"/>
    </row>
    <row r="126" spans="2:18">
      <c r="B126" s="151"/>
      <c r="C126" s="151"/>
      <c r="D126" s="151"/>
      <c r="N126" s="151"/>
      <c r="O126" s="151"/>
      <c r="P126" s="151"/>
      <c r="Q126" s="151"/>
      <c r="R126" s="151"/>
    </row>
    <row r="127" spans="2:18">
      <c r="B127" s="151"/>
      <c r="C127" s="151"/>
      <c r="D127" s="151"/>
      <c r="N127" s="151"/>
      <c r="O127" s="151"/>
      <c r="P127" s="151"/>
      <c r="Q127" s="151"/>
      <c r="R127" s="151"/>
    </row>
    <row r="128" spans="2:18">
      <c r="B128" s="151"/>
      <c r="C128" s="151"/>
      <c r="D128" s="151"/>
      <c r="N128" s="151"/>
      <c r="O128" s="151"/>
      <c r="P128" s="151"/>
      <c r="Q128" s="151"/>
      <c r="R128" s="151"/>
    </row>
    <row r="129" spans="2:18">
      <c r="B129" s="151"/>
      <c r="C129" s="151"/>
      <c r="D129" s="151"/>
      <c r="N129" s="151"/>
      <c r="O129" s="151"/>
      <c r="P129" s="151"/>
      <c r="Q129" s="151"/>
      <c r="R129" s="151"/>
    </row>
    <row r="130" spans="2:18">
      <c r="B130" s="151"/>
      <c r="C130" s="151"/>
      <c r="D130" s="151"/>
      <c r="N130" s="151"/>
      <c r="O130" s="151"/>
      <c r="P130" s="151"/>
      <c r="Q130" s="151"/>
      <c r="R130" s="151"/>
    </row>
    <row r="131" spans="2:18">
      <c r="B131" s="151"/>
      <c r="C131" s="151"/>
      <c r="D131" s="151"/>
      <c r="N131" s="151"/>
      <c r="O131" s="151"/>
      <c r="P131" s="151"/>
      <c r="Q131" s="151"/>
      <c r="R131" s="151"/>
    </row>
    <row r="132" spans="2:18">
      <c r="B132" s="151"/>
      <c r="C132" s="151"/>
      <c r="D132" s="151"/>
      <c r="N132" s="151"/>
      <c r="O132" s="151"/>
      <c r="P132" s="151"/>
      <c r="Q132" s="151"/>
      <c r="R132" s="151"/>
    </row>
    <row r="133" spans="2:18">
      <c r="B133" s="151"/>
      <c r="C133" s="151"/>
      <c r="D133" s="151"/>
      <c r="N133" s="151"/>
      <c r="O133" s="151"/>
      <c r="P133" s="151"/>
      <c r="Q133" s="151"/>
      <c r="R133" s="151"/>
    </row>
    <row r="134" spans="2:18">
      <c r="B134" s="151"/>
      <c r="C134" s="151"/>
      <c r="D134" s="151"/>
      <c r="N134" s="151"/>
      <c r="O134" s="151"/>
      <c r="P134" s="151"/>
      <c r="Q134" s="151"/>
      <c r="R134" s="151"/>
    </row>
    <row r="135" spans="2:18">
      <c r="B135" s="151"/>
      <c r="C135" s="151"/>
      <c r="D135" s="151"/>
      <c r="N135" s="151"/>
      <c r="O135" s="151"/>
      <c r="P135" s="151"/>
      <c r="Q135" s="151"/>
      <c r="R135" s="151"/>
    </row>
    <row r="136" spans="2:18">
      <c r="B136" s="151"/>
      <c r="C136" s="151"/>
      <c r="D136" s="151"/>
      <c r="N136" s="151"/>
      <c r="O136" s="151"/>
      <c r="P136" s="151"/>
      <c r="Q136" s="151"/>
      <c r="R136" s="151"/>
    </row>
    <row r="137" spans="2:18">
      <c r="B137" s="151"/>
      <c r="C137" s="151"/>
      <c r="D137" s="151"/>
      <c r="N137" s="151"/>
      <c r="O137" s="151"/>
      <c r="P137" s="151"/>
      <c r="Q137" s="151"/>
      <c r="R137" s="151"/>
    </row>
    <row r="138" spans="2:18">
      <c r="B138" s="151"/>
      <c r="C138" s="151"/>
      <c r="D138" s="151"/>
      <c r="N138" s="151"/>
      <c r="O138" s="151"/>
      <c r="P138" s="151"/>
      <c r="Q138" s="151"/>
      <c r="R138" s="151"/>
    </row>
    <row r="139" spans="2:18">
      <c r="B139" s="151"/>
      <c r="C139" s="151"/>
      <c r="D139" s="151"/>
      <c r="N139" s="151"/>
      <c r="O139" s="151"/>
      <c r="P139" s="151"/>
      <c r="Q139" s="151"/>
      <c r="R139" s="151"/>
    </row>
    <row r="140" spans="2:18">
      <c r="B140" s="151"/>
      <c r="C140" s="151"/>
      <c r="D140" s="151"/>
      <c r="N140" s="151"/>
      <c r="O140" s="151"/>
      <c r="P140" s="151"/>
      <c r="Q140" s="151"/>
      <c r="R140" s="151"/>
    </row>
    <row r="141" spans="2:18">
      <c r="B141" s="151"/>
      <c r="C141" s="151"/>
      <c r="D141" s="151"/>
      <c r="N141" s="151"/>
      <c r="O141" s="151"/>
      <c r="P141" s="151"/>
      <c r="Q141" s="151"/>
      <c r="R141" s="151"/>
    </row>
    <row r="142" spans="2:18">
      <c r="B142" s="151"/>
      <c r="C142" s="151"/>
      <c r="D142" s="151"/>
      <c r="N142" s="151"/>
      <c r="O142" s="151"/>
      <c r="P142" s="151"/>
      <c r="Q142" s="151"/>
      <c r="R142" s="151"/>
    </row>
    <row r="143" spans="2:18">
      <c r="B143" s="151"/>
      <c r="C143" s="151"/>
      <c r="D143" s="151"/>
      <c r="N143" s="151"/>
      <c r="O143" s="151"/>
      <c r="P143" s="151"/>
      <c r="Q143" s="151"/>
      <c r="R143" s="151"/>
    </row>
    <row r="144" spans="2:18">
      <c r="B144" s="151"/>
      <c r="C144" s="151"/>
      <c r="D144" s="151"/>
      <c r="N144" s="151"/>
      <c r="O144" s="151"/>
      <c r="P144" s="151"/>
      <c r="Q144" s="151"/>
      <c r="R144" s="151"/>
    </row>
    <row r="145" spans="2:18">
      <c r="B145" s="151"/>
      <c r="C145" s="151"/>
      <c r="D145" s="151"/>
      <c r="N145" s="151"/>
      <c r="O145" s="151"/>
      <c r="P145" s="151"/>
      <c r="Q145" s="151"/>
      <c r="R145" s="151"/>
    </row>
    <row r="146" spans="2:18">
      <c r="B146" s="151"/>
      <c r="C146" s="151"/>
      <c r="D146" s="151"/>
      <c r="N146" s="151"/>
      <c r="O146" s="151"/>
      <c r="P146" s="151"/>
      <c r="Q146" s="151"/>
      <c r="R146" s="151"/>
    </row>
    <row r="147" spans="2:18">
      <c r="B147" s="151"/>
      <c r="C147" s="151"/>
      <c r="D147" s="151"/>
      <c r="N147" s="151"/>
      <c r="O147" s="151"/>
      <c r="P147" s="151"/>
      <c r="Q147" s="151"/>
      <c r="R147" s="151"/>
    </row>
    <row r="148" spans="2:18">
      <c r="B148" s="151"/>
      <c r="C148" s="151"/>
      <c r="D148" s="151"/>
      <c r="N148" s="151"/>
      <c r="O148" s="151"/>
      <c r="P148" s="151"/>
      <c r="Q148" s="151"/>
      <c r="R148" s="151"/>
    </row>
    <row r="149" spans="2:18">
      <c r="B149" s="151"/>
      <c r="C149" s="151"/>
      <c r="D149" s="151"/>
      <c r="N149" s="151"/>
      <c r="O149" s="151"/>
      <c r="P149" s="151"/>
      <c r="Q149" s="151"/>
      <c r="R149" s="151"/>
    </row>
    <row r="150" spans="2:18">
      <c r="B150" s="151"/>
      <c r="C150" s="151"/>
      <c r="D150" s="151"/>
      <c r="N150" s="151"/>
      <c r="O150" s="151"/>
      <c r="P150" s="151"/>
      <c r="Q150" s="151"/>
      <c r="R150" s="151"/>
    </row>
    <row r="151" spans="2:18">
      <c r="B151" s="151"/>
      <c r="C151" s="151"/>
      <c r="D151" s="151"/>
      <c r="N151" s="151"/>
      <c r="O151" s="151"/>
      <c r="P151" s="151"/>
      <c r="Q151" s="151"/>
      <c r="R151" s="151"/>
    </row>
    <row r="152" spans="2:18">
      <c r="B152" s="151"/>
      <c r="C152" s="151"/>
      <c r="D152" s="151"/>
      <c r="N152" s="151"/>
      <c r="O152" s="151"/>
      <c r="P152" s="151"/>
      <c r="Q152" s="151"/>
      <c r="R152" s="151"/>
    </row>
    <row r="153" spans="2:18">
      <c r="B153" s="151"/>
      <c r="C153" s="151"/>
      <c r="D153" s="151"/>
      <c r="N153" s="151"/>
      <c r="O153" s="151"/>
      <c r="P153" s="151"/>
      <c r="Q153" s="151"/>
      <c r="R153" s="151"/>
    </row>
    <row r="154" spans="2:18">
      <c r="B154" s="151"/>
      <c r="C154" s="151"/>
      <c r="D154" s="151"/>
      <c r="N154" s="151"/>
      <c r="O154" s="151"/>
      <c r="P154" s="151"/>
      <c r="Q154" s="151"/>
      <c r="R154" s="151"/>
    </row>
    <row r="155" spans="2:18">
      <c r="B155" s="151"/>
      <c r="C155" s="151"/>
      <c r="D155" s="151"/>
      <c r="N155" s="151"/>
      <c r="O155" s="151"/>
      <c r="P155" s="151"/>
      <c r="Q155" s="151"/>
      <c r="R155" s="151"/>
    </row>
    <row r="156" spans="2:18">
      <c r="B156" s="151"/>
      <c r="C156" s="151"/>
      <c r="D156" s="151"/>
      <c r="N156" s="151"/>
      <c r="O156" s="151"/>
      <c r="P156" s="151"/>
      <c r="Q156" s="151"/>
      <c r="R156" s="151"/>
    </row>
    <row r="157" spans="2:18">
      <c r="B157" s="151"/>
      <c r="C157" s="151"/>
      <c r="D157" s="151"/>
      <c r="N157" s="151"/>
      <c r="O157" s="151"/>
      <c r="P157" s="151"/>
      <c r="Q157" s="151"/>
      <c r="R157" s="151"/>
    </row>
    <row r="158" spans="2:18">
      <c r="B158" s="151"/>
      <c r="C158" s="151"/>
      <c r="D158" s="151"/>
      <c r="N158" s="151"/>
      <c r="O158" s="151"/>
      <c r="P158" s="151"/>
      <c r="Q158" s="151"/>
      <c r="R158" s="151"/>
    </row>
    <row r="159" spans="2:18">
      <c r="B159" s="151"/>
      <c r="C159" s="151"/>
      <c r="D159" s="151"/>
      <c r="N159" s="151"/>
      <c r="O159" s="151"/>
      <c r="P159" s="151"/>
      <c r="Q159" s="151"/>
      <c r="R159" s="151"/>
    </row>
    <row r="160" spans="2:18">
      <c r="B160" s="151"/>
      <c r="C160" s="151"/>
      <c r="D160" s="151"/>
      <c r="N160" s="151"/>
      <c r="O160" s="151"/>
      <c r="P160" s="151"/>
      <c r="Q160" s="151"/>
      <c r="R160" s="151"/>
    </row>
    <row r="161" spans="2:18">
      <c r="B161" s="151"/>
      <c r="C161" s="151"/>
      <c r="D161" s="151"/>
      <c r="N161" s="151"/>
      <c r="O161" s="151"/>
      <c r="P161" s="151"/>
      <c r="Q161" s="151"/>
      <c r="R161" s="151"/>
    </row>
    <row r="162" spans="2:18">
      <c r="B162" s="151"/>
      <c r="C162" s="151"/>
      <c r="D162" s="151"/>
      <c r="N162" s="151"/>
      <c r="O162" s="151"/>
      <c r="P162" s="151"/>
      <c r="Q162" s="151"/>
      <c r="R162" s="151"/>
    </row>
    <row r="163" spans="2:18">
      <c r="B163" s="151"/>
      <c r="C163" s="151"/>
      <c r="D163" s="151"/>
      <c r="N163" s="151"/>
      <c r="O163" s="151"/>
      <c r="P163" s="151"/>
      <c r="Q163" s="151"/>
      <c r="R163" s="151"/>
    </row>
    <row r="164" spans="2:18">
      <c r="B164" s="151"/>
      <c r="C164" s="151"/>
      <c r="D164" s="151"/>
      <c r="N164" s="151"/>
      <c r="O164" s="151"/>
      <c r="P164" s="151"/>
      <c r="Q164" s="151"/>
      <c r="R164" s="151"/>
    </row>
    <row r="165" spans="2:18">
      <c r="B165" s="151"/>
      <c r="C165" s="151"/>
      <c r="D165" s="151"/>
      <c r="N165" s="151"/>
      <c r="O165" s="151"/>
      <c r="P165" s="151"/>
      <c r="Q165" s="151"/>
      <c r="R165" s="151"/>
    </row>
    <row r="166" spans="2:18">
      <c r="B166" s="151"/>
      <c r="C166" s="151"/>
      <c r="D166" s="151"/>
      <c r="N166" s="151"/>
      <c r="O166" s="151"/>
      <c r="P166" s="151"/>
      <c r="Q166" s="151"/>
      <c r="R166" s="151"/>
    </row>
    <row r="167" spans="2:18">
      <c r="B167" s="151"/>
      <c r="C167" s="151"/>
      <c r="D167" s="151"/>
      <c r="N167" s="151"/>
      <c r="O167" s="151"/>
      <c r="P167" s="151"/>
      <c r="Q167" s="151"/>
      <c r="R167" s="151"/>
    </row>
    <row r="168" spans="2:18">
      <c r="B168" s="151"/>
      <c r="C168" s="151"/>
      <c r="D168" s="151"/>
      <c r="N168" s="151"/>
      <c r="O168" s="151"/>
      <c r="P168" s="151"/>
      <c r="Q168" s="151"/>
      <c r="R168" s="151"/>
    </row>
    <row r="169" spans="2:18">
      <c r="B169" s="151"/>
      <c r="C169" s="151"/>
      <c r="D169" s="151"/>
      <c r="N169" s="151"/>
      <c r="O169" s="151"/>
      <c r="P169" s="151"/>
      <c r="Q169" s="151"/>
      <c r="R169" s="151"/>
    </row>
    <row r="170" spans="2:18">
      <c r="B170" s="151"/>
      <c r="C170" s="151"/>
      <c r="D170" s="151"/>
      <c r="N170" s="151"/>
      <c r="O170" s="151"/>
      <c r="P170" s="151"/>
      <c r="Q170" s="151"/>
      <c r="R170" s="151"/>
    </row>
    <row r="171" spans="2:18">
      <c r="B171" s="151"/>
      <c r="C171" s="151"/>
      <c r="D171" s="151"/>
      <c r="N171" s="151"/>
      <c r="O171" s="151"/>
      <c r="P171" s="151"/>
      <c r="Q171" s="151"/>
      <c r="R171" s="151"/>
    </row>
    <row r="172" spans="2:18">
      <c r="B172" s="151"/>
      <c r="C172" s="151"/>
      <c r="D172" s="151"/>
      <c r="N172" s="151"/>
      <c r="O172" s="151"/>
      <c r="P172" s="151"/>
      <c r="Q172" s="151"/>
      <c r="R172" s="151"/>
    </row>
    <row r="173" spans="2:18">
      <c r="B173" s="151"/>
      <c r="C173" s="151"/>
      <c r="D173" s="151"/>
      <c r="N173" s="151"/>
      <c r="O173" s="151"/>
      <c r="P173" s="151"/>
      <c r="Q173" s="151"/>
      <c r="R173" s="151"/>
    </row>
    <row r="174" spans="2:18">
      <c r="B174" s="151"/>
      <c r="C174" s="151"/>
      <c r="D174" s="151"/>
      <c r="N174" s="151"/>
      <c r="O174" s="151"/>
      <c r="P174" s="151"/>
      <c r="Q174" s="151"/>
      <c r="R174" s="151"/>
    </row>
    <row r="175" spans="2:18">
      <c r="B175" s="151"/>
      <c r="C175" s="151"/>
      <c r="D175" s="151"/>
      <c r="N175" s="151"/>
      <c r="O175" s="151"/>
      <c r="P175" s="151"/>
      <c r="Q175" s="151"/>
      <c r="R175" s="151"/>
    </row>
    <row r="176" spans="2:18">
      <c r="B176" s="151"/>
      <c r="C176" s="151"/>
      <c r="D176" s="151"/>
      <c r="N176" s="151"/>
      <c r="O176" s="151"/>
      <c r="P176" s="151"/>
      <c r="Q176" s="151"/>
      <c r="R176" s="151"/>
    </row>
    <row r="177" spans="2:18">
      <c r="B177" s="151"/>
      <c r="C177" s="151"/>
      <c r="D177" s="151"/>
      <c r="N177" s="151"/>
      <c r="O177" s="151"/>
      <c r="P177" s="151"/>
      <c r="Q177" s="151"/>
      <c r="R177" s="151"/>
    </row>
    <row r="178" spans="2:18">
      <c r="B178" s="151"/>
      <c r="C178" s="151"/>
      <c r="D178" s="151"/>
      <c r="N178" s="151"/>
      <c r="O178" s="151"/>
      <c r="P178" s="151"/>
      <c r="Q178" s="151"/>
      <c r="R178" s="151"/>
    </row>
    <row r="179" spans="2:18">
      <c r="B179" s="151"/>
      <c r="C179" s="151"/>
      <c r="D179" s="151"/>
      <c r="N179" s="151"/>
      <c r="O179" s="151"/>
      <c r="P179" s="151"/>
      <c r="Q179" s="151"/>
      <c r="R179" s="151"/>
    </row>
    <row r="180" spans="2:18">
      <c r="B180" s="151"/>
      <c r="C180" s="151"/>
      <c r="D180" s="151"/>
      <c r="N180" s="151"/>
      <c r="O180" s="151"/>
      <c r="P180" s="151"/>
      <c r="Q180" s="151"/>
      <c r="R180" s="151"/>
    </row>
    <row r="181" spans="2:18">
      <c r="B181" s="151"/>
      <c r="C181" s="151"/>
      <c r="D181" s="151"/>
      <c r="N181" s="151"/>
      <c r="O181" s="151"/>
      <c r="P181" s="151"/>
      <c r="Q181" s="151"/>
      <c r="R181" s="151"/>
    </row>
    <row r="182" spans="2:18">
      <c r="B182" s="151"/>
      <c r="C182" s="151"/>
      <c r="D182" s="151"/>
      <c r="N182" s="151"/>
      <c r="O182" s="151"/>
      <c r="P182" s="151"/>
      <c r="Q182" s="151"/>
      <c r="R182" s="151"/>
    </row>
    <row r="183" spans="2:18">
      <c r="B183" s="151"/>
      <c r="C183" s="151"/>
      <c r="D183" s="151"/>
      <c r="N183" s="151"/>
      <c r="O183" s="151"/>
      <c r="P183" s="151"/>
      <c r="Q183" s="151"/>
      <c r="R183" s="151"/>
    </row>
    <row r="184" spans="2:18">
      <c r="B184" s="151"/>
      <c r="C184" s="151"/>
      <c r="D184" s="151"/>
      <c r="N184" s="151"/>
      <c r="O184" s="151"/>
      <c r="P184" s="151"/>
      <c r="Q184" s="151"/>
      <c r="R184" s="151"/>
    </row>
    <row r="185" spans="2:18">
      <c r="B185" s="151"/>
      <c r="C185" s="151"/>
      <c r="D185" s="151"/>
      <c r="N185" s="151"/>
      <c r="O185" s="151"/>
      <c r="P185" s="151"/>
      <c r="Q185" s="151"/>
      <c r="R185" s="151"/>
    </row>
    <row r="186" spans="2:18">
      <c r="B186" s="151"/>
      <c r="C186" s="151"/>
      <c r="D186" s="151"/>
      <c r="N186" s="151"/>
      <c r="O186" s="151"/>
      <c r="P186" s="151"/>
      <c r="Q186" s="151"/>
      <c r="R186" s="151"/>
    </row>
    <row r="187" spans="2:18">
      <c r="B187" s="151"/>
      <c r="C187" s="151"/>
      <c r="D187" s="151"/>
      <c r="N187" s="151"/>
      <c r="O187" s="151"/>
      <c r="P187" s="151"/>
      <c r="Q187" s="151"/>
      <c r="R187" s="151"/>
    </row>
    <row r="188" spans="2:18">
      <c r="B188" s="151"/>
      <c r="C188" s="151"/>
      <c r="D188" s="151"/>
      <c r="N188" s="151"/>
      <c r="O188" s="151"/>
      <c r="P188" s="151"/>
      <c r="Q188" s="151"/>
      <c r="R188" s="151"/>
    </row>
    <row r="189" spans="2:18">
      <c r="B189" s="151"/>
      <c r="C189" s="151"/>
      <c r="D189" s="151"/>
      <c r="N189" s="151"/>
      <c r="O189" s="151"/>
      <c r="P189" s="151"/>
      <c r="Q189" s="151"/>
      <c r="R189" s="151"/>
    </row>
    <row r="190" spans="2:18">
      <c r="B190" s="151"/>
      <c r="C190" s="151"/>
      <c r="D190" s="151"/>
      <c r="N190" s="151"/>
      <c r="O190" s="151"/>
      <c r="P190" s="151"/>
      <c r="Q190" s="151"/>
      <c r="R190" s="151"/>
    </row>
    <row r="191" spans="2:18">
      <c r="B191" s="151"/>
      <c r="C191" s="151"/>
      <c r="D191" s="151"/>
      <c r="N191" s="151"/>
      <c r="O191" s="151"/>
      <c r="P191" s="151"/>
      <c r="Q191" s="151"/>
      <c r="R191" s="151"/>
    </row>
    <row r="192" spans="2:18">
      <c r="B192" s="151"/>
      <c r="C192" s="151"/>
      <c r="D192" s="151"/>
      <c r="N192" s="151"/>
      <c r="O192" s="151"/>
      <c r="P192" s="151"/>
      <c r="Q192" s="151"/>
      <c r="R192" s="151"/>
    </row>
    <row r="193" spans="2:18">
      <c r="B193" s="151"/>
      <c r="C193" s="151"/>
      <c r="D193" s="151"/>
      <c r="N193" s="151"/>
      <c r="O193" s="151"/>
      <c r="P193" s="151"/>
      <c r="Q193" s="151"/>
      <c r="R193" s="151"/>
    </row>
    <row r="194" spans="2:18">
      <c r="B194" s="151"/>
      <c r="C194" s="151"/>
      <c r="D194" s="151"/>
      <c r="N194" s="151"/>
      <c r="O194" s="151"/>
      <c r="P194" s="151"/>
      <c r="Q194" s="151"/>
      <c r="R194" s="151"/>
    </row>
    <row r="195" spans="2:18">
      <c r="B195" s="151"/>
      <c r="C195" s="151"/>
      <c r="D195" s="151"/>
      <c r="N195" s="151"/>
      <c r="O195" s="151"/>
      <c r="P195" s="151"/>
      <c r="Q195" s="151"/>
      <c r="R195" s="151"/>
    </row>
    <row r="196" spans="2:18">
      <c r="B196" s="151"/>
      <c r="C196" s="151"/>
      <c r="D196" s="151"/>
      <c r="N196" s="151"/>
      <c r="O196" s="151"/>
      <c r="P196" s="151"/>
      <c r="Q196" s="151"/>
      <c r="R196" s="151"/>
    </row>
    <row r="197" spans="2:18">
      <c r="B197" s="151"/>
      <c r="C197" s="151"/>
      <c r="D197" s="151"/>
      <c r="N197" s="151"/>
      <c r="O197" s="151"/>
      <c r="P197" s="151"/>
      <c r="Q197" s="151"/>
      <c r="R197" s="151"/>
    </row>
    <row r="198" spans="2:18">
      <c r="B198" s="151"/>
      <c r="C198" s="151"/>
      <c r="D198" s="151"/>
      <c r="N198" s="151"/>
      <c r="O198" s="151"/>
      <c r="P198" s="151"/>
      <c r="Q198" s="151"/>
      <c r="R198" s="151"/>
    </row>
    <row r="199" spans="2:18">
      <c r="B199" s="151"/>
      <c r="C199" s="151"/>
      <c r="D199" s="151"/>
      <c r="N199" s="151"/>
      <c r="O199" s="151"/>
      <c r="P199" s="151"/>
      <c r="Q199" s="151"/>
      <c r="R199" s="151"/>
    </row>
    <row r="200" spans="2:18">
      <c r="B200" s="151"/>
      <c r="C200" s="151"/>
      <c r="D200" s="151"/>
      <c r="N200" s="151"/>
      <c r="O200" s="151"/>
      <c r="P200" s="151"/>
      <c r="Q200" s="151"/>
      <c r="R200" s="151"/>
    </row>
    <row r="201" spans="2:18">
      <c r="B201" s="151"/>
      <c r="C201" s="151"/>
      <c r="D201" s="151"/>
      <c r="N201" s="151"/>
      <c r="O201" s="151"/>
      <c r="P201" s="151"/>
      <c r="Q201" s="151" t="s">
        <v>186</v>
      </c>
      <c r="R201" s="136">
        <v>0.84</v>
      </c>
    </row>
    <row r="202" spans="2:18">
      <c r="B202" s="151"/>
      <c r="C202" s="151"/>
      <c r="D202" s="151"/>
      <c r="N202" s="151"/>
      <c r="O202" s="151"/>
      <c r="P202" s="151"/>
      <c r="Q202" s="151" t="s">
        <v>187</v>
      </c>
      <c r="R202" s="136">
        <v>0.94</v>
      </c>
    </row>
    <row r="203" spans="2:18">
      <c r="B203" s="151"/>
      <c r="C203" s="151"/>
      <c r="D203" s="151"/>
      <c r="N203" s="151"/>
      <c r="O203" s="151"/>
      <c r="P203" s="151"/>
      <c r="Q203" s="151" t="s">
        <v>188</v>
      </c>
      <c r="R203" s="136">
        <v>0.89</v>
      </c>
    </row>
    <row r="204" spans="2:18">
      <c r="B204" s="151"/>
      <c r="C204" s="151"/>
      <c r="D204" s="151"/>
      <c r="N204" s="151"/>
      <c r="O204" s="151"/>
      <c r="P204" s="151"/>
      <c r="Q204" s="151" t="s">
        <v>189</v>
      </c>
      <c r="R204" s="136">
        <v>0.93</v>
      </c>
    </row>
    <row r="205" spans="2:18">
      <c r="B205" s="151"/>
      <c r="C205" s="151"/>
      <c r="D205" s="151"/>
      <c r="N205" s="151"/>
      <c r="O205" s="151"/>
      <c r="P205" s="151"/>
      <c r="Q205" s="151" t="s">
        <v>190</v>
      </c>
      <c r="R205" s="136">
        <v>0.88</v>
      </c>
    </row>
    <row r="206" spans="2:18">
      <c r="B206" s="151"/>
      <c r="C206" s="151"/>
      <c r="D206" s="151"/>
      <c r="N206" s="151"/>
      <c r="O206" s="151"/>
      <c r="P206" s="151"/>
      <c r="Q206" s="151" t="s">
        <v>221</v>
      </c>
      <c r="R206" s="136">
        <v>0.92</v>
      </c>
    </row>
    <row r="207" spans="2:18">
      <c r="B207" s="151"/>
      <c r="C207" s="151"/>
      <c r="D207" s="151"/>
      <c r="N207" s="151"/>
      <c r="O207" s="151"/>
      <c r="P207" s="151"/>
      <c r="Q207" s="151" t="s">
        <v>191</v>
      </c>
      <c r="R207" s="136">
        <v>0.93</v>
      </c>
    </row>
    <row r="208" spans="2:18">
      <c r="B208" s="151"/>
      <c r="C208" s="151"/>
      <c r="D208" s="151"/>
      <c r="N208" s="151"/>
      <c r="O208" s="151"/>
      <c r="P208" s="151"/>
      <c r="Q208" s="151" t="s">
        <v>192</v>
      </c>
      <c r="R208" s="136">
        <v>0.91</v>
      </c>
    </row>
    <row r="209" spans="2:18">
      <c r="B209" s="151"/>
      <c r="C209" s="151"/>
      <c r="D209" s="151"/>
      <c r="N209" s="151"/>
      <c r="O209" s="151"/>
      <c r="P209" s="151"/>
      <c r="Q209" s="151" t="s">
        <v>193</v>
      </c>
      <c r="R209" s="136">
        <v>0.72</v>
      </c>
    </row>
    <row r="210" spans="2:18">
      <c r="B210" s="151"/>
      <c r="C210" s="151"/>
      <c r="D210" s="151"/>
      <c r="N210" s="151"/>
      <c r="O210" s="151"/>
      <c r="P210" s="151"/>
      <c r="Q210" s="151" t="s">
        <v>194</v>
      </c>
      <c r="R210" s="136">
        <v>0.86</v>
      </c>
    </row>
    <row r="211" spans="2:18">
      <c r="B211" s="151"/>
      <c r="C211" s="151"/>
      <c r="D211" s="151"/>
      <c r="N211" s="151"/>
      <c r="O211" s="151"/>
      <c r="P211" s="151"/>
      <c r="Q211" s="151" t="s">
        <v>195</v>
      </c>
      <c r="R211" s="136">
        <v>0.54</v>
      </c>
    </row>
    <row r="212" spans="2:18">
      <c r="B212" s="151"/>
      <c r="C212" s="151"/>
      <c r="D212" s="151"/>
      <c r="N212" s="151"/>
      <c r="O212" s="151"/>
      <c r="P212" s="151"/>
      <c r="Q212" s="151" t="s">
        <v>196</v>
      </c>
      <c r="R212" s="136">
        <v>0.44</v>
      </c>
    </row>
    <row r="213" spans="2:18">
      <c r="B213" s="151"/>
      <c r="C213" s="151"/>
      <c r="D213" s="151"/>
      <c r="N213" s="151"/>
      <c r="O213" s="151"/>
      <c r="P213" s="151"/>
      <c r="Q213" s="151" t="s">
        <v>197</v>
      </c>
      <c r="R213" s="136">
        <v>0.78</v>
      </c>
    </row>
    <row r="214" spans="2:18">
      <c r="B214" s="151"/>
      <c r="C214" s="151"/>
      <c r="D214" s="151"/>
      <c r="N214" s="151"/>
      <c r="O214" s="151"/>
      <c r="P214" s="151"/>
      <c r="Q214" s="151" t="s">
        <v>198</v>
      </c>
      <c r="R214" s="136">
        <v>0.72</v>
      </c>
    </row>
    <row r="215" spans="2:18">
      <c r="B215" s="151"/>
      <c r="C215" s="151"/>
      <c r="D215" s="151"/>
      <c r="N215" s="151"/>
      <c r="O215" s="151"/>
      <c r="P215" s="151"/>
      <c r="Q215" s="151" t="s">
        <v>199</v>
      </c>
      <c r="R215" s="136">
        <v>0.93</v>
      </c>
    </row>
    <row r="216" spans="2:18">
      <c r="B216" s="151"/>
      <c r="C216" s="151"/>
      <c r="D216" s="151"/>
      <c r="N216" s="151"/>
      <c r="O216" s="151"/>
      <c r="P216" s="151"/>
      <c r="Q216" s="151" t="s">
        <v>200</v>
      </c>
      <c r="R216" s="136">
        <v>0.94</v>
      </c>
    </row>
    <row r="217" spans="2:18">
      <c r="B217" s="151"/>
      <c r="C217" s="151"/>
      <c r="D217" s="151"/>
      <c r="N217" s="151"/>
      <c r="O217" s="151"/>
      <c r="P217" s="151"/>
      <c r="Q217" s="151" t="s">
        <v>201</v>
      </c>
      <c r="R217" s="136">
        <v>0.66</v>
      </c>
    </row>
    <row r="218" spans="2:18">
      <c r="B218" s="151"/>
      <c r="C218" s="151"/>
      <c r="D218" s="151"/>
      <c r="N218" s="151"/>
      <c r="O218" s="151"/>
      <c r="P218" s="151"/>
      <c r="Q218" s="151" t="s">
        <v>202</v>
      </c>
      <c r="R218" s="136">
        <v>0.44</v>
      </c>
    </row>
    <row r="219" spans="2:18">
      <c r="B219" s="151"/>
      <c r="C219" s="151"/>
      <c r="D219" s="151"/>
      <c r="N219" s="151"/>
      <c r="O219" s="151"/>
      <c r="P219" s="151"/>
      <c r="Q219" s="151" t="s">
        <v>203</v>
      </c>
      <c r="R219" s="136">
        <v>0.83</v>
      </c>
    </row>
    <row r="220" spans="2:18">
      <c r="B220" s="151"/>
      <c r="C220" s="151"/>
      <c r="D220" s="151"/>
      <c r="N220" s="151"/>
      <c r="O220" s="151"/>
      <c r="P220" s="151"/>
      <c r="Q220" s="151"/>
      <c r="R220" s="151"/>
    </row>
    <row r="221" spans="2:18">
      <c r="B221" s="151"/>
      <c r="C221" s="151"/>
      <c r="D221" s="151"/>
      <c r="N221" s="151"/>
      <c r="O221" s="151"/>
      <c r="P221" s="151"/>
      <c r="Q221" s="151"/>
      <c r="R221" s="151"/>
    </row>
    <row r="222" spans="2:18">
      <c r="B222" s="151"/>
      <c r="C222" s="151"/>
      <c r="D222" s="151"/>
      <c r="N222" s="151"/>
      <c r="O222" s="151"/>
      <c r="P222" s="151"/>
      <c r="Q222" s="151"/>
      <c r="R222" s="151"/>
    </row>
    <row r="223" spans="2:18">
      <c r="B223" s="151"/>
      <c r="C223" s="151"/>
      <c r="D223" s="151"/>
      <c r="N223" s="151"/>
      <c r="O223" s="151"/>
      <c r="P223" s="151"/>
      <c r="Q223" s="151"/>
      <c r="R223" s="151"/>
    </row>
    <row r="224" spans="2:18">
      <c r="B224" s="151"/>
      <c r="C224" s="151"/>
      <c r="D224" s="151"/>
      <c r="N224" s="151"/>
      <c r="O224" s="151"/>
      <c r="P224" s="151"/>
      <c r="Q224" s="151"/>
      <c r="R224" s="151"/>
    </row>
    <row r="225" spans="2:18">
      <c r="B225" s="151"/>
      <c r="C225" s="151"/>
      <c r="D225" s="151"/>
      <c r="N225" s="151"/>
      <c r="O225" s="151"/>
      <c r="P225" s="151"/>
      <c r="Q225" s="151"/>
      <c r="R225" s="151"/>
    </row>
    <row r="226" spans="2:18">
      <c r="B226" s="151"/>
      <c r="C226" s="151"/>
      <c r="D226" s="151"/>
      <c r="N226" s="151"/>
      <c r="O226" s="151"/>
      <c r="P226" s="151"/>
      <c r="Q226" s="151"/>
      <c r="R226" s="151"/>
    </row>
    <row r="227" spans="2:18">
      <c r="B227" s="151"/>
      <c r="C227" s="151"/>
      <c r="D227" s="151"/>
      <c r="N227" s="151"/>
      <c r="O227" s="151"/>
      <c r="P227" s="151"/>
      <c r="Q227" s="151"/>
      <c r="R227" s="151"/>
    </row>
    <row r="228" spans="2:18">
      <c r="B228" s="151"/>
      <c r="C228" s="151"/>
      <c r="D228" s="151"/>
      <c r="N228" s="151"/>
      <c r="O228" s="151"/>
      <c r="P228" s="151"/>
      <c r="Q228" s="151"/>
      <c r="R228" s="151"/>
    </row>
    <row r="229" spans="2:18">
      <c r="B229" s="151"/>
      <c r="C229" s="151"/>
      <c r="D229" s="151"/>
      <c r="N229" s="151"/>
      <c r="O229" s="151"/>
      <c r="P229" s="151"/>
      <c r="Q229" s="151"/>
      <c r="R229" s="151"/>
    </row>
    <row r="230" spans="2:18">
      <c r="B230" s="151"/>
      <c r="C230" s="151"/>
      <c r="D230" s="151"/>
      <c r="N230" s="151"/>
      <c r="O230" s="151"/>
      <c r="P230" s="151"/>
      <c r="Q230" s="151"/>
      <c r="R230" s="151"/>
    </row>
    <row r="231" spans="2:18">
      <c r="B231" s="151"/>
      <c r="C231" s="151"/>
      <c r="D231" s="151"/>
      <c r="N231" s="151"/>
      <c r="O231" s="151"/>
      <c r="P231" s="151"/>
      <c r="Q231" s="151"/>
      <c r="R231" s="151"/>
    </row>
    <row r="232" spans="2:18">
      <c r="B232" s="151"/>
      <c r="C232" s="151"/>
      <c r="D232" s="151"/>
      <c r="N232" s="151"/>
      <c r="O232" s="151"/>
      <c r="P232" s="151"/>
      <c r="Q232" s="151"/>
      <c r="R232" s="151"/>
    </row>
    <row r="233" spans="2:18">
      <c r="B233" s="151"/>
      <c r="C233" s="151"/>
      <c r="D233" s="151"/>
      <c r="N233" s="151"/>
      <c r="O233" s="151"/>
      <c r="P233" s="151"/>
      <c r="Q233" s="151"/>
      <c r="R233" s="151"/>
    </row>
    <row r="234" spans="2:18">
      <c r="B234" s="151"/>
      <c r="C234" s="151"/>
      <c r="D234" s="151"/>
      <c r="N234" s="151"/>
      <c r="O234" s="151"/>
      <c r="P234" s="151"/>
      <c r="Q234" s="151"/>
      <c r="R234" s="151"/>
    </row>
    <row r="235" spans="2:18">
      <c r="B235" s="151"/>
      <c r="C235" s="151"/>
      <c r="D235" s="151"/>
      <c r="N235" s="151"/>
      <c r="O235" s="151"/>
      <c r="P235" s="151"/>
      <c r="Q235" s="151"/>
      <c r="R235" s="151"/>
    </row>
    <row r="236" spans="2:18">
      <c r="B236" s="151"/>
      <c r="C236" s="151"/>
      <c r="D236" s="151"/>
      <c r="N236" s="151"/>
      <c r="O236" s="151"/>
      <c r="P236" s="151"/>
      <c r="Q236" s="151"/>
      <c r="R236" s="151"/>
    </row>
    <row r="237" spans="2:18">
      <c r="B237" s="151"/>
      <c r="C237" s="151"/>
      <c r="D237" s="151"/>
      <c r="N237" s="151"/>
      <c r="O237" s="151"/>
      <c r="P237" s="151"/>
      <c r="Q237" s="151"/>
      <c r="R237" s="151"/>
    </row>
    <row r="238" spans="2:18">
      <c r="B238" s="151"/>
      <c r="C238" s="151"/>
      <c r="D238" s="151"/>
      <c r="N238" s="151"/>
      <c r="O238" s="151"/>
      <c r="P238" s="151"/>
      <c r="Q238" s="151"/>
      <c r="R238" s="151"/>
    </row>
    <row r="239" spans="2:18">
      <c r="B239" s="151"/>
      <c r="C239" s="151"/>
      <c r="D239" s="151"/>
      <c r="N239" s="151"/>
      <c r="O239" s="151"/>
      <c r="P239" s="151"/>
      <c r="Q239" s="151"/>
      <c r="R239" s="151"/>
    </row>
    <row r="240" spans="2:18">
      <c r="B240" s="151"/>
      <c r="C240" s="151"/>
      <c r="D240" s="151"/>
      <c r="N240" s="151"/>
      <c r="O240" s="151"/>
      <c r="P240" s="151"/>
      <c r="Q240" s="151"/>
      <c r="R240" s="151"/>
    </row>
    <row r="241" spans="2:18">
      <c r="B241" s="151"/>
      <c r="C241" s="151"/>
      <c r="D241" s="151"/>
      <c r="N241" s="151"/>
      <c r="O241" s="151"/>
      <c r="P241" s="151"/>
      <c r="Q241" s="151"/>
      <c r="R241" s="151"/>
    </row>
    <row r="242" spans="2:18">
      <c r="B242" s="151"/>
      <c r="C242" s="151"/>
      <c r="D242" s="151"/>
      <c r="N242" s="151"/>
      <c r="O242" s="151"/>
      <c r="P242" s="151"/>
      <c r="Q242" s="151"/>
      <c r="R242" s="151"/>
    </row>
    <row r="243" spans="2:18">
      <c r="B243" s="151"/>
      <c r="C243" s="151"/>
      <c r="D243" s="151"/>
      <c r="N243" s="151"/>
      <c r="O243" s="151"/>
      <c r="P243" s="151"/>
      <c r="Q243" s="151"/>
      <c r="R243" s="151"/>
    </row>
    <row r="244" spans="2:18">
      <c r="B244" s="151"/>
      <c r="C244" s="151"/>
      <c r="D244" s="151"/>
      <c r="N244" s="151"/>
      <c r="O244" s="151"/>
      <c r="P244" s="151"/>
      <c r="Q244" s="151"/>
      <c r="R244" s="151"/>
    </row>
    <row r="245" spans="2:18">
      <c r="B245" s="151"/>
      <c r="C245" s="151"/>
      <c r="D245" s="151"/>
      <c r="N245" s="151"/>
      <c r="O245" s="151"/>
      <c r="P245" s="151"/>
      <c r="Q245" s="151"/>
      <c r="R245" s="151"/>
    </row>
    <row r="246" spans="2:18">
      <c r="B246" s="151"/>
      <c r="C246" s="151"/>
      <c r="D246" s="151"/>
      <c r="N246" s="151"/>
      <c r="O246" s="151"/>
      <c r="P246" s="151"/>
      <c r="Q246" s="151"/>
      <c r="R246" s="151"/>
    </row>
    <row r="247" spans="2:18">
      <c r="B247" s="151"/>
      <c r="C247" s="151"/>
      <c r="D247" s="151"/>
      <c r="N247" s="151"/>
      <c r="O247" s="151"/>
      <c r="P247" s="151"/>
      <c r="Q247" s="151"/>
      <c r="R247" s="151"/>
    </row>
    <row r="248" spans="2:18">
      <c r="B248" s="151"/>
      <c r="C248" s="151"/>
      <c r="D248" s="151"/>
      <c r="N248" s="151"/>
      <c r="O248" s="151"/>
      <c r="P248" s="151"/>
      <c r="Q248" s="151"/>
      <c r="R248" s="151"/>
    </row>
    <row r="249" spans="2:18">
      <c r="B249" s="151"/>
      <c r="C249" s="151"/>
      <c r="D249" s="151"/>
      <c r="N249" s="151"/>
      <c r="O249" s="151"/>
      <c r="P249" s="151"/>
      <c r="Q249" s="151"/>
      <c r="R249" s="151"/>
    </row>
    <row r="250" spans="2:18">
      <c r="B250" s="151"/>
      <c r="C250" s="151"/>
      <c r="D250" s="151"/>
      <c r="N250" s="151"/>
      <c r="O250" s="151"/>
      <c r="P250" s="151"/>
      <c r="Q250" s="151"/>
      <c r="R250" s="151"/>
    </row>
    <row r="251" spans="2:18">
      <c r="B251" s="151"/>
      <c r="C251" s="151"/>
      <c r="D251" s="151"/>
      <c r="N251" s="151"/>
      <c r="O251" s="151"/>
      <c r="P251" s="151"/>
      <c r="Q251" s="151"/>
      <c r="R251" s="151"/>
    </row>
    <row r="252" spans="2:18">
      <c r="B252" s="151"/>
      <c r="C252" s="151"/>
      <c r="D252" s="151"/>
      <c r="N252" s="151"/>
      <c r="O252" s="151"/>
      <c r="P252" s="151"/>
      <c r="Q252" s="151"/>
      <c r="R252" s="151"/>
    </row>
    <row r="253" spans="2:18">
      <c r="B253" s="151"/>
      <c r="C253" s="151"/>
      <c r="D253" s="151"/>
      <c r="N253" s="151"/>
      <c r="O253" s="151"/>
      <c r="P253" s="151"/>
      <c r="Q253" s="151"/>
      <c r="R253" s="151"/>
    </row>
    <row r="254" spans="2:18">
      <c r="B254" s="151"/>
      <c r="C254" s="151"/>
      <c r="D254" s="151"/>
      <c r="N254" s="151"/>
      <c r="O254" s="151"/>
      <c r="P254" s="151"/>
      <c r="Q254" s="151"/>
      <c r="R254" s="151"/>
    </row>
    <row r="255" spans="2:18">
      <c r="B255" s="151"/>
      <c r="C255" s="151"/>
      <c r="D255" s="151"/>
      <c r="N255" s="151"/>
      <c r="O255" s="151"/>
      <c r="P255" s="151"/>
      <c r="Q255" s="151"/>
      <c r="R255" s="151"/>
    </row>
    <row r="256" spans="2:18">
      <c r="B256" s="151"/>
      <c r="C256" s="151"/>
      <c r="D256" s="151"/>
      <c r="N256" s="151"/>
      <c r="O256" s="151"/>
      <c r="P256" s="151"/>
      <c r="Q256" s="151"/>
      <c r="R256" s="151"/>
    </row>
    <row r="257" spans="2:18">
      <c r="B257" s="151"/>
      <c r="C257" s="151"/>
      <c r="D257" s="151"/>
      <c r="N257" s="151"/>
      <c r="O257" s="151"/>
      <c r="P257" s="151"/>
      <c r="Q257" s="151"/>
      <c r="R257" s="151"/>
    </row>
    <row r="258" spans="2:18">
      <c r="B258" s="151"/>
      <c r="C258" s="151"/>
      <c r="D258" s="151"/>
      <c r="N258" s="151"/>
      <c r="O258" s="151"/>
      <c r="P258" s="151"/>
      <c r="Q258" s="151"/>
      <c r="R258" s="151"/>
    </row>
    <row r="259" spans="2:18">
      <c r="B259" s="151"/>
      <c r="C259" s="151"/>
      <c r="D259" s="151"/>
      <c r="N259" s="151"/>
      <c r="O259" s="151"/>
      <c r="P259" s="151"/>
      <c r="Q259" s="151"/>
      <c r="R259" s="151"/>
    </row>
    <row r="260" spans="2:18">
      <c r="B260" s="151"/>
      <c r="C260" s="151"/>
      <c r="D260" s="151"/>
      <c r="N260" s="151"/>
      <c r="O260" s="151"/>
      <c r="P260" s="151"/>
      <c r="Q260" s="151"/>
      <c r="R260" s="151"/>
    </row>
    <row r="261" spans="2:18">
      <c r="B261" s="151"/>
      <c r="C261" s="151"/>
      <c r="D261" s="151"/>
      <c r="N261" s="151"/>
      <c r="O261" s="151"/>
      <c r="P261" s="151"/>
      <c r="Q261" s="151"/>
      <c r="R261" s="151"/>
    </row>
    <row r="262" spans="2:18">
      <c r="B262" s="151"/>
      <c r="C262" s="151"/>
      <c r="D262" s="151"/>
      <c r="N262" s="151"/>
      <c r="O262" s="151"/>
      <c r="P262" s="151"/>
      <c r="Q262" s="151"/>
      <c r="R262" s="151"/>
    </row>
    <row r="263" spans="2:18">
      <c r="B263" s="151"/>
      <c r="C263" s="151"/>
      <c r="D263" s="151"/>
      <c r="N263" s="151"/>
      <c r="O263" s="151"/>
      <c r="P263" s="151"/>
      <c r="Q263" s="151"/>
      <c r="R263" s="151"/>
    </row>
    <row r="264" spans="2:18">
      <c r="B264" s="151"/>
      <c r="C264" s="151"/>
      <c r="D264" s="151"/>
      <c r="N264" s="151"/>
      <c r="O264" s="151"/>
      <c r="P264" s="151"/>
      <c r="Q264" s="151"/>
      <c r="R264" s="151"/>
    </row>
    <row r="265" spans="2:18">
      <c r="B265" s="151"/>
      <c r="C265" s="151"/>
      <c r="D265" s="151"/>
      <c r="N265" s="151"/>
      <c r="O265" s="151"/>
      <c r="P265" s="151"/>
      <c r="Q265" s="151"/>
      <c r="R265" s="151"/>
    </row>
    <row r="266" spans="2:18">
      <c r="B266" s="151"/>
      <c r="C266" s="151"/>
      <c r="D266" s="151"/>
      <c r="N266" s="151"/>
      <c r="O266" s="151"/>
      <c r="P266" s="151"/>
      <c r="Q266" s="151"/>
      <c r="R266" s="151"/>
    </row>
    <row r="267" spans="2:18">
      <c r="B267" s="151"/>
      <c r="C267" s="151"/>
      <c r="D267" s="151"/>
      <c r="N267" s="151"/>
      <c r="O267" s="151"/>
      <c r="P267" s="151"/>
      <c r="Q267" s="151"/>
      <c r="R267" s="151"/>
    </row>
    <row r="268" spans="2:18">
      <c r="B268" s="151"/>
      <c r="C268" s="151"/>
      <c r="D268" s="151"/>
      <c r="N268" s="151"/>
      <c r="O268" s="151"/>
      <c r="P268" s="151"/>
      <c r="Q268" s="151"/>
      <c r="R268" s="151"/>
    </row>
    <row r="269" spans="2:18">
      <c r="B269" s="151"/>
      <c r="C269" s="151"/>
      <c r="D269" s="151"/>
      <c r="N269" s="151"/>
      <c r="O269" s="151"/>
      <c r="P269" s="151"/>
      <c r="Q269" s="151"/>
      <c r="R269" s="151"/>
    </row>
    <row r="270" spans="2:18">
      <c r="B270" s="151"/>
      <c r="C270" s="151"/>
      <c r="D270" s="151"/>
      <c r="N270" s="151"/>
      <c r="O270" s="151"/>
      <c r="P270" s="151"/>
      <c r="Q270" s="151"/>
      <c r="R270" s="151"/>
    </row>
    <row r="271" spans="2:18">
      <c r="B271" s="151"/>
      <c r="C271" s="151"/>
      <c r="D271" s="151"/>
      <c r="N271" s="151"/>
      <c r="O271" s="151"/>
      <c r="P271" s="151"/>
      <c r="Q271" s="151"/>
      <c r="R271" s="151"/>
    </row>
    <row r="272" spans="2:18">
      <c r="B272" s="151"/>
      <c r="C272" s="151"/>
      <c r="D272" s="151"/>
      <c r="N272" s="151"/>
      <c r="O272" s="151"/>
      <c r="P272" s="151"/>
      <c r="Q272" s="151"/>
      <c r="R272" s="151"/>
    </row>
    <row r="273" spans="2:18">
      <c r="B273" s="151"/>
      <c r="C273" s="151"/>
      <c r="D273" s="151"/>
      <c r="N273" s="151"/>
      <c r="O273" s="151"/>
      <c r="P273" s="151"/>
      <c r="Q273" s="151"/>
      <c r="R273" s="151"/>
    </row>
    <row r="274" spans="2:18">
      <c r="B274" s="151"/>
      <c r="C274" s="151"/>
      <c r="D274" s="151"/>
      <c r="N274" s="151"/>
      <c r="O274" s="151"/>
      <c r="P274" s="151"/>
      <c r="Q274" s="151"/>
      <c r="R274" s="151"/>
    </row>
    <row r="275" spans="2:18">
      <c r="B275" s="151"/>
      <c r="C275" s="151"/>
      <c r="D275" s="151"/>
      <c r="N275" s="151"/>
      <c r="O275" s="151"/>
      <c r="P275" s="151"/>
      <c r="Q275" s="151"/>
      <c r="R275" s="151"/>
    </row>
    <row r="276" spans="2:18">
      <c r="B276" s="151"/>
      <c r="C276" s="151"/>
      <c r="D276" s="151"/>
      <c r="N276" s="151"/>
      <c r="O276" s="151"/>
      <c r="P276" s="151"/>
      <c r="Q276" s="151"/>
      <c r="R276" s="151"/>
    </row>
    <row r="277" spans="2:18">
      <c r="B277" s="151"/>
      <c r="C277" s="151"/>
      <c r="D277" s="151"/>
      <c r="N277" s="151"/>
      <c r="O277" s="151"/>
      <c r="P277" s="151"/>
      <c r="Q277" s="151"/>
      <c r="R277" s="151"/>
    </row>
    <row r="278" spans="2:18">
      <c r="B278" s="151"/>
      <c r="C278" s="151"/>
      <c r="D278" s="151"/>
      <c r="N278" s="151"/>
      <c r="O278" s="151"/>
      <c r="P278" s="151"/>
      <c r="Q278" s="151"/>
      <c r="R278" s="151"/>
    </row>
    <row r="279" spans="2:18">
      <c r="B279" s="151"/>
      <c r="C279" s="151"/>
      <c r="D279" s="151"/>
      <c r="N279" s="151"/>
      <c r="O279" s="151"/>
      <c r="P279" s="151"/>
      <c r="Q279" s="151"/>
      <c r="R279" s="151"/>
    </row>
    <row r="280" spans="2:18">
      <c r="B280" s="151"/>
      <c r="C280" s="151"/>
      <c r="D280" s="151"/>
      <c r="N280" s="151"/>
      <c r="O280" s="151"/>
      <c r="P280" s="151"/>
      <c r="Q280" s="151"/>
      <c r="R280" s="151"/>
    </row>
    <row r="281" spans="2:18">
      <c r="B281" s="151"/>
      <c r="C281" s="151"/>
      <c r="D281" s="151"/>
      <c r="N281" s="151"/>
      <c r="O281" s="151"/>
      <c r="P281" s="151"/>
      <c r="Q281" s="151"/>
      <c r="R281" s="151"/>
    </row>
    <row r="282" spans="2:18">
      <c r="B282" s="151"/>
      <c r="C282" s="151"/>
      <c r="D282" s="151"/>
      <c r="N282" s="151"/>
      <c r="O282" s="151"/>
      <c r="P282" s="151"/>
      <c r="Q282" s="151"/>
      <c r="R282" s="151"/>
    </row>
    <row r="283" spans="2:18">
      <c r="B283" s="151"/>
      <c r="C283" s="151"/>
      <c r="D283" s="151"/>
      <c r="N283" s="151"/>
      <c r="O283" s="151"/>
      <c r="P283" s="151"/>
      <c r="Q283" s="151"/>
      <c r="R283" s="151"/>
    </row>
    <row r="284" spans="2:18">
      <c r="B284" s="151"/>
      <c r="C284" s="151"/>
      <c r="D284" s="151"/>
      <c r="N284" s="151"/>
      <c r="O284" s="151"/>
      <c r="P284" s="151"/>
      <c r="Q284" s="151"/>
      <c r="R284" s="151"/>
    </row>
    <row r="285" spans="2:18">
      <c r="B285" s="151"/>
      <c r="C285" s="151"/>
      <c r="D285" s="151"/>
      <c r="N285" s="151"/>
      <c r="O285" s="151"/>
      <c r="P285" s="151"/>
      <c r="Q285" s="151"/>
      <c r="R285" s="151"/>
    </row>
    <row r="286" spans="2:18">
      <c r="B286" s="151"/>
      <c r="C286" s="151"/>
      <c r="D286" s="151"/>
      <c r="N286" s="151"/>
      <c r="O286" s="151"/>
      <c r="P286" s="151"/>
      <c r="Q286" s="151"/>
      <c r="R286" s="151"/>
    </row>
    <row r="287" spans="2:18">
      <c r="B287" s="151"/>
      <c r="C287" s="151"/>
      <c r="D287" s="151"/>
      <c r="N287" s="151"/>
      <c r="O287" s="151"/>
      <c r="P287" s="151"/>
      <c r="Q287" s="151"/>
      <c r="R287" s="151"/>
    </row>
    <row r="288" spans="2:18">
      <c r="B288" s="151"/>
      <c r="C288" s="151"/>
      <c r="D288" s="151"/>
      <c r="N288" s="151"/>
      <c r="O288" s="151"/>
      <c r="P288" s="151"/>
      <c r="Q288" s="151"/>
      <c r="R288" s="151"/>
    </row>
    <row r="289" spans="2:18">
      <c r="B289" s="151"/>
      <c r="C289" s="151"/>
      <c r="D289" s="151"/>
      <c r="N289" s="151"/>
      <c r="O289" s="151"/>
      <c r="P289" s="151"/>
      <c r="Q289" s="151"/>
      <c r="R289" s="151"/>
    </row>
    <row r="290" spans="2:18">
      <c r="B290" s="151"/>
      <c r="C290" s="151"/>
      <c r="D290" s="151"/>
      <c r="N290" s="151"/>
      <c r="O290" s="151"/>
      <c r="P290" s="151"/>
      <c r="Q290" s="151"/>
      <c r="R290" s="151"/>
    </row>
    <row r="291" spans="2:18">
      <c r="B291" s="151"/>
      <c r="C291" s="151"/>
      <c r="D291" s="151"/>
      <c r="N291" s="151"/>
      <c r="O291" s="151"/>
      <c r="P291" s="151"/>
      <c r="Q291" s="151"/>
      <c r="R291" s="151"/>
    </row>
    <row r="292" spans="2:18">
      <c r="B292" s="151"/>
      <c r="C292" s="151"/>
      <c r="D292" s="151"/>
      <c r="N292" s="151"/>
      <c r="O292" s="151"/>
      <c r="P292" s="151"/>
      <c r="Q292" s="151"/>
      <c r="R292" s="151"/>
    </row>
    <row r="293" spans="2:18">
      <c r="B293" s="151"/>
      <c r="C293" s="151"/>
      <c r="D293" s="151"/>
      <c r="N293" s="151"/>
      <c r="O293" s="151"/>
      <c r="P293" s="151"/>
      <c r="Q293" s="151"/>
      <c r="R293" s="151"/>
    </row>
    <row r="294" spans="2:18">
      <c r="B294" s="151"/>
      <c r="C294" s="151"/>
      <c r="D294" s="151"/>
      <c r="N294" s="151"/>
      <c r="O294" s="151"/>
      <c r="P294" s="151"/>
      <c r="Q294" s="151"/>
      <c r="R294" s="151"/>
    </row>
    <row r="295" spans="2:18">
      <c r="B295" s="151"/>
      <c r="C295" s="151"/>
      <c r="D295" s="151"/>
      <c r="N295" s="151"/>
      <c r="O295" s="151"/>
      <c r="P295" s="151"/>
      <c r="Q295" s="151"/>
      <c r="R295" s="151"/>
    </row>
    <row r="296" spans="2:18">
      <c r="B296" s="151"/>
      <c r="C296" s="151"/>
      <c r="D296" s="151"/>
      <c r="N296" s="151"/>
      <c r="O296" s="151"/>
      <c r="P296" s="151"/>
      <c r="Q296" s="151"/>
      <c r="R296" s="151"/>
    </row>
    <row r="297" spans="2:18">
      <c r="B297" s="151"/>
      <c r="C297" s="151"/>
      <c r="D297" s="151"/>
      <c r="N297" s="151"/>
      <c r="O297" s="151"/>
      <c r="P297" s="151"/>
      <c r="Q297" s="151"/>
      <c r="R297" s="151"/>
    </row>
    <row r="298" spans="2:18">
      <c r="B298" s="151"/>
      <c r="C298" s="151"/>
      <c r="D298" s="151"/>
      <c r="N298" s="151"/>
      <c r="O298" s="151"/>
      <c r="P298" s="151"/>
      <c r="Q298" s="151"/>
      <c r="R298" s="151"/>
    </row>
    <row r="299" spans="2:18">
      <c r="B299" s="151"/>
      <c r="C299" s="151"/>
      <c r="D299" s="151"/>
      <c r="N299" s="151"/>
      <c r="O299" s="151"/>
      <c r="P299" s="151"/>
      <c r="Q299" s="151"/>
      <c r="R299" s="151"/>
    </row>
    <row r="300" spans="2:18">
      <c r="B300" s="151"/>
      <c r="C300" s="151"/>
      <c r="D300" s="151"/>
      <c r="N300" s="151"/>
      <c r="O300" s="151"/>
      <c r="P300" s="151"/>
      <c r="Q300" s="151"/>
      <c r="R300" s="151"/>
    </row>
    <row r="301" spans="2:18">
      <c r="B301" s="151"/>
      <c r="C301" s="151"/>
      <c r="D301" s="151"/>
      <c r="N301" s="151"/>
      <c r="O301" s="151"/>
      <c r="P301" s="151"/>
      <c r="Q301" s="151"/>
      <c r="R301" s="151"/>
    </row>
    <row r="302" spans="2:18">
      <c r="B302" s="151"/>
      <c r="C302" s="151"/>
      <c r="D302" s="151"/>
      <c r="N302" s="151"/>
      <c r="O302" s="151"/>
      <c r="P302" s="151"/>
      <c r="Q302" s="151"/>
      <c r="R302" s="151"/>
    </row>
    <row r="303" spans="2:18">
      <c r="B303" s="151"/>
      <c r="C303" s="151"/>
      <c r="D303" s="151"/>
      <c r="N303" s="151"/>
      <c r="O303" s="151"/>
      <c r="P303" s="151"/>
      <c r="Q303" s="151"/>
      <c r="R303" s="151"/>
    </row>
    <row r="304" spans="2:18">
      <c r="B304" s="456"/>
      <c r="C304" s="151"/>
      <c r="D304" s="151"/>
      <c r="N304" s="151"/>
      <c r="O304" s="151"/>
      <c r="P304" s="151"/>
      <c r="Q304" s="151"/>
      <c r="R304" s="151"/>
    </row>
    <row r="305" spans="1:18" ht="13.5" customHeight="1">
      <c r="A305" s="400"/>
      <c r="B305" s="3" t="s">
        <v>204</v>
      </c>
      <c r="C305" s="676"/>
      <c r="D305" s="151"/>
      <c r="N305" s="151"/>
      <c r="O305" s="151"/>
      <c r="P305" s="151"/>
      <c r="Q305" s="151"/>
      <c r="R305" s="151"/>
    </row>
    <row r="306" spans="1:18" ht="13.5" customHeight="1">
      <c r="A306" s="400"/>
      <c r="B306" s="3" t="s">
        <v>205</v>
      </c>
      <c r="C306" s="676"/>
      <c r="D306" s="151"/>
      <c r="N306" s="151"/>
      <c r="O306" s="151"/>
      <c r="P306" s="151"/>
      <c r="Q306" s="151"/>
      <c r="R306" s="151"/>
    </row>
  </sheetData>
  <mergeCells count="4">
    <mergeCell ref="B3:B4"/>
    <mergeCell ref="E3:E4"/>
    <mergeCell ref="E7:M7"/>
    <mergeCell ref="B73:M73"/>
  </mergeCells>
  <phoneticPr fontId="0" type="noConversion"/>
  <dataValidations count="10">
    <dataValidation type="list" allowBlank="1" showErrorMessage="1" sqref="E3">
      <formula1>Q201:Q219</formula1>
    </dataValidation>
    <dataValidation type="list" allowBlank="1" showErrorMessage="1" sqref="E4">
      <formula1>Q201:Q219</formula1>
    </dataValidation>
    <dataValidation type="list" allowBlank="1" showErrorMessage="1" sqref="G86">
      <formula1>B305:B306</formula1>
    </dataValidation>
    <dataValidation type="list" allowBlank="1" showErrorMessage="1" sqref="I86">
      <formula1>B305:B306</formula1>
    </dataValidation>
    <dataValidation type="list" allowBlank="1" showErrorMessage="1" sqref="K86">
      <formula1>B305:B306</formula1>
    </dataValidation>
    <dataValidation type="list" allowBlank="1" showErrorMessage="1" sqref="M86">
      <formula1>B305:B306</formula1>
    </dataValidation>
    <dataValidation type="list" allowBlank="1" showErrorMessage="1" sqref="G95">
      <formula1>B305:B306</formula1>
    </dataValidation>
    <dataValidation type="list" allowBlank="1" showErrorMessage="1" sqref="I95">
      <formula1>B305:B306</formula1>
    </dataValidation>
    <dataValidation type="list" allowBlank="1" showErrorMessage="1" sqref="K95">
      <formula1>B305:B306</formula1>
    </dataValidation>
    <dataValidation type="list" allowBlank="1" showErrorMessage="1" sqref="M95">
      <formula1>B305:B306</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K232"/>
  <sheetViews>
    <sheetView tabSelected="1" topLeftCell="A112" zoomScale="71" zoomScaleNormal="71" zoomScalePageLayoutView="71" workbookViewId="0">
      <selection activeCell="L128" sqref="L128"/>
    </sheetView>
  </sheetViews>
  <sheetFormatPr baseColWidth="10" defaultColWidth="8.6640625" defaultRowHeight="12.75" customHeight="1"/>
  <cols>
    <col min="1" max="1" width="76" customWidth="1"/>
    <col min="2" max="2" width="4.83203125" customWidth="1"/>
    <col min="3" max="6" width="17.1640625" style="19" customWidth="1"/>
    <col min="7" max="7" width="4.83203125" customWidth="1"/>
    <col min="8" max="8" width="57" customWidth="1"/>
    <col min="9" max="9" width="3" customWidth="1"/>
    <col min="10" max="10" width="19.83203125" customWidth="1"/>
    <col min="11" max="11" width="2.33203125" customWidth="1"/>
    <col min="12" max="12" width="18.5" customWidth="1"/>
    <col min="13" max="13" width="2.6640625" customWidth="1"/>
    <col min="14" max="14" width="18.6640625" customWidth="1"/>
    <col min="15" max="15" width="2.5" customWidth="1"/>
    <col min="16" max="16" width="18.6640625" customWidth="1"/>
    <col min="17" max="17" width="3" style="518" customWidth="1"/>
    <col min="18" max="18" width="18.6640625" customWidth="1"/>
    <col min="19" max="19" width="3.5" style="518" customWidth="1"/>
    <col min="20" max="20" width="18.6640625" customWidth="1"/>
    <col min="21" max="37" width="8.6640625" style="151"/>
  </cols>
  <sheetData>
    <row r="1" spans="1:21" ht="15.75" customHeight="1">
      <c r="A1" s="820" t="s">
        <v>206</v>
      </c>
      <c r="B1" s="552"/>
      <c r="C1" s="612"/>
      <c r="D1" s="612"/>
      <c r="E1" s="612"/>
      <c r="F1" s="612"/>
      <c r="G1" s="829"/>
      <c r="H1" s="829"/>
      <c r="I1" s="829"/>
      <c r="J1" s="180"/>
      <c r="K1" s="180"/>
      <c r="L1" s="180"/>
      <c r="M1" s="180"/>
      <c r="N1" s="180"/>
      <c r="O1" s="180"/>
      <c r="P1" s="180"/>
      <c r="Q1" s="292"/>
      <c r="R1" s="680"/>
      <c r="S1" s="286"/>
      <c r="T1" s="151"/>
    </row>
    <row r="2" spans="1:21" ht="22.5" customHeight="1">
      <c r="A2" s="861" t="s">
        <v>39</v>
      </c>
      <c r="B2" s="552"/>
      <c r="C2" s="612"/>
      <c r="D2" s="612"/>
      <c r="E2" s="612"/>
      <c r="F2" s="612"/>
      <c r="G2" s="829"/>
      <c r="H2" s="829"/>
      <c r="I2" s="829"/>
      <c r="J2" s="504"/>
      <c r="K2" s="504"/>
      <c r="L2" s="504"/>
      <c r="M2" s="504"/>
      <c r="N2" s="504"/>
      <c r="O2" s="504"/>
      <c r="P2" s="504"/>
      <c r="Q2" s="536"/>
      <c r="R2" s="680"/>
      <c r="S2" s="286"/>
      <c r="T2" s="151"/>
    </row>
    <row r="3" spans="1:21" ht="15" customHeight="1">
      <c r="A3" s="839"/>
      <c r="B3" s="829"/>
      <c r="C3" s="612"/>
      <c r="D3" s="612"/>
      <c r="E3" s="612"/>
      <c r="F3" s="612"/>
      <c r="G3" s="829"/>
      <c r="H3" s="829"/>
      <c r="I3" s="829"/>
      <c r="J3" s="504"/>
      <c r="K3" s="504"/>
      <c r="L3" s="504"/>
      <c r="M3" s="504"/>
      <c r="N3" s="504"/>
      <c r="O3" s="504"/>
      <c r="P3" s="504"/>
      <c r="Q3" s="536"/>
      <c r="R3" s="680"/>
      <c r="S3" s="286"/>
      <c r="T3" s="151"/>
    </row>
    <row r="4" spans="1:21" ht="15.75" customHeight="1">
      <c r="A4" s="591"/>
      <c r="B4" s="642"/>
      <c r="C4" s="642"/>
      <c r="D4" s="642"/>
      <c r="E4" s="642"/>
      <c r="F4" s="642"/>
      <c r="G4" s="642"/>
      <c r="H4" s="642"/>
      <c r="I4" s="642"/>
      <c r="J4" s="642"/>
      <c r="K4" s="642"/>
      <c r="L4" s="642"/>
      <c r="M4" s="642"/>
      <c r="N4" s="642"/>
      <c r="O4" s="174"/>
      <c r="P4" s="174"/>
      <c r="Q4" s="591"/>
      <c r="R4" s="174"/>
      <c r="S4" s="286"/>
      <c r="T4" s="151"/>
    </row>
    <row r="5" spans="1:21" ht="23.25" customHeight="1">
      <c r="A5" s="111"/>
      <c r="B5" s="100"/>
      <c r="C5" s="828"/>
      <c r="D5" s="828"/>
      <c r="E5" s="828"/>
      <c r="F5" s="828"/>
      <c r="G5" s="100"/>
      <c r="H5" s="100"/>
      <c r="I5" s="100"/>
      <c r="J5" s="744"/>
      <c r="K5" s="744"/>
      <c r="L5" s="744"/>
      <c r="M5" s="744"/>
      <c r="N5" s="744"/>
      <c r="O5" s="744"/>
      <c r="P5" s="744"/>
      <c r="Q5" s="71"/>
      <c r="R5" s="633"/>
      <c r="S5" s="724"/>
      <c r="T5" s="151"/>
    </row>
    <row r="6" spans="1:21" ht="16.5" customHeight="1">
      <c r="A6" s="633"/>
      <c r="B6" s="633"/>
      <c r="C6" s="714"/>
      <c r="D6" s="714"/>
      <c r="E6" s="714"/>
      <c r="F6" s="714"/>
      <c r="G6" s="633"/>
      <c r="H6" s="339"/>
      <c r="I6" s="633"/>
      <c r="J6" s="456"/>
      <c r="K6" s="151"/>
      <c r="L6" s="151"/>
      <c r="M6" s="151"/>
      <c r="N6" s="151"/>
      <c r="O6" s="151"/>
      <c r="P6" s="151"/>
      <c r="R6" s="151"/>
      <c r="T6" s="151"/>
    </row>
    <row r="7" spans="1:21" ht="30" customHeight="1">
      <c r="A7" s="817"/>
      <c r="B7" s="555"/>
      <c r="C7" s="933" t="s">
        <v>207</v>
      </c>
      <c r="D7" s="936" t="s">
        <v>208</v>
      </c>
      <c r="E7" s="936" t="s">
        <v>209</v>
      </c>
      <c r="F7" s="936" t="s">
        <v>210</v>
      </c>
      <c r="G7" s="412"/>
      <c r="H7" s="936" t="s">
        <v>211</v>
      </c>
      <c r="I7" s="412"/>
      <c r="J7" s="930" t="s">
        <v>212</v>
      </c>
      <c r="K7" s="676"/>
      <c r="L7" s="456"/>
      <c r="M7" s="456"/>
      <c r="N7" s="456"/>
      <c r="O7" s="456"/>
      <c r="P7" s="456"/>
      <c r="Q7" s="229"/>
      <c r="R7" s="456"/>
      <c r="S7" s="229"/>
      <c r="T7" s="456"/>
    </row>
    <row r="8" spans="1:21" ht="31.5" customHeight="1">
      <c r="A8" s="750"/>
      <c r="B8" s="563"/>
      <c r="C8" s="934"/>
      <c r="D8" s="937"/>
      <c r="E8" s="939"/>
      <c r="F8" s="939"/>
      <c r="G8" s="510"/>
      <c r="H8" s="939"/>
      <c r="I8" s="510"/>
      <c r="J8" s="931"/>
      <c r="K8" s="667"/>
      <c r="L8" s="881" t="s">
        <v>213</v>
      </c>
      <c r="M8" s="932"/>
      <c r="N8" s="932"/>
      <c r="O8" s="932"/>
      <c r="P8" s="932"/>
      <c r="Q8" s="932"/>
      <c r="R8" s="932"/>
      <c r="S8" s="932"/>
      <c r="T8" s="874"/>
      <c r="U8" s="676"/>
    </row>
    <row r="9" spans="1:21" ht="23.25" customHeight="1">
      <c r="A9" s="704" t="s">
        <v>214</v>
      </c>
      <c r="B9" s="780"/>
      <c r="C9" s="935"/>
      <c r="D9" s="938"/>
      <c r="E9" s="940"/>
      <c r="F9" s="940"/>
      <c r="G9" s="780"/>
      <c r="H9" s="940"/>
      <c r="I9" s="715"/>
      <c r="J9" s="226"/>
      <c r="K9" s="412"/>
      <c r="L9" s="709">
        <f>J9+1</f>
        <v>1</v>
      </c>
      <c r="M9" s="104"/>
      <c r="N9" s="709">
        <f>L9+1</f>
        <v>2</v>
      </c>
      <c r="O9" s="104"/>
      <c r="P9" s="709">
        <f>N9+1</f>
        <v>3</v>
      </c>
      <c r="Q9" s="104"/>
      <c r="R9" s="709">
        <f>P9+1</f>
        <v>4</v>
      </c>
      <c r="S9" s="212"/>
      <c r="T9" s="709">
        <f>R9+1</f>
        <v>5</v>
      </c>
      <c r="U9" s="676"/>
    </row>
    <row r="10" spans="1:21" ht="18.75" customHeight="1">
      <c r="A10" s="255" t="s">
        <v>215</v>
      </c>
      <c r="B10" s="702"/>
      <c r="C10" s="830" t="s">
        <v>488</v>
      </c>
      <c r="D10" s="830" t="s">
        <v>488</v>
      </c>
      <c r="E10" s="830" t="s">
        <v>488</v>
      </c>
      <c r="F10" s="830" t="s">
        <v>488</v>
      </c>
      <c r="G10" s="472"/>
      <c r="H10" s="450"/>
      <c r="I10" s="264"/>
      <c r="J10" s="689">
        <v>0</v>
      </c>
      <c r="K10" s="287"/>
      <c r="L10" s="689">
        <f>'Revenues-Per Capita &amp; SPED'!C50</f>
        <v>1365734</v>
      </c>
      <c r="M10" s="809"/>
      <c r="N10" s="689">
        <f>'Revenues-Per Capita &amp; SPED'!J50</f>
        <v>1365734</v>
      </c>
      <c r="O10" s="809"/>
      <c r="P10" s="689">
        <f>'Revenues-Per Capita &amp; SPED'!Q50</f>
        <v>1365734</v>
      </c>
      <c r="Q10" s="96"/>
      <c r="R10" s="689">
        <f>'Revenues-Per Capita &amp; SPED'!X50</f>
        <v>1365734</v>
      </c>
      <c r="S10" s="96"/>
      <c r="T10" s="689">
        <f>'Revenues-Per Capita &amp; SPED'!AE50</f>
        <v>1365734</v>
      </c>
      <c r="U10" s="85"/>
    </row>
    <row r="11" spans="1:21" ht="16.5" customHeight="1">
      <c r="A11" s="90" t="s">
        <v>216</v>
      </c>
      <c r="B11" s="702"/>
      <c r="C11" s="830" t="s">
        <v>488</v>
      </c>
      <c r="D11" s="830" t="s">
        <v>488</v>
      </c>
      <c r="E11" s="830" t="s">
        <v>488</v>
      </c>
      <c r="F11" s="830" t="s">
        <v>488</v>
      </c>
      <c r="G11" s="472"/>
      <c r="H11" s="397"/>
      <c r="I11" s="264"/>
      <c r="J11" s="850">
        <v>0</v>
      </c>
      <c r="K11" s="202"/>
      <c r="L11" s="850">
        <f>'Revenues-Per Capita &amp; SPED'!C86</f>
        <v>1595482.5</v>
      </c>
      <c r="M11" s="264"/>
      <c r="N11" s="850">
        <f>'Revenues-Per Capita &amp; SPED'!J86</f>
        <v>638193</v>
      </c>
      <c r="O11" s="264"/>
      <c r="P11" s="850">
        <f>'Revenues-Per Capita &amp; SPED'!Q86</f>
        <v>1595482.5</v>
      </c>
      <c r="Q11" s="411"/>
      <c r="R11" s="850">
        <f>'Revenues-Per Capita &amp; SPED'!X86</f>
        <v>1595482.5</v>
      </c>
      <c r="S11" s="495"/>
      <c r="T11" s="850">
        <f>'Revenues-Per Capita &amp; SPED'!AE86</f>
        <v>1595482.5</v>
      </c>
      <c r="U11" s="85"/>
    </row>
    <row r="12" spans="1:21" ht="32.25" customHeight="1">
      <c r="A12" s="21" t="s">
        <v>217</v>
      </c>
      <c r="B12" s="702"/>
      <c r="C12" s="830" t="s">
        <v>488</v>
      </c>
      <c r="D12" s="830" t="s">
        <v>488</v>
      </c>
      <c r="E12" s="830" t="s">
        <v>488</v>
      </c>
      <c r="F12" s="830" t="s">
        <v>488</v>
      </c>
      <c r="G12" s="472"/>
      <c r="H12" s="397"/>
      <c r="I12" s="264"/>
      <c r="J12" s="850">
        <v>0</v>
      </c>
      <c r="K12" s="202"/>
      <c r="L12" s="850">
        <f>'Revenues-Per Capita &amp; SPED'!C118</f>
        <v>0</v>
      </c>
      <c r="M12" s="264"/>
      <c r="N12" s="850">
        <f>'Revenues-Per Capita &amp; SPED'!J118</f>
        <v>1033872.6600000001</v>
      </c>
      <c r="O12" s="264"/>
      <c r="P12" s="850">
        <v>0</v>
      </c>
      <c r="Q12" s="411"/>
      <c r="R12" s="850">
        <v>0</v>
      </c>
      <c r="S12" s="495"/>
      <c r="T12" s="850">
        <v>0</v>
      </c>
      <c r="U12" s="85"/>
    </row>
    <row r="13" spans="1:21" ht="16.5" customHeight="1">
      <c r="A13" s="90" t="s">
        <v>102</v>
      </c>
      <c r="B13" s="702"/>
      <c r="C13" s="830" t="s">
        <v>488</v>
      </c>
      <c r="D13" s="830" t="s">
        <v>488</v>
      </c>
      <c r="E13" s="830" t="s">
        <v>488</v>
      </c>
      <c r="F13" s="830" t="s">
        <v>488</v>
      </c>
      <c r="G13" s="472"/>
      <c r="H13" s="397"/>
      <c r="I13" s="264"/>
      <c r="J13" s="850">
        <v>0</v>
      </c>
      <c r="K13" s="202"/>
      <c r="L13" s="850">
        <f>'Revenues-Per Capita &amp; SPED'!C150</f>
        <v>0</v>
      </c>
      <c r="M13" s="264"/>
      <c r="N13" s="850">
        <f>'Revenues-Per Capita &amp; SPED'!J150</f>
        <v>591733.5</v>
      </c>
      <c r="O13" s="264"/>
      <c r="P13" s="850">
        <f>'Revenues-Per Capita &amp; SPED'!Q150</f>
        <v>1144018.1000000001</v>
      </c>
      <c r="Q13" s="411"/>
      <c r="R13" s="850">
        <f>'Revenues-Per Capita &amp; SPED'!X150</f>
        <v>1696302.7</v>
      </c>
      <c r="S13" s="495"/>
      <c r="T13" s="850">
        <f>'Revenues-Per Capita &amp; SPED'!AE150</f>
        <v>2248587.2999999998</v>
      </c>
      <c r="U13" s="85"/>
    </row>
    <row r="14" spans="1:21" ht="16.5" customHeight="1">
      <c r="A14" s="90" t="s">
        <v>103</v>
      </c>
      <c r="B14" s="702"/>
      <c r="C14" s="830" t="s">
        <v>488</v>
      </c>
      <c r="D14" s="830" t="s">
        <v>488</v>
      </c>
      <c r="E14" s="830" t="s">
        <v>488</v>
      </c>
      <c r="F14" s="830" t="s">
        <v>488</v>
      </c>
      <c r="G14" s="472"/>
      <c r="H14" s="397"/>
      <c r="I14" s="264"/>
      <c r="J14" s="850">
        <v>0</v>
      </c>
      <c r="K14" s="202"/>
      <c r="L14" s="850">
        <v>125000</v>
      </c>
      <c r="M14" s="264"/>
      <c r="N14" s="850">
        <v>0</v>
      </c>
      <c r="O14" s="264"/>
      <c r="P14" s="850">
        <v>0</v>
      </c>
      <c r="Q14" s="411"/>
      <c r="R14" s="850">
        <v>0</v>
      </c>
      <c r="S14" s="495"/>
      <c r="T14" s="850">
        <v>0</v>
      </c>
      <c r="U14" s="85"/>
    </row>
    <row r="15" spans="1:21" ht="16.5" customHeight="1">
      <c r="A15" s="90" t="s">
        <v>104</v>
      </c>
      <c r="B15" s="702"/>
      <c r="C15" s="830" t="s">
        <v>488</v>
      </c>
      <c r="D15" s="830" t="s">
        <v>488</v>
      </c>
      <c r="E15" s="830" t="s">
        <v>488</v>
      </c>
      <c r="F15" s="830" t="s">
        <v>488</v>
      </c>
      <c r="G15" s="472"/>
      <c r="H15" s="397"/>
      <c r="I15" s="264"/>
      <c r="J15" s="850">
        <v>0</v>
      </c>
      <c r="K15" s="202"/>
      <c r="L15" s="218">
        <f>'Revenues-Fed, State, &amp; Expan. '!E43</f>
        <v>360000</v>
      </c>
      <c r="M15" s="686"/>
      <c r="N15" s="218">
        <f>'Revenues-Fed, State, &amp; Expan. '!G43</f>
        <v>0</v>
      </c>
      <c r="O15" s="686"/>
      <c r="P15" s="218">
        <f>'Revenues-Fed, State, &amp; Expan. '!I43</f>
        <v>0</v>
      </c>
      <c r="Q15" s="678"/>
      <c r="R15" s="218">
        <f>'Revenues-Fed, State, &amp; Expan. '!K43</f>
        <v>0</v>
      </c>
      <c r="S15" s="114"/>
      <c r="T15" s="218">
        <f>'Revenues-Fed, State, &amp; Expan. '!M43</f>
        <v>0</v>
      </c>
      <c r="U15" s="85"/>
    </row>
    <row r="16" spans="1:21" ht="16.5" customHeight="1">
      <c r="A16" s="90" t="s">
        <v>105</v>
      </c>
      <c r="B16" s="702"/>
      <c r="C16" s="830" t="s">
        <v>488</v>
      </c>
      <c r="D16" s="830" t="s">
        <v>488</v>
      </c>
      <c r="E16" s="830" t="s">
        <v>488</v>
      </c>
      <c r="F16" s="830" t="s">
        <v>488</v>
      </c>
      <c r="G16" s="472"/>
      <c r="H16" s="397"/>
      <c r="I16" s="264"/>
      <c r="J16" s="850">
        <v>0</v>
      </c>
      <c r="K16" s="202"/>
      <c r="L16" s="850">
        <f>'Revenues-Per Capita &amp; SPED'!C170</f>
        <v>337500</v>
      </c>
      <c r="M16" s="264"/>
      <c r="N16" s="850">
        <f>'Revenues-Per Capita &amp; SPED'!J170</f>
        <v>393750</v>
      </c>
      <c r="O16" s="264"/>
      <c r="P16" s="850">
        <f>'Revenues-Per Capita &amp; SPED'!Q170</f>
        <v>446250</v>
      </c>
      <c r="Q16" s="411"/>
      <c r="R16" s="850">
        <f>'Revenues-Per Capita &amp; SPED'!X170</f>
        <v>498750</v>
      </c>
      <c r="S16" s="495"/>
      <c r="T16" s="850">
        <f>'Revenues-Per Capita &amp; SPED'!AE170</f>
        <v>551250</v>
      </c>
      <c r="U16" s="85"/>
    </row>
    <row r="17" spans="1:21" ht="16.5" customHeight="1">
      <c r="A17" s="90" t="s">
        <v>106</v>
      </c>
      <c r="B17" s="702"/>
      <c r="C17" s="830" t="s">
        <v>488</v>
      </c>
      <c r="D17" s="830" t="s">
        <v>488</v>
      </c>
      <c r="E17" s="830" t="s">
        <v>488</v>
      </c>
      <c r="F17" s="830" t="s">
        <v>488</v>
      </c>
      <c r="G17" s="472"/>
      <c r="H17" s="397"/>
      <c r="I17" s="264"/>
      <c r="J17" s="850">
        <v>0</v>
      </c>
      <c r="K17" s="202"/>
      <c r="L17" s="850">
        <f>'Revenues-Fed, State, &amp; Expan. '!E13</f>
        <v>331010</v>
      </c>
      <c r="M17" s="264"/>
      <c r="N17" s="850">
        <f>'Revenues-Fed, State, &amp; Expan. '!G13</f>
        <v>385520</v>
      </c>
      <c r="O17" s="264"/>
      <c r="P17" s="850">
        <f>'Revenues-Fed, State, &amp; Expan. '!I13</f>
        <v>436870</v>
      </c>
      <c r="Q17" s="411"/>
      <c r="R17" s="850">
        <f>'Revenues-Fed, State, &amp; Expan. '!K13</f>
        <v>488220</v>
      </c>
      <c r="S17" s="495"/>
      <c r="T17" s="850">
        <f>'Revenues-Fed, State, &amp; Expan. '!M13</f>
        <v>540360</v>
      </c>
      <c r="U17" s="85"/>
    </row>
    <row r="18" spans="1:21" ht="16.5" customHeight="1">
      <c r="A18" s="90" t="s">
        <v>107</v>
      </c>
      <c r="B18" s="702"/>
      <c r="C18" s="830" t="s">
        <v>488</v>
      </c>
      <c r="D18" s="830" t="s">
        <v>488</v>
      </c>
      <c r="E18" s="830" t="s">
        <v>488</v>
      </c>
      <c r="F18" s="830" t="s">
        <v>488</v>
      </c>
      <c r="G18" s="472"/>
      <c r="H18" s="397"/>
      <c r="I18" s="264"/>
      <c r="J18" s="850">
        <v>0</v>
      </c>
      <c r="K18" s="202"/>
      <c r="L18" s="850">
        <f>'Revenues-Fed, State, &amp; Expan. '!E24</f>
        <v>196282</v>
      </c>
      <c r="M18" s="264"/>
      <c r="N18" s="850">
        <f>'Revenues-Fed, State, &amp; Expan. '!G24</f>
        <v>229126</v>
      </c>
      <c r="O18" s="264"/>
      <c r="P18" s="850">
        <f>'Revenues-Fed, State, &amp; Expan. '!I24</f>
        <v>259624</v>
      </c>
      <c r="Q18" s="411"/>
      <c r="R18" s="850">
        <f>'Revenues-Fed, State, &amp; Expan. '!K24</f>
        <v>290122</v>
      </c>
      <c r="S18" s="495"/>
      <c r="T18" s="850">
        <f>'Revenues-Fed, State, &amp; Expan. '!M24</f>
        <v>320620</v>
      </c>
      <c r="U18" s="85"/>
    </row>
    <row r="19" spans="1:21" ht="16.5" customHeight="1">
      <c r="A19" s="90" t="s">
        <v>108</v>
      </c>
      <c r="B19" s="702"/>
      <c r="C19" s="830" t="s">
        <v>488</v>
      </c>
      <c r="D19" s="830" t="s">
        <v>488</v>
      </c>
      <c r="E19" s="830" t="s">
        <v>488</v>
      </c>
      <c r="F19" s="830" t="s">
        <v>488</v>
      </c>
      <c r="G19" s="472"/>
      <c r="H19" s="397"/>
      <c r="I19" s="264"/>
      <c r="J19" s="850">
        <v>0</v>
      </c>
      <c r="K19" s="202"/>
      <c r="L19" s="850">
        <f>'Revenues-Fed, State, &amp; Expan. '!E30</f>
        <v>28800</v>
      </c>
      <c r="M19" s="264"/>
      <c r="N19" s="850">
        <f>'Revenues-Fed, State, &amp; Expan. '!G30</f>
        <v>33600</v>
      </c>
      <c r="O19" s="264"/>
      <c r="P19" s="850">
        <f>'Revenues-Fed, State, &amp; Expan. '!I30</f>
        <v>38080</v>
      </c>
      <c r="Q19" s="411"/>
      <c r="R19" s="850">
        <f>'Revenues-Fed, State, &amp; Expan. '!K30</f>
        <v>42560</v>
      </c>
      <c r="S19" s="495"/>
      <c r="T19" s="850">
        <f>'Revenues-Fed, State, &amp; Expan. '!M30</f>
        <v>47040</v>
      </c>
      <c r="U19" s="85"/>
    </row>
    <row r="20" spans="1:21" ht="16.5" customHeight="1">
      <c r="A20" s="90" t="s">
        <v>109</v>
      </c>
      <c r="B20" s="702"/>
      <c r="C20" s="830" t="s">
        <v>488</v>
      </c>
      <c r="D20" s="830" t="s">
        <v>488</v>
      </c>
      <c r="E20" s="830" t="s">
        <v>488</v>
      </c>
      <c r="F20" s="830" t="s">
        <v>488</v>
      </c>
      <c r="G20" s="472"/>
      <c r="H20" s="397"/>
      <c r="I20" s="264"/>
      <c r="J20" s="850">
        <v>0</v>
      </c>
      <c r="K20" s="202"/>
      <c r="L20" s="850">
        <f>'Revenues-Fed, State, &amp; Expan. '!E70</f>
        <v>0</v>
      </c>
      <c r="M20" s="264"/>
      <c r="N20" s="850">
        <f>'Revenues-Fed, State, &amp; Expan. '!G70</f>
        <v>0</v>
      </c>
      <c r="O20" s="264"/>
      <c r="P20" s="850">
        <f>'Revenues-Fed, State, &amp; Expan. '!I70</f>
        <v>0</v>
      </c>
      <c r="Q20" s="411"/>
      <c r="R20" s="850">
        <f>'Revenues-Fed, State, &amp; Expan. '!K70</f>
        <v>0</v>
      </c>
      <c r="S20" s="495"/>
      <c r="T20" s="850">
        <f>'Revenues-Fed, State, &amp; Expan. '!M70</f>
        <v>0</v>
      </c>
      <c r="U20" s="85"/>
    </row>
    <row r="21" spans="1:21" ht="16.5" customHeight="1">
      <c r="A21" s="90" t="s">
        <v>110</v>
      </c>
      <c r="B21" s="702"/>
      <c r="C21" s="830" t="s">
        <v>488</v>
      </c>
      <c r="D21" s="830" t="s">
        <v>488</v>
      </c>
      <c r="E21" s="830" t="s">
        <v>488</v>
      </c>
      <c r="F21" s="830" t="s">
        <v>488</v>
      </c>
      <c r="G21" s="472"/>
      <c r="H21" s="397"/>
      <c r="I21" s="264"/>
      <c r="J21" s="850">
        <v>0</v>
      </c>
      <c r="K21" s="264"/>
      <c r="L21" s="850">
        <f>'Revenues-Per Capita &amp; SPED'!D236</f>
        <v>201000</v>
      </c>
      <c r="M21" s="264"/>
      <c r="N21" s="850">
        <f>'Revenues-Per Capita &amp; SPED'!K236</f>
        <v>201000</v>
      </c>
      <c r="O21" s="264"/>
      <c r="P21" s="850">
        <f>'Revenues-Per Capita &amp; SPED'!R236</f>
        <v>261000</v>
      </c>
      <c r="Q21" s="411"/>
      <c r="R21" s="850">
        <f>'Revenues-Per Capita &amp; SPED'!Y236</f>
        <v>282000</v>
      </c>
      <c r="S21" s="495"/>
      <c r="T21" s="850">
        <f>'Revenues-Per Capita &amp; SPED'!AF236</f>
        <v>342000</v>
      </c>
      <c r="U21" s="85"/>
    </row>
    <row r="22" spans="1:21" ht="16.5" customHeight="1">
      <c r="A22" s="90" t="s">
        <v>111</v>
      </c>
      <c r="B22" s="702"/>
      <c r="C22" s="830" t="s">
        <v>488</v>
      </c>
      <c r="D22" s="830" t="s">
        <v>488</v>
      </c>
      <c r="E22" s="830" t="s">
        <v>488</v>
      </c>
      <c r="F22" s="830" t="s">
        <v>488</v>
      </c>
      <c r="G22" s="472"/>
      <c r="H22" s="397"/>
      <c r="I22" s="264"/>
      <c r="J22" s="850">
        <v>160000</v>
      </c>
      <c r="K22" s="264"/>
      <c r="L22" s="850">
        <v>0</v>
      </c>
      <c r="M22" s="264"/>
      <c r="N22" s="850">
        <v>0</v>
      </c>
      <c r="O22" s="264"/>
      <c r="P22" s="850">
        <v>0</v>
      </c>
      <c r="Q22" s="411"/>
      <c r="R22" s="850">
        <v>0</v>
      </c>
      <c r="S22" s="495"/>
      <c r="T22" s="850">
        <v>0</v>
      </c>
      <c r="U22" s="85"/>
    </row>
    <row r="23" spans="1:21" ht="16.5" customHeight="1">
      <c r="A23" s="90" t="s">
        <v>112</v>
      </c>
      <c r="B23" s="702"/>
      <c r="C23" s="830" t="s">
        <v>488</v>
      </c>
      <c r="D23" s="830" t="s">
        <v>488</v>
      </c>
      <c r="E23" s="830" t="s">
        <v>488</v>
      </c>
      <c r="F23" s="830" t="s">
        <v>488</v>
      </c>
      <c r="G23" s="472"/>
      <c r="H23" s="397"/>
      <c r="I23" s="264"/>
      <c r="J23" s="728"/>
      <c r="K23" s="428"/>
      <c r="L23" s="728"/>
      <c r="M23" s="428"/>
      <c r="N23" s="728"/>
      <c r="O23" s="264"/>
      <c r="P23" s="728"/>
      <c r="Q23" s="411"/>
      <c r="R23" s="728"/>
      <c r="S23" s="495"/>
      <c r="T23" s="728"/>
      <c r="U23" s="85"/>
    </row>
    <row r="24" spans="1:21" ht="16.5" customHeight="1">
      <c r="A24" s="90" t="s">
        <v>113</v>
      </c>
      <c r="B24" s="702"/>
      <c r="C24" s="830" t="s">
        <v>488</v>
      </c>
      <c r="D24" s="830" t="s">
        <v>488</v>
      </c>
      <c r="E24" s="830" t="s">
        <v>488</v>
      </c>
      <c r="F24" s="830" t="s">
        <v>488</v>
      </c>
      <c r="G24" s="472"/>
      <c r="H24" s="397"/>
      <c r="I24" s="264"/>
      <c r="J24" s="728">
        <v>0</v>
      </c>
      <c r="K24" s="728">
        <v>0</v>
      </c>
      <c r="L24" s="728">
        <f>(450*50)*0.7</f>
        <v>15749.999999999998</v>
      </c>
      <c r="M24" s="728"/>
      <c r="N24" s="728">
        <f>(525*50)*0.7</f>
        <v>18375</v>
      </c>
      <c r="O24" s="264"/>
      <c r="P24" s="728">
        <f>(595*50)*0.7</f>
        <v>20825</v>
      </c>
      <c r="Q24" s="411"/>
      <c r="R24" s="728">
        <f>(665*50)*0.7</f>
        <v>23275</v>
      </c>
      <c r="S24" s="495"/>
      <c r="T24" s="728">
        <f>(735*50)*0.7</f>
        <v>25725</v>
      </c>
      <c r="U24" s="85"/>
    </row>
    <row r="25" spans="1:21" ht="16.5" customHeight="1">
      <c r="A25" s="90" t="s">
        <v>114</v>
      </c>
      <c r="B25" s="702"/>
      <c r="C25" s="830" t="s">
        <v>488</v>
      </c>
      <c r="D25" s="830" t="s">
        <v>488</v>
      </c>
      <c r="E25" s="830" t="s">
        <v>488</v>
      </c>
      <c r="F25" s="830" t="s">
        <v>488</v>
      </c>
      <c r="G25" s="472"/>
      <c r="H25" s="397"/>
      <c r="I25" s="264"/>
      <c r="J25" s="728"/>
      <c r="K25" s="805"/>
      <c r="L25" s="728"/>
      <c r="M25" s="805"/>
      <c r="N25" s="728"/>
      <c r="O25" s="264"/>
      <c r="P25" s="728"/>
      <c r="Q25" s="411"/>
      <c r="R25" s="728"/>
      <c r="S25" s="495"/>
      <c r="T25" s="728"/>
      <c r="U25" s="85"/>
    </row>
    <row r="26" spans="1:21" ht="16.5" customHeight="1">
      <c r="A26" s="90" t="s">
        <v>115</v>
      </c>
      <c r="B26" s="702"/>
      <c r="C26" s="830" t="s">
        <v>488</v>
      </c>
      <c r="D26" s="830" t="s">
        <v>488</v>
      </c>
      <c r="E26" s="830" t="s">
        <v>488</v>
      </c>
      <c r="F26" s="830" t="s">
        <v>488</v>
      </c>
      <c r="G26" s="472"/>
      <c r="H26" s="397"/>
      <c r="I26" s="264"/>
      <c r="J26" s="728"/>
      <c r="K26" s="264"/>
      <c r="L26" s="728"/>
      <c r="M26" s="264"/>
      <c r="N26" s="728"/>
      <c r="O26" s="264"/>
      <c r="P26" s="728"/>
      <c r="Q26" s="411"/>
      <c r="R26" s="728"/>
      <c r="S26" s="495"/>
      <c r="T26" s="728"/>
      <c r="U26" s="85"/>
    </row>
    <row r="27" spans="1:21" ht="16.5" customHeight="1">
      <c r="A27" s="90" t="s">
        <v>116</v>
      </c>
      <c r="B27" s="702"/>
      <c r="C27" s="830" t="s">
        <v>488</v>
      </c>
      <c r="D27" s="830" t="s">
        <v>488</v>
      </c>
      <c r="E27" s="830" t="s">
        <v>488</v>
      </c>
      <c r="F27" s="830" t="s">
        <v>488</v>
      </c>
      <c r="G27" s="472"/>
      <c r="H27" s="397"/>
      <c r="I27" s="264"/>
      <c r="J27" s="728">
        <v>250000</v>
      </c>
      <c r="K27" s="264"/>
      <c r="L27" s="728"/>
      <c r="M27" s="264"/>
      <c r="N27" s="728"/>
      <c r="O27" s="264"/>
      <c r="P27" s="728"/>
      <c r="Q27" s="411"/>
      <c r="R27" s="728"/>
      <c r="S27" s="495"/>
      <c r="T27" s="728"/>
      <c r="U27" s="85"/>
    </row>
    <row r="28" spans="1:21" ht="16.5" customHeight="1">
      <c r="A28" s="59" t="s">
        <v>117</v>
      </c>
      <c r="B28" s="702"/>
      <c r="C28" s="830" t="s">
        <v>488</v>
      </c>
      <c r="D28" s="830" t="s">
        <v>488</v>
      </c>
      <c r="E28" s="830" t="s">
        <v>488</v>
      </c>
      <c r="F28" s="830" t="s">
        <v>488</v>
      </c>
      <c r="G28" s="472"/>
      <c r="H28" s="397"/>
      <c r="I28" s="264"/>
      <c r="J28" s="728"/>
      <c r="K28" s="264"/>
      <c r="L28" s="728">
        <v>250000</v>
      </c>
      <c r="M28" s="264"/>
      <c r="N28" s="728"/>
      <c r="O28" s="264"/>
      <c r="P28" s="728"/>
      <c r="Q28" s="411"/>
      <c r="R28" s="728"/>
      <c r="S28" s="495"/>
      <c r="T28" s="728"/>
      <c r="U28" s="85"/>
    </row>
    <row r="29" spans="1:21" ht="16.5" customHeight="1">
      <c r="A29" s="59" t="s">
        <v>118</v>
      </c>
      <c r="B29" s="702"/>
      <c r="C29" s="830" t="s">
        <v>488</v>
      </c>
      <c r="D29" s="830" t="s">
        <v>488</v>
      </c>
      <c r="E29" s="830" t="s">
        <v>488</v>
      </c>
      <c r="F29" s="830" t="s">
        <v>488</v>
      </c>
      <c r="G29" s="472"/>
      <c r="H29" s="397"/>
      <c r="I29" s="264"/>
      <c r="J29" s="728">
        <v>75000</v>
      </c>
      <c r="K29" s="264"/>
      <c r="L29" s="728"/>
      <c r="M29" s="264"/>
      <c r="N29" s="728"/>
      <c r="O29" s="264"/>
      <c r="P29" s="728"/>
      <c r="Q29" s="411"/>
      <c r="R29" s="728"/>
      <c r="S29" s="495"/>
      <c r="T29" s="728"/>
      <c r="U29" s="85"/>
    </row>
    <row r="30" spans="1:21" ht="16.5" customHeight="1">
      <c r="A30" s="59" t="s">
        <v>119</v>
      </c>
      <c r="B30" s="702"/>
      <c r="C30" s="830" t="s">
        <v>488</v>
      </c>
      <c r="D30" s="830" t="s">
        <v>488</v>
      </c>
      <c r="E30" s="830" t="s">
        <v>488</v>
      </c>
      <c r="F30" s="830" t="s">
        <v>488</v>
      </c>
      <c r="G30" s="472"/>
      <c r="H30" s="397"/>
      <c r="I30" s="264"/>
      <c r="J30" s="728"/>
      <c r="K30" s="264"/>
      <c r="L30" s="728">
        <v>125000</v>
      </c>
      <c r="M30" s="264"/>
      <c r="N30" s="728"/>
      <c r="O30" s="264"/>
      <c r="P30" s="728"/>
      <c r="Q30" s="411"/>
      <c r="R30" s="728"/>
      <c r="S30" s="495"/>
      <c r="T30" s="728"/>
      <c r="U30" s="85"/>
    </row>
    <row r="31" spans="1:21" ht="16.5" customHeight="1">
      <c r="A31" s="860" t="s">
        <v>37</v>
      </c>
      <c r="B31" s="702"/>
      <c r="C31" s="830" t="s">
        <v>488</v>
      </c>
      <c r="D31" s="830" t="s">
        <v>488</v>
      </c>
      <c r="E31" s="830" t="s">
        <v>488</v>
      </c>
      <c r="F31" s="830" t="s">
        <v>488</v>
      </c>
      <c r="G31" s="472"/>
      <c r="H31" s="397"/>
      <c r="I31" s="264"/>
      <c r="J31" s="728"/>
      <c r="K31" s="264"/>
      <c r="L31" s="728"/>
      <c r="M31" s="264"/>
      <c r="N31" s="728"/>
      <c r="O31" s="264"/>
      <c r="P31" s="728"/>
      <c r="Q31" s="411"/>
      <c r="R31" s="728"/>
      <c r="S31" s="495"/>
      <c r="T31" s="728"/>
      <c r="U31" s="85"/>
    </row>
    <row r="32" spans="1:21" ht="16.5" customHeight="1">
      <c r="A32" s="59"/>
      <c r="B32" s="702"/>
      <c r="C32" s="830" t="s">
        <v>488</v>
      </c>
      <c r="D32" s="830" t="s">
        <v>488</v>
      </c>
      <c r="E32" s="830" t="s">
        <v>488</v>
      </c>
      <c r="F32" s="830" t="s">
        <v>488</v>
      </c>
      <c r="G32" s="472"/>
      <c r="H32" s="397"/>
      <c r="I32" s="264"/>
      <c r="J32" s="728"/>
      <c r="K32" s="264"/>
      <c r="L32" s="728"/>
      <c r="M32" s="264"/>
      <c r="N32" s="728"/>
      <c r="O32" s="264"/>
      <c r="P32" s="728"/>
      <c r="Q32" s="411"/>
      <c r="R32" s="728"/>
      <c r="S32" s="495"/>
      <c r="T32" s="728"/>
      <c r="U32" s="85"/>
    </row>
    <row r="33" spans="1:21" ht="16.5" customHeight="1">
      <c r="A33" s="59"/>
      <c r="B33" s="702"/>
      <c r="C33" s="830" t="s">
        <v>488</v>
      </c>
      <c r="D33" s="830" t="s">
        <v>488</v>
      </c>
      <c r="E33" s="830" t="s">
        <v>488</v>
      </c>
      <c r="F33" s="830" t="s">
        <v>488</v>
      </c>
      <c r="G33" s="472"/>
      <c r="H33" s="397"/>
      <c r="I33" s="264"/>
      <c r="J33" s="728"/>
      <c r="K33" s="264"/>
      <c r="L33" s="728"/>
      <c r="M33" s="264"/>
      <c r="N33" s="728"/>
      <c r="O33" s="264"/>
      <c r="P33" s="728"/>
      <c r="Q33" s="411"/>
      <c r="R33" s="728"/>
      <c r="S33" s="495"/>
      <c r="T33" s="728"/>
      <c r="U33" s="85"/>
    </row>
    <row r="34" spans="1:21" ht="16.5" customHeight="1">
      <c r="A34" s="725"/>
      <c r="B34" s="65"/>
      <c r="C34" s="587"/>
      <c r="D34" s="587"/>
      <c r="E34" s="587"/>
      <c r="F34" s="587"/>
      <c r="G34" s="65"/>
      <c r="H34" s="538"/>
      <c r="I34" s="65"/>
      <c r="J34" s="453"/>
      <c r="K34" s="65"/>
      <c r="L34" s="453"/>
      <c r="M34" s="65"/>
      <c r="N34" s="453"/>
      <c r="O34" s="65"/>
      <c r="P34" s="321"/>
      <c r="Q34" s="732"/>
      <c r="R34" s="423"/>
      <c r="S34" s="402"/>
      <c r="T34" s="423"/>
    </row>
    <row r="35" spans="1:21" ht="16.5" customHeight="1">
      <c r="A35" s="151"/>
      <c r="B35" s="509"/>
      <c r="C35" s="512"/>
      <c r="D35" s="512"/>
      <c r="E35" s="512"/>
      <c r="F35" s="512"/>
      <c r="G35" s="352"/>
      <c r="H35" s="564" t="s">
        <v>120</v>
      </c>
      <c r="I35" s="300"/>
      <c r="J35" s="610">
        <f>SUM(J10:J33)</f>
        <v>485000</v>
      </c>
      <c r="K35" s="300"/>
      <c r="L35" s="610">
        <f>SUM(L10:L33)</f>
        <v>4931558.5</v>
      </c>
      <c r="M35" s="300"/>
      <c r="N35" s="610">
        <f>SUM(N10:N33)</f>
        <v>4890904.16</v>
      </c>
      <c r="O35" s="300"/>
      <c r="P35" s="610">
        <f>SUM(P10:P33)</f>
        <v>5567883.5999999996</v>
      </c>
      <c r="Q35" s="302"/>
      <c r="R35" s="610">
        <f>SUM(R10:R33)</f>
        <v>6282446.2000000002</v>
      </c>
      <c r="S35" s="154"/>
      <c r="T35" s="484">
        <f>SUM(T10:T33)</f>
        <v>7036798.7999999998</v>
      </c>
      <c r="U35" s="676"/>
    </row>
    <row r="36" spans="1:21" ht="16.5" customHeight="1">
      <c r="A36" s="223"/>
      <c r="B36" s="65"/>
      <c r="C36" s="427"/>
      <c r="D36" s="427"/>
      <c r="E36" s="427"/>
      <c r="F36" s="427"/>
      <c r="G36" s="65"/>
      <c r="H36" s="191"/>
      <c r="I36" s="65"/>
      <c r="J36" s="524"/>
      <c r="K36" s="65"/>
      <c r="L36" s="524"/>
      <c r="M36" s="65"/>
      <c r="N36" s="524"/>
      <c r="O36" s="65"/>
      <c r="P36" s="524"/>
      <c r="Q36" s="408"/>
      <c r="R36" s="334"/>
      <c r="S36" s="402"/>
      <c r="T36" s="334"/>
    </row>
    <row r="37" spans="1:21" ht="18" customHeight="1">
      <c r="A37" s="365" t="s">
        <v>121</v>
      </c>
      <c r="B37" s="567"/>
      <c r="C37" s="933" t="s">
        <v>207</v>
      </c>
      <c r="D37" s="936" t="s">
        <v>208</v>
      </c>
      <c r="E37" s="936" t="s">
        <v>209</v>
      </c>
      <c r="F37" s="936" t="s">
        <v>210</v>
      </c>
      <c r="G37" s="219"/>
      <c r="H37" s="936" t="s">
        <v>122</v>
      </c>
      <c r="I37" s="613"/>
      <c r="J37" s="65"/>
      <c r="K37" s="65"/>
      <c r="L37" s="65"/>
      <c r="M37" s="65"/>
      <c r="N37" s="65"/>
      <c r="O37" s="65"/>
      <c r="P37" s="65"/>
      <c r="Q37" s="408"/>
      <c r="R37" s="53"/>
      <c r="S37" s="402"/>
      <c r="T37" s="53"/>
    </row>
    <row r="38" spans="1:21" ht="32.25" customHeight="1">
      <c r="A38" s="673"/>
      <c r="B38" s="65"/>
      <c r="C38" s="934"/>
      <c r="D38" s="937"/>
      <c r="E38" s="939"/>
      <c r="F38" s="939"/>
      <c r="G38" s="613"/>
      <c r="H38" s="939"/>
      <c r="I38" s="613"/>
      <c r="J38" s="808"/>
      <c r="K38" s="808"/>
      <c r="L38" s="808"/>
      <c r="M38" s="808"/>
      <c r="N38" s="808"/>
      <c r="O38" s="808"/>
      <c r="P38" s="808"/>
      <c r="Q38" s="312"/>
      <c r="R38" s="808"/>
      <c r="S38" s="402"/>
      <c r="T38" s="808"/>
    </row>
    <row r="39" spans="1:21" ht="18.75" customHeight="1">
      <c r="A39" s="634" t="s">
        <v>123</v>
      </c>
      <c r="B39" s="476"/>
      <c r="C39" s="935"/>
      <c r="D39" s="938"/>
      <c r="E39" s="940"/>
      <c r="F39" s="940"/>
      <c r="G39" s="476"/>
      <c r="H39" s="940"/>
      <c r="I39" s="476"/>
      <c r="J39" s="431"/>
      <c r="K39" s="65"/>
      <c r="L39" s="431"/>
      <c r="M39" s="65"/>
      <c r="N39" s="431"/>
      <c r="O39" s="65"/>
      <c r="P39" s="431"/>
      <c r="Q39" s="732"/>
      <c r="R39" s="189"/>
      <c r="S39" s="402"/>
      <c r="T39" s="189"/>
    </row>
    <row r="40" spans="1:21" ht="16.5" customHeight="1">
      <c r="A40" s="255" t="s">
        <v>124</v>
      </c>
      <c r="B40" s="544"/>
      <c r="C40" s="179" t="s">
        <v>125</v>
      </c>
      <c r="D40" s="390">
        <v>100</v>
      </c>
      <c r="E40" s="830" t="s">
        <v>488</v>
      </c>
      <c r="F40" s="796"/>
      <c r="G40" s="336"/>
      <c r="H40" s="450"/>
      <c r="I40" s="271"/>
      <c r="J40" s="728"/>
      <c r="K40" s="264"/>
      <c r="L40" s="690">
        <f>IF(($C40="Per Employee"),($L$175*$D40),IF(($C40="Per Pupil"),($D40*$L$177),IF(($C40="Fixed Per Year"),$D40,0)))</f>
        <v>45000</v>
      </c>
      <c r="M40" s="264"/>
      <c r="N40" s="690">
        <f>IF(($C40="Per Employee"),($N$175*$D40),IF(($C40="Per Pupil"),($D40*$N$177),IF(($C40="Fixed Per Year"),$D40)))*((1+$F40)^1)</f>
        <v>52500</v>
      </c>
      <c r="O40" s="264"/>
      <c r="P40" s="690">
        <f>IF(($C40="Per Employee"),($P$175*$D40),IF(($C40="Per Pupil"),($D40*$P$177),IF(($C40="Fixed Per Year"),$D40)))*((1+$F40)^2)</f>
        <v>59500</v>
      </c>
      <c r="Q40" s="411"/>
      <c r="R40" s="690">
        <f>IF(($C40="Per Employee"),($R$175*$D40),IF(($C40="Per Pupil"),($D40*$R$177),IF(($C40="Fixed Per Year"),$D40)))*((1+$F40)^3)</f>
        <v>66500</v>
      </c>
      <c r="S40" s="495"/>
      <c r="T40" s="690">
        <f>IF(($C40="Per Employee"),($T$175*$D40),IF(($C40="Per Pupil"),($D40*$T$177),IF(($C40="Fixed Per Year"),$D40)))*((1+$F40)^4)</f>
        <v>73500</v>
      </c>
      <c r="U40" s="85"/>
    </row>
    <row r="41" spans="1:21" ht="16.5" customHeight="1">
      <c r="A41" s="90" t="s">
        <v>126</v>
      </c>
      <c r="B41" s="544"/>
      <c r="C41" s="179" t="s">
        <v>127</v>
      </c>
      <c r="D41" s="390">
        <v>300</v>
      </c>
      <c r="E41" s="830" t="s">
        <v>488</v>
      </c>
      <c r="F41" s="796"/>
      <c r="G41" s="336"/>
      <c r="H41" s="397" t="s">
        <v>128</v>
      </c>
      <c r="I41" s="271"/>
      <c r="J41" s="728"/>
      <c r="K41" s="264"/>
      <c r="L41" s="690">
        <f>450*300</f>
        <v>135000</v>
      </c>
      <c r="M41" s="264"/>
      <c r="N41" s="690">
        <f>75*300</f>
        <v>22500</v>
      </c>
      <c r="O41" s="264"/>
      <c r="P41" s="690">
        <f>70*300</f>
        <v>21000</v>
      </c>
      <c r="Q41" s="411"/>
      <c r="R41" s="690">
        <f>70*300</f>
        <v>21000</v>
      </c>
      <c r="S41" s="495"/>
      <c r="T41" s="690">
        <f>70*300</f>
        <v>21000</v>
      </c>
      <c r="U41" s="85"/>
    </row>
    <row r="42" spans="1:21" ht="16.5" customHeight="1">
      <c r="A42" s="90" t="s">
        <v>129</v>
      </c>
      <c r="B42" s="544"/>
      <c r="C42" s="179"/>
      <c r="D42" s="390"/>
      <c r="E42" s="830" t="s">
        <v>488</v>
      </c>
      <c r="F42" s="796"/>
      <c r="G42" s="336"/>
      <c r="H42" s="397"/>
      <c r="I42" s="271"/>
      <c r="J42" s="728"/>
      <c r="K42" s="264"/>
      <c r="L42" s="690">
        <f>IF(($C42="Per Employee"),($L$175*$D42),IF(($C42="Per Pupil"),($D42*$L$177),IF(($C42="Fixed Per Year"),$D42,0)))</f>
        <v>0</v>
      </c>
      <c r="M42" s="264"/>
      <c r="N42" s="690">
        <f>IF(($C42="Per Employee"),($N$175*$D42),IF(($C42="Per Pupil"),($D42*$N$177),IF(($C42="Fixed Per Year"),$D42)))*((1+$F42)^1)</f>
        <v>0</v>
      </c>
      <c r="O42" s="264"/>
      <c r="P42" s="690">
        <f>IF(($C42="Per Employee"),($P$175*$D42),IF(($C42="Per Pupil"),($D42*$P$177),IF(($C42="Fixed Per Year"),$D42)))*((1+$F42)^2)</f>
        <v>0</v>
      </c>
      <c r="Q42" s="411"/>
      <c r="R42" s="690">
        <f>IF(($C42="Per Employee"),($R$175*$D42),IF(($C42="Per Pupil"),($D42*$R$177),IF(($C42="Fixed Per Year"),$D42)))*((1+$F42)^3)</f>
        <v>0</v>
      </c>
      <c r="S42" s="495"/>
      <c r="T42" s="690">
        <f>IF(($C42="Per Employee"),($T$175*$D42),IF(($C42="Per Pupil"),($D42*$T$177),IF(($C42="Fixed Per Year"),$D42)))*((1+$F42)^4)</f>
        <v>0</v>
      </c>
      <c r="U42" s="85"/>
    </row>
    <row r="43" spans="1:21" ht="32.25" customHeight="1">
      <c r="A43" s="90" t="s">
        <v>130</v>
      </c>
      <c r="B43" s="544"/>
      <c r="C43" s="179" t="s">
        <v>127</v>
      </c>
      <c r="D43" s="390"/>
      <c r="E43" s="830" t="s">
        <v>488</v>
      </c>
      <c r="F43" s="796"/>
      <c r="G43" s="336"/>
      <c r="H43" s="397" t="s">
        <v>131</v>
      </c>
      <c r="I43" s="271"/>
      <c r="J43" s="728">
        <v>40000</v>
      </c>
      <c r="K43" s="264"/>
      <c r="L43" s="690">
        <v>10000</v>
      </c>
      <c r="M43" s="264"/>
      <c r="N43" s="690">
        <v>10000</v>
      </c>
      <c r="O43" s="264"/>
      <c r="P43" s="690">
        <v>5000</v>
      </c>
      <c r="Q43" s="411"/>
      <c r="R43" s="690">
        <v>5000</v>
      </c>
      <c r="S43" s="495"/>
      <c r="T43" s="690">
        <v>5000</v>
      </c>
      <c r="U43" s="85"/>
    </row>
    <row r="44" spans="1:21" ht="16.5" customHeight="1">
      <c r="A44" s="90" t="s">
        <v>132</v>
      </c>
      <c r="B44" s="544"/>
      <c r="C44" s="179" t="s">
        <v>127</v>
      </c>
      <c r="D44" s="390"/>
      <c r="E44" s="830" t="s">
        <v>488</v>
      </c>
      <c r="F44" s="796"/>
      <c r="G44" s="336"/>
      <c r="H44" s="397" t="s">
        <v>133</v>
      </c>
      <c r="I44" s="271"/>
      <c r="J44" s="728"/>
      <c r="K44" s="264"/>
      <c r="L44" s="690">
        <f>18*300</f>
        <v>5400</v>
      </c>
      <c r="M44" s="264"/>
      <c r="N44" s="690">
        <v>900</v>
      </c>
      <c r="O44" s="264"/>
      <c r="P44" s="690">
        <v>900</v>
      </c>
      <c r="Q44" s="411"/>
      <c r="R44" s="690">
        <v>900</v>
      </c>
      <c r="S44" s="495"/>
      <c r="T44" s="690">
        <v>900</v>
      </c>
      <c r="U44" s="85"/>
    </row>
    <row r="45" spans="1:21" ht="16.5" customHeight="1">
      <c r="A45" s="90" t="s">
        <v>134</v>
      </c>
      <c r="B45" s="544"/>
      <c r="C45" s="179" t="s">
        <v>127</v>
      </c>
      <c r="D45" s="390"/>
      <c r="E45" s="830" t="s">
        <v>488</v>
      </c>
      <c r="F45" s="796"/>
      <c r="G45" s="336"/>
      <c r="H45" s="397" t="s">
        <v>135</v>
      </c>
      <c r="I45" s="271"/>
      <c r="J45" s="728">
        <v>29000</v>
      </c>
      <c r="K45" s="264"/>
      <c r="L45" s="690">
        <f>IF(($C45="Per Employee"),($L$175*$D45),IF(($C45="Per Pupil"),($D45*$L$177),IF(($C45="Fixed Per Year"),$D45,0)))</f>
        <v>0</v>
      </c>
      <c r="M45" s="264"/>
      <c r="N45" s="690">
        <v>29000</v>
      </c>
      <c r="O45" s="264"/>
      <c r="P45" s="690">
        <f>IF(($C45="Per Employee"),($P$175*$D45),IF(($C45="Per Pupil"),($D45*$P$177),IF(($C45="Fixed Per Year"),$D45)))*((1+$F45)^2)</f>
        <v>0</v>
      </c>
      <c r="Q45" s="411"/>
      <c r="R45" s="690">
        <f>IF(($C45="Per Employee"),($R$175*$D45),IF(($C45="Per Pupil"),($D45*$R$177),IF(($C45="Fixed Per Year"),$D45)))*((1+$F45)^3)</f>
        <v>0</v>
      </c>
      <c r="S45" s="495"/>
      <c r="T45" s="690">
        <f>IF(($C45="Per Employee"),($T$175*$D45),IF(($C45="Per Pupil"),($D45*$T$177),IF(($C45="Fixed Per Year"),$D45)))*((1+$F45)^4)</f>
        <v>0</v>
      </c>
      <c r="U45" s="85"/>
    </row>
    <row r="46" spans="1:21" ht="32.25" customHeight="1">
      <c r="A46" s="90" t="s">
        <v>136</v>
      </c>
      <c r="B46" s="544"/>
      <c r="C46" s="179"/>
      <c r="D46" s="390"/>
      <c r="E46" s="830" t="s">
        <v>488</v>
      </c>
      <c r="F46" s="796"/>
      <c r="G46" s="336"/>
      <c r="H46" s="397" t="s">
        <v>137</v>
      </c>
      <c r="I46" s="271"/>
      <c r="J46" s="728">
        <v>20000</v>
      </c>
      <c r="K46" s="264"/>
      <c r="L46" s="690">
        <v>10000</v>
      </c>
      <c r="M46" s="264"/>
      <c r="N46" s="690">
        <v>30000</v>
      </c>
      <c r="O46" s="264"/>
      <c r="P46" s="690">
        <v>30000</v>
      </c>
      <c r="Q46" s="411"/>
      <c r="R46" s="690">
        <v>30000</v>
      </c>
      <c r="S46" s="495"/>
      <c r="T46" s="690">
        <v>30000</v>
      </c>
      <c r="U46" s="85"/>
    </row>
    <row r="47" spans="1:21" ht="16.5" customHeight="1">
      <c r="A47" s="90" t="s">
        <v>138</v>
      </c>
      <c r="B47" s="544"/>
      <c r="C47" s="179"/>
      <c r="D47" s="390"/>
      <c r="E47" s="830" t="s">
        <v>488</v>
      </c>
      <c r="F47" s="796"/>
      <c r="G47" s="336"/>
      <c r="H47" s="397"/>
      <c r="I47" s="271"/>
      <c r="J47" s="728"/>
      <c r="K47" s="264"/>
      <c r="L47" s="690">
        <f>IF(($C47="Per Employee"),($L$175*$D47),IF(($C47="Per Pupil"),($D47*$L$177),IF(($C47="Fixed Per Year"),$D47,0)))</f>
        <v>0</v>
      </c>
      <c r="M47" s="264"/>
      <c r="N47" s="690">
        <f>IF(($C47="Per Employee"),($N$175*$D47),IF(($C47="Per Pupil"),($D47*$N$177),IF(($C47="Fixed Per Year"),$D47)))*((1+$F47)^1)</f>
        <v>0</v>
      </c>
      <c r="O47" s="264"/>
      <c r="P47" s="690">
        <f>IF(($C47="Per Employee"),($P$175*$D47),IF(($C47="Per Pupil"),($D47*$P$177),IF(($C47="Fixed Per Year"),$D47)))*((1+$F47)^2)</f>
        <v>0</v>
      </c>
      <c r="Q47" s="411"/>
      <c r="R47" s="690">
        <f>IF(($C47="Per Employee"),($R$175*$D47),IF(($C47="Per Pupil"),($D47*$R$177),IF(($C47="Fixed Per Year"),$D47)))*((1+$F47)^3)</f>
        <v>0</v>
      </c>
      <c r="S47" s="495"/>
      <c r="T47" s="690">
        <f>IF(($C47="Per Employee"),($T$175*$D47),IF(($C47="Per Pupil"),($D47*$T$177),IF(($C47="Fixed Per Year"),$D47)))*((1+$F47)^4)</f>
        <v>0</v>
      </c>
      <c r="U47" s="85"/>
    </row>
    <row r="48" spans="1:21" ht="16.5" customHeight="1">
      <c r="A48" s="90" t="s">
        <v>139</v>
      </c>
      <c r="B48" s="544"/>
      <c r="C48" s="179"/>
      <c r="D48" s="390"/>
      <c r="E48" s="830" t="s">
        <v>488</v>
      </c>
      <c r="F48" s="796"/>
      <c r="G48" s="336"/>
      <c r="H48" s="397"/>
      <c r="I48" s="271"/>
      <c r="J48" s="728"/>
      <c r="K48" s="264"/>
      <c r="L48" s="690">
        <f>IF(($C48="Per Employee"),($L$175*$D48),IF(($C48="Per Pupil"),($D48*$L$177),IF(($C48="Fixed Per Year"),$D48,0)))</f>
        <v>0</v>
      </c>
      <c r="M48" s="264"/>
      <c r="N48" s="690">
        <f>IF(($C48="Per Employee"),($N$175*$D48),IF(($C48="Per Pupil"),($D48*$N$177),IF(($C48="Fixed Per Year"),$D48)))*((1+$F48)^1)</f>
        <v>0</v>
      </c>
      <c r="O48" s="264"/>
      <c r="P48" s="690">
        <f>IF(($C48="Per Employee"),($P$175*$D48),IF(($C48="Per Pupil"),($D48*$P$177),IF(($C48="Fixed Per Year"),$D48)))*((1+$F48)^2)</f>
        <v>0</v>
      </c>
      <c r="Q48" s="411"/>
      <c r="R48" s="690">
        <f>IF(($C48="Per Employee"),($R$175*$D48),IF(($C48="Per Pupil"),($D48*$R$177),IF(($C48="Fixed Per Year"),$D48)))*((1+$F48)^3)</f>
        <v>0</v>
      </c>
      <c r="S48" s="495"/>
      <c r="T48" s="690">
        <f>IF(($C48="Per Employee"),($T$175*$D48),IF(($C48="Per Pupil"),($D48*$T$177),IF(($C48="Fixed Per Year"),$D48)))*((1+$F48)^4)</f>
        <v>0</v>
      </c>
      <c r="U48" s="85"/>
    </row>
    <row r="49" spans="1:21" ht="48" customHeight="1">
      <c r="A49" s="90" t="s">
        <v>140</v>
      </c>
      <c r="B49" s="544"/>
      <c r="C49" s="179" t="s">
        <v>125</v>
      </c>
      <c r="D49" s="390">
        <v>70</v>
      </c>
      <c r="E49" s="830" t="s">
        <v>488</v>
      </c>
      <c r="F49" s="796"/>
      <c r="G49" s="336"/>
      <c r="H49" s="397" t="s">
        <v>141</v>
      </c>
      <c r="I49" s="271"/>
      <c r="J49" s="728"/>
      <c r="K49" s="264"/>
      <c r="L49" s="690">
        <f>IF(($C49="Per Employee"),($L$175*$D49),IF(($C49="Per Pupil"),($D49*$L$177),IF(($C49="Fixed Per Year"),$D49,0)))</f>
        <v>31500</v>
      </c>
      <c r="M49" s="264"/>
      <c r="N49" s="690">
        <f>IF(($C49="Per Employee"),($N$175*$D49),IF(($C49="Per Pupil"),($D49*$N$177),IF(($C49="Fixed Per Year"),$D49)))*((1+$F49)^1)</f>
        <v>36750</v>
      </c>
      <c r="O49" s="264"/>
      <c r="P49" s="690">
        <f>IF(($C49="Per Employee"),($P$175*$D49),IF(($C49="Per Pupil"),($D49*$P$177),IF(($C49="Fixed Per Year"),$D49)))*((1+$F49)^2)</f>
        <v>41650</v>
      </c>
      <c r="Q49" s="411"/>
      <c r="R49" s="690">
        <f>IF(($C49="Per Employee"),($R$175*$D49),IF(($C49="Per Pupil"),($D49*$R$177),IF(($C49="Fixed Per Year"),$D49)))*((1+$F49)^3)</f>
        <v>46550</v>
      </c>
      <c r="S49" s="495"/>
      <c r="T49" s="690">
        <f>IF(($C49="Per Employee"),($T$175*$D49),IF(($C49="Per Pupil"),($D49*$T$177),IF(($C49="Fixed Per Year"),$D49)))*((1+$F49)^4)</f>
        <v>51450</v>
      </c>
      <c r="U49" s="85"/>
    </row>
    <row r="50" spans="1:21" ht="16.5" customHeight="1">
      <c r="A50" s="90" t="s">
        <v>142</v>
      </c>
      <c r="B50" s="544"/>
      <c r="C50" s="179"/>
      <c r="D50" s="390"/>
      <c r="E50" s="830" t="s">
        <v>488</v>
      </c>
      <c r="F50" s="796"/>
      <c r="G50" s="336"/>
      <c r="H50" s="397"/>
      <c r="I50" s="271"/>
      <c r="J50" s="728"/>
      <c r="K50" s="264"/>
      <c r="L50" s="690">
        <f>IF(($C50="Per Employee"),($L$175*$D50),IF(($C50="Per Pupil"),($D50*$L$177),IF(($C50="Fixed Per Year"),$D50,0)))</f>
        <v>0</v>
      </c>
      <c r="M50" s="264"/>
      <c r="N50" s="690">
        <f>IF(($C50="Per Employee"),($N$175*$D50),IF(($C50="Per Pupil"),($D50*$N$177),IF(($C50="Fixed Per Year"),$D50)))*((1+$F50)^1)</f>
        <v>0</v>
      </c>
      <c r="O50" s="264"/>
      <c r="P50" s="690">
        <f>IF(($C50="Per Employee"),($P$175*$D50),IF(($C50="Per Pupil"),($D50*$P$177),IF(($C50="Fixed Per Year"),$D50)))*((1+$F50)^2)</f>
        <v>0</v>
      </c>
      <c r="Q50" s="411"/>
      <c r="R50" s="690">
        <f>IF(($C50="Per Employee"),($R$175*$D50),IF(($C50="Per Pupil"),($D50*$R$177),IF(($C50="Fixed Per Year"),$D50)))*((1+$F50)^3)</f>
        <v>0</v>
      </c>
      <c r="S50" s="495"/>
      <c r="T50" s="690">
        <f>IF(($C50="Per Employee"),($T$175*$D50),IF(($C50="Per Pupil"),($D50*$T$177),IF(($C50="Fixed Per Year"),$D50)))*((1+$F50)^4)</f>
        <v>0</v>
      </c>
      <c r="U50" s="85"/>
    </row>
    <row r="51" spans="1:21" ht="32.25" customHeight="1">
      <c r="A51" s="64" t="s">
        <v>143</v>
      </c>
      <c r="B51" s="544"/>
      <c r="C51" s="830" t="s">
        <v>488</v>
      </c>
      <c r="D51" s="749" t="s">
        <v>488</v>
      </c>
      <c r="E51" s="830" t="s">
        <v>488</v>
      </c>
      <c r="F51" s="570" t="s">
        <v>488</v>
      </c>
      <c r="G51" s="336"/>
      <c r="H51" s="397"/>
      <c r="I51" s="271"/>
      <c r="J51" s="850">
        <v>0</v>
      </c>
      <c r="K51" s="264"/>
      <c r="L51" s="690"/>
      <c r="M51" s="264"/>
      <c r="N51" s="690"/>
      <c r="O51" s="264"/>
      <c r="P51" s="690"/>
      <c r="Q51" s="411"/>
      <c r="R51" s="690"/>
      <c r="S51" s="495"/>
      <c r="T51" s="690"/>
      <c r="U51" s="85"/>
    </row>
    <row r="52" spans="1:21" ht="16.5" customHeight="1">
      <c r="A52" s="64" t="s">
        <v>144</v>
      </c>
      <c r="B52" s="544"/>
      <c r="C52" s="179"/>
      <c r="D52" s="390"/>
      <c r="E52" s="830" t="s">
        <v>488</v>
      </c>
      <c r="F52" s="796"/>
      <c r="G52" s="336"/>
      <c r="H52" s="397"/>
      <c r="I52" s="271"/>
      <c r="J52" s="728"/>
      <c r="K52" s="264"/>
      <c r="L52" s="690">
        <f>IF(($C52="Per Employee"),($L$175*$D52),IF(($C52="Per Pupil"),($D52*$L$177),IF(($C52="Fixed Per Year"),$D52,0)))</f>
        <v>0</v>
      </c>
      <c r="M52" s="264"/>
      <c r="N52" s="690">
        <f t="shared" ref="N52:N62" si="0">IF(($C52="Per Employee"),($N$175*$D52),IF(($C52="Per Pupil"),($D52*$N$177),IF(($C52="Fixed Per Year"),$D52)))*((1+$F52)^1)</f>
        <v>0</v>
      </c>
      <c r="O52" s="264"/>
      <c r="P52" s="690">
        <f t="shared" ref="P52:P62" si="1">IF(($C52="Per Employee"),($P$175*$D52),IF(($C52="Per Pupil"),($D52*$P$177),IF(($C52="Fixed Per Year"),$D52)))*((1+$F52)^2)</f>
        <v>0</v>
      </c>
      <c r="Q52" s="411"/>
      <c r="R52" s="690">
        <f t="shared" ref="R52:R62" si="2">IF(($C52="Per Employee"),($R$175*$D52),IF(($C52="Per Pupil"),($D52*$R$177),IF(($C52="Fixed Per Year"),$D52)))*((1+$F52)^3)</f>
        <v>0</v>
      </c>
      <c r="S52" s="495"/>
      <c r="T52" s="690">
        <f t="shared" ref="T52:T62" si="3">IF(($C52="Per Employee"),($T$175*$D52),IF(($C52="Per Pupil"),($D52*$T$177),IF(($C52="Fixed Per Year"),$D52)))*((1+$F52)^4)</f>
        <v>0</v>
      </c>
      <c r="U52" s="85"/>
    </row>
    <row r="53" spans="1:21" ht="16.5" customHeight="1">
      <c r="A53" s="90" t="s">
        <v>145</v>
      </c>
      <c r="B53" s="544"/>
      <c r="C53" s="179"/>
      <c r="D53" s="390"/>
      <c r="E53" s="830" t="s">
        <v>488</v>
      </c>
      <c r="F53" s="796"/>
      <c r="G53" s="336"/>
      <c r="H53" s="397"/>
      <c r="I53" s="271"/>
      <c r="J53" s="728"/>
      <c r="K53" s="264"/>
      <c r="L53" s="690">
        <f>IF(($C53="Per Employee"),($L$175*$D53),IF(($C53="Per Pupil"),($D53*$L$177),IF(($C53="Fixed Per Year"),$D53,0)))</f>
        <v>0</v>
      </c>
      <c r="M53" s="264"/>
      <c r="N53" s="690">
        <f t="shared" si="0"/>
        <v>0</v>
      </c>
      <c r="O53" s="264"/>
      <c r="P53" s="690">
        <f t="shared" si="1"/>
        <v>0</v>
      </c>
      <c r="Q53" s="411"/>
      <c r="R53" s="690">
        <f t="shared" si="2"/>
        <v>0</v>
      </c>
      <c r="S53" s="495"/>
      <c r="T53" s="690">
        <f t="shared" si="3"/>
        <v>0</v>
      </c>
      <c r="U53" s="85"/>
    </row>
    <row r="54" spans="1:21" ht="16.5" customHeight="1">
      <c r="A54" s="59" t="s">
        <v>146</v>
      </c>
      <c r="B54" s="544"/>
      <c r="C54" s="179" t="s">
        <v>147</v>
      </c>
      <c r="D54" s="390">
        <v>100</v>
      </c>
      <c r="E54" s="830" t="s">
        <v>488</v>
      </c>
      <c r="F54" s="796"/>
      <c r="G54" s="336"/>
      <c r="H54" s="397" t="s">
        <v>148</v>
      </c>
      <c r="I54" s="271"/>
      <c r="J54" s="728"/>
      <c r="K54" s="264"/>
      <c r="L54" s="690">
        <f>IF(($C54="Per Employee"),($L$175*$D54),IF(($C54="Per Pupil"),($D54*$L$177),IF(($C54="Fixed Per Year"),$D54,0)))</f>
        <v>4750</v>
      </c>
      <c r="M54" s="264"/>
      <c r="N54" s="690">
        <f t="shared" si="0"/>
        <v>5650</v>
      </c>
      <c r="O54" s="264"/>
      <c r="P54" s="690">
        <f t="shared" si="1"/>
        <v>6350</v>
      </c>
      <c r="Q54" s="411"/>
      <c r="R54" s="690">
        <f t="shared" si="2"/>
        <v>6900</v>
      </c>
      <c r="S54" s="495"/>
      <c r="T54" s="690">
        <f t="shared" si="3"/>
        <v>7800</v>
      </c>
      <c r="U54" s="85"/>
    </row>
    <row r="55" spans="1:21" ht="16.5" customHeight="1">
      <c r="A55" s="59" t="s">
        <v>149</v>
      </c>
      <c r="B55" s="544"/>
      <c r="C55" s="179" t="s">
        <v>127</v>
      </c>
      <c r="D55" s="390"/>
      <c r="E55" s="830" t="s">
        <v>488</v>
      </c>
      <c r="F55" s="796"/>
      <c r="G55" s="336"/>
      <c r="H55" s="397" t="s">
        <v>150</v>
      </c>
      <c r="I55" s="271"/>
      <c r="J55" s="728"/>
      <c r="K55" s="264"/>
      <c r="L55" s="690">
        <v>12800</v>
      </c>
      <c r="M55" s="264"/>
      <c r="N55" s="690">
        <f t="shared" si="0"/>
        <v>0</v>
      </c>
      <c r="O55" s="264"/>
      <c r="P55" s="690">
        <f t="shared" si="1"/>
        <v>0</v>
      </c>
      <c r="Q55" s="411"/>
      <c r="R55" s="690">
        <f t="shared" si="2"/>
        <v>0</v>
      </c>
      <c r="S55" s="495"/>
      <c r="T55" s="690">
        <f t="shared" si="3"/>
        <v>0</v>
      </c>
      <c r="U55" s="85"/>
    </row>
    <row r="56" spans="1:21" ht="16.5" customHeight="1">
      <c r="A56" s="59" t="s">
        <v>151</v>
      </c>
      <c r="B56" s="544"/>
      <c r="C56" s="179" t="s">
        <v>127</v>
      </c>
      <c r="D56" s="390"/>
      <c r="E56" s="830" t="s">
        <v>488</v>
      </c>
      <c r="F56" s="796"/>
      <c r="G56" s="336"/>
      <c r="H56" s="397" t="s">
        <v>152</v>
      </c>
      <c r="I56" s="271"/>
      <c r="J56" s="728">
        <v>10000</v>
      </c>
      <c r="K56" s="264"/>
      <c r="L56" s="690">
        <f>IF(($C56="Per Employee"),($L$175*$D56),IF(($C56="Per Pupil"),($D56*$L$177),IF(($C56="Fixed Per Year"),$D56,0)))</f>
        <v>0</v>
      </c>
      <c r="M56" s="264"/>
      <c r="N56" s="690">
        <f t="shared" si="0"/>
        <v>0</v>
      </c>
      <c r="O56" s="264"/>
      <c r="P56" s="690">
        <f t="shared" si="1"/>
        <v>0</v>
      </c>
      <c r="Q56" s="411"/>
      <c r="R56" s="690">
        <f t="shared" si="2"/>
        <v>0</v>
      </c>
      <c r="S56" s="495"/>
      <c r="T56" s="690">
        <f t="shared" si="3"/>
        <v>0</v>
      </c>
      <c r="U56" s="85"/>
    </row>
    <row r="57" spans="1:21" ht="16.5" customHeight="1">
      <c r="A57" s="59" t="s">
        <v>153</v>
      </c>
      <c r="B57" s="544"/>
      <c r="C57" s="179" t="s">
        <v>127</v>
      </c>
      <c r="D57" s="390"/>
      <c r="E57" s="830" t="s">
        <v>488</v>
      </c>
      <c r="F57" s="796"/>
      <c r="G57" s="336"/>
      <c r="H57" s="397" t="s">
        <v>154</v>
      </c>
      <c r="I57" s="271"/>
      <c r="J57" s="728"/>
      <c r="K57" s="264"/>
      <c r="L57" s="690">
        <v>20000</v>
      </c>
      <c r="M57" s="264"/>
      <c r="N57" s="690">
        <f t="shared" si="0"/>
        <v>0</v>
      </c>
      <c r="O57" s="264"/>
      <c r="P57" s="690">
        <f t="shared" si="1"/>
        <v>0</v>
      </c>
      <c r="Q57" s="411"/>
      <c r="R57" s="690">
        <f t="shared" si="2"/>
        <v>0</v>
      </c>
      <c r="S57" s="495"/>
      <c r="T57" s="690">
        <f t="shared" si="3"/>
        <v>0</v>
      </c>
      <c r="U57" s="85"/>
    </row>
    <row r="58" spans="1:21" ht="16.5" customHeight="1">
      <c r="A58" s="860" t="s">
        <v>36</v>
      </c>
      <c r="B58" s="544"/>
      <c r="C58" s="179" t="s">
        <v>127</v>
      </c>
      <c r="D58" s="390"/>
      <c r="E58" s="830" t="s">
        <v>488</v>
      </c>
      <c r="F58" s="796"/>
      <c r="G58" s="336"/>
      <c r="H58" s="397"/>
      <c r="I58" s="271"/>
      <c r="J58" s="728"/>
      <c r="K58" s="264"/>
      <c r="L58" s="690">
        <v>200000</v>
      </c>
      <c r="M58" s="264"/>
      <c r="N58" s="690">
        <v>250000</v>
      </c>
      <c r="O58" s="264"/>
      <c r="P58" s="690">
        <v>280000</v>
      </c>
      <c r="Q58" s="411"/>
      <c r="R58" s="690">
        <v>280000</v>
      </c>
      <c r="S58" s="495"/>
      <c r="T58" s="690">
        <v>310000</v>
      </c>
      <c r="U58" s="85"/>
    </row>
    <row r="59" spans="1:21" ht="16.5" customHeight="1">
      <c r="A59" s="59"/>
      <c r="B59" s="544"/>
      <c r="C59" s="179"/>
      <c r="D59" s="390"/>
      <c r="E59" s="830" t="s">
        <v>488</v>
      </c>
      <c r="F59" s="796"/>
      <c r="G59" s="336"/>
      <c r="H59" s="397"/>
      <c r="I59" s="271"/>
      <c r="J59" s="728"/>
      <c r="K59" s="264"/>
      <c r="L59" s="690">
        <f>IF(($C59="Per Employee"),($L$175*$D59),IF(($C59="Per Pupil"),($D59*$L$177),IF(($C59="Fixed Per Year"),$D59,0)))</f>
        <v>0</v>
      </c>
      <c r="M59" s="264"/>
      <c r="N59" s="690">
        <f t="shared" si="0"/>
        <v>0</v>
      </c>
      <c r="O59" s="264"/>
      <c r="P59" s="690">
        <f t="shared" si="1"/>
        <v>0</v>
      </c>
      <c r="Q59" s="411"/>
      <c r="R59" s="690">
        <f t="shared" si="2"/>
        <v>0</v>
      </c>
      <c r="S59" s="495"/>
      <c r="T59" s="690">
        <f t="shared" si="3"/>
        <v>0</v>
      </c>
      <c r="U59" s="85"/>
    </row>
    <row r="60" spans="1:21" ht="16.5" customHeight="1">
      <c r="A60" s="59"/>
      <c r="B60" s="544"/>
      <c r="C60" s="179"/>
      <c r="D60" s="390"/>
      <c r="E60" s="830" t="s">
        <v>488</v>
      </c>
      <c r="F60" s="796"/>
      <c r="G60" s="336"/>
      <c r="H60" s="397"/>
      <c r="I60" s="271"/>
      <c r="J60" s="728"/>
      <c r="K60" s="264"/>
      <c r="L60" s="690">
        <f>IF(($C60="Per Employee"),($L$175*$D60),IF(($C60="Per Pupil"),($D60*$L$177),IF(($C60="Fixed Per Year"),$D60,0)))</f>
        <v>0</v>
      </c>
      <c r="M60" s="264"/>
      <c r="N60" s="690">
        <f t="shared" si="0"/>
        <v>0</v>
      </c>
      <c r="O60" s="264"/>
      <c r="P60" s="690">
        <f t="shared" si="1"/>
        <v>0</v>
      </c>
      <c r="Q60" s="411"/>
      <c r="R60" s="690">
        <f t="shared" si="2"/>
        <v>0</v>
      </c>
      <c r="S60" s="495"/>
      <c r="T60" s="690">
        <f t="shared" si="3"/>
        <v>0</v>
      </c>
      <c r="U60" s="85"/>
    </row>
    <row r="61" spans="1:21" ht="16.5" customHeight="1">
      <c r="A61" s="59"/>
      <c r="B61" s="544"/>
      <c r="C61" s="179"/>
      <c r="D61" s="390"/>
      <c r="E61" s="830" t="s">
        <v>488</v>
      </c>
      <c r="F61" s="796"/>
      <c r="G61" s="336"/>
      <c r="H61" s="397"/>
      <c r="I61" s="271"/>
      <c r="J61" s="728"/>
      <c r="K61" s="264"/>
      <c r="L61" s="690">
        <f>IF(($C61="Per Employee"),($L$175*$D61),IF(($C61="Per Pupil"),($D61*$L$177),IF(($C61="Fixed Per Year"),$D61,0)))</f>
        <v>0</v>
      </c>
      <c r="M61" s="264"/>
      <c r="N61" s="690">
        <f t="shared" si="0"/>
        <v>0</v>
      </c>
      <c r="O61" s="264"/>
      <c r="P61" s="690">
        <f t="shared" si="1"/>
        <v>0</v>
      </c>
      <c r="Q61" s="411"/>
      <c r="R61" s="690">
        <f t="shared" si="2"/>
        <v>0</v>
      </c>
      <c r="S61" s="495"/>
      <c r="T61" s="690">
        <f t="shared" si="3"/>
        <v>0</v>
      </c>
      <c r="U61" s="85"/>
    </row>
    <row r="62" spans="1:21" ht="16.5" customHeight="1">
      <c r="A62" s="59"/>
      <c r="B62" s="544"/>
      <c r="C62" s="179"/>
      <c r="D62" s="390"/>
      <c r="E62" s="830" t="s">
        <v>488</v>
      </c>
      <c r="F62" s="796"/>
      <c r="G62" s="336"/>
      <c r="H62" s="397"/>
      <c r="I62" s="271"/>
      <c r="J62" s="728"/>
      <c r="K62" s="264"/>
      <c r="L62" s="690">
        <f>IF(($C62="Per Employee"),($L$175*$D62),IF(($C62="Per Pupil"),($D62*$L$177),IF(($C62="Fixed Per Year"),$D62,0)))</f>
        <v>0</v>
      </c>
      <c r="M62" s="264"/>
      <c r="N62" s="690">
        <f t="shared" si="0"/>
        <v>0</v>
      </c>
      <c r="O62" s="264"/>
      <c r="P62" s="690">
        <f t="shared" si="1"/>
        <v>0</v>
      </c>
      <c r="Q62" s="411"/>
      <c r="R62" s="690">
        <f t="shared" si="2"/>
        <v>0</v>
      </c>
      <c r="S62" s="495"/>
      <c r="T62" s="690">
        <f t="shared" si="3"/>
        <v>0</v>
      </c>
      <c r="U62" s="85"/>
    </row>
    <row r="63" spans="1:21" ht="16.5" customHeight="1">
      <c r="A63" s="526"/>
      <c r="B63" s="466"/>
      <c r="C63" s="432"/>
      <c r="D63" s="432"/>
      <c r="E63" s="432"/>
      <c r="F63" s="432"/>
      <c r="G63" s="466"/>
      <c r="H63" s="538"/>
      <c r="I63" s="466"/>
      <c r="J63" s="321"/>
      <c r="K63" s="65"/>
      <c r="L63" s="321"/>
      <c r="M63" s="65"/>
      <c r="N63" s="321"/>
      <c r="O63" s="65"/>
      <c r="P63" s="321"/>
      <c r="Q63" s="732"/>
      <c r="R63" s="423"/>
      <c r="S63" s="402"/>
      <c r="T63" s="423"/>
    </row>
    <row r="64" spans="1:21" ht="16.5" customHeight="1">
      <c r="A64" s="151"/>
      <c r="B64" s="509"/>
      <c r="C64" s="512"/>
      <c r="D64" s="512"/>
      <c r="E64" s="512"/>
      <c r="F64" s="512"/>
      <c r="G64" s="352"/>
      <c r="H64" s="564" t="s">
        <v>155</v>
      </c>
      <c r="I64" s="300"/>
      <c r="J64" s="610">
        <f>SUM(J40:J62)</f>
        <v>99000</v>
      </c>
      <c r="K64" s="300"/>
      <c r="L64" s="610">
        <f>SUM(L40:L62)</f>
        <v>474450</v>
      </c>
      <c r="M64" s="300"/>
      <c r="N64" s="610">
        <f>SUM(N40:N62)</f>
        <v>437300</v>
      </c>
      <c r="O64" s="300"/>
      <c r="P64" s="610">
        <f>SUM(P40:P62)</f>
        <v>444400</v>
      </c>
      <c r="Q64" s="302"/>
      <c r="R64" s="610">
        <f>SUM(R40:R62)</f>
        <v>456850</v>
      </c>
      <c r="S64" s="154"/>
      <c r="T64" s="610">
        <f>SUM(T40:T62)</f>
        <v>499650</v>
      </c>
      <c r="U64" s="676"/>
    </row>
    <row r="65" spans="1:21" ht="15.75" customHeight="1">
      <c r="A65" s="223"/>
      <c r="B65" s="65"/>
      <c r="C65" s="480"/>
      <c r="D65" s="480"/>
      <c r="E65" s="480"/>
      <c r="F65" s="480"/>
      <c r="G65" s="65"/>
      <c r="H65" s="102"/>
      <c r="I65" s="65"/>
      <c r="J65" s="834"/>
      <c r="K65" s="65"/>
      <c r="L65" s="834"/>
      <c r="M65" s="65"/>
      <c r="N65" s="834"/>
      <c r="O65" s="65"/>
      <c r="P65" s="834"/>
      <c r="Q65" s="732"/>
      <c r="R65" s="334"/>
      <c r="S65" s="402"/>
      <c r="T65" s="334"/>
    </row>
    <row r="66" spans="1:21" ht="15.75" customHeight="1">
      <c r="A66" s="223"/>
      <c r="B66" s="65"/>
      <c r="C66" s="480"/>
      <c r="D66" s="480"/>
      <c r="E66" s="480"/>
      <c r="F66" s="480"/>
      <c r="G66" s="65"/>
      <c r="H66" s="549"/>
      <c r="I66" s="65"/>
      <c r="J66" s="197"/>
      <c r="K66" s="65"/>
      <c r="L66" s="197"/>
      <c r="M66" s="65"/>
      <c r="N66" s="197"/>
      <c r="O66" s="65"/>
      <c r="P66" s="197"/>
      <c r="Q66" s="732"/>
      <c r="R66" s="53"/>
      <c r="S66" s="402"/>
      <c r="T66" s="53"/>
    </row>
    <row r="67" spans="1:21" ht="16.5" customHeight="1">
      <c r="A67" s="673"/>
      <c r="B67" s="65"/>
      <c r="C67" s="480"/>
      <c r="D67" s="480"/>
      <c r="E67" s="480"/>
      <c r="F67" s="480"/>
      <c r="G67" s="65"/>
      <c r="H67" s="549"/>
      <c r="I67" s="65"/>
      <c r="J67" s="197"/>
      <c r="K67" s="65"/>
      <c r="L67" s="197"/>
      <c r="M67" s="65"/>
      <c r="N67" s="197"/>
      <c r="O67" s="65"/>
      <c r="P67" s="197"/>
      <c r="Q67" s="732"/>
      <c r="R67" s="53"/>
      <c r="S67" s="402"/>
      <c r="T67" s="53"/>
    </row>
    <row r="68" spans="1:21" ht="18.75" customHeight="1">
      <c r="A68" s="634" t="s">
        <v>156</v>
      </c>
      <c r="B68" s="476"/>
      <c r="C68" s="161"/>
      <c r="D68" s="161"/>
      <c r="E68" s="161"/>
      <c r="F68" s="161"/>
      <c r="G68" s="509"/>
      <c r="H68" s="222"/>
      <c r="I68" s="509"/>
      <c r="J68" s="431"/>
      <c r="K68" s="65"/>
      <c r="L68" s="431"/>
      <c r="M68" s="65"/>
      <c r="N68" s="431"/>
      <c r="O68" s="408"/>
      <c r="P68" s="431"/>
      <c r="Q68" s="732"/>
      <c r="R68" s="189"/>
      <c r="S68" s="402"/>
      <c r="T68" s="189"/>
    </row>
    <row r="69" spans="1:21" ht="16.5" customHeight="1">
      <c r="A69" s="668" t="s">
        <v>157</v>
      </c>
      <c r="B69" s="219"/>
      <c r="C69" s="99" t="s">
        <v>488</v>
      </c>
      <c r="D69" s="830" t="s">
        <v>488</v>
      </c>
      <c r="E69" s="830" t="s">
        <v>488</v>
      </c>
      <c r="F69" s="830" t="s">
        <v>488</v>
      </c>
      <c r="G69" s="472"/>
      <c r="H69" s="397"/>
      <c r="I69" s="264"/>
      <c r="J69" s="406">
        <f>Personnel!E189</f>
        <v>50160</v>
      </c>
      <c r="K69" s="264"/>
      <c r="L69" s="406">
        <f>Personnel!G189</f>
        <v>1905900</v>
      </c>
      <c r="M69" s="515"/>
      <c r="N69" s="406">
        <f>Personnel!I189</f>
        <v>2250500</v>
      </c>
      <c r="O69" s="515"/>
      <c r="P69" s="406">
        <f>Personnel!K189</f>
        <v>2612700</v>
      </c>
      <c r="Q69" s="411"/>
      <c r="R69" s="406">
        <f>Personnel!M189</f>
        <v>2859150</v>
      </c>
      <c r="S69" s="495"/>
      <c r="T69" s="406">
        <f>Personnel!O189</f>
        <v>3257000</v>
      </c>
      <c r="U69" s="85"/>
    </row>
    <row r="70" spans="1:21" ht="16.5" customHeight="1">
      <c r="A70" s="772" t="s">
        <v>366</v>
      </c>
      <c r="B70" s="702"/>
      <c r="C70" s="99" t="s">
        <v>488</v>
      </c>
      <c r="D70" s="830" t="s">
        <v>488</v>
      </c>
      <c r="E70" s="830" t="s">
        <v>488</v>
      </c>
      <c r="F70" s="830" t="s">
        <v>488</v>
      </c>
      <c r="G70" s="472"/>
      <c r="H70" s="397"/>
      <c r="I70" s="264"/>
      <c r="J70" s="406">
        <v>0</v>
      </c>
      <c r="K70" s="264"/>
      <c r="L70" s="406">
        <f>Personnel!G197</f>
        <v>129108</v>
      </c>
      <c r="M70" s="515"/>
      <c r="N70" s="406">
        <f>Personnel!I197</f>
        <v>155820</v>
      </c>
      <c r="O70" s="515"/>
      <c r="P70" s="406">
        <f>Personnel!K197</f>
        <v>173204</v>
      </c>
      <c r="Q70" s="411"/>
      <c r="R70" s="406">
        <f>Personnel!M197</f>
        <v>186878</v>
      </c>
      <c r="S70" s="495"/>
      <c r="T70" s="406">
        <f>Personnel!O197</f>
        <v>209880</v>
      </c>
      <c r="U70" s="85"/>
    </row>
    <row r="71" spans="1:21" ht="16.5" customHeight="1">
      <c r="A71" s="227" t="s">
        <v>40</v>
      </c>
      <c r="B71" s="219"/>
      <c r="C71" s="99" t="s">
        <v>488</v>
      </c>
      <c r="D71" s="830" t="s">
        <v>488</v>
      </c>
      <c r="E71" s="830" t="s">
        <v>488</v>
      </c>
      <c r="F71" s="830" t="s">
        <v>488</v>
      </c>
      <c r="G71" s="472"/>
      <c r="H71" s="397"/>
      <c r="I71" s="264"/>
      <c r="J71" s="406">
        <v>0</v>
      </c>
      <c r="K71" s="264"/>
      <c r="L71" s="406">
        <f>Personnel!G195</f>
        <v>28380</v>
      </c>
      <c r="M71" s="515"/>
      <c r="N71" s="406">
        <f>Personnel!I195</f>
        <v>33420</v>
      </c>
      <c r="O71" s="515"/>
      <c r="P71" s="406">
        <f>Personnel!K195</f>
        <v>37900</v>
      </c>
      <c r="Q71" s="411"/>
      <c r="R71" s="406">
        <f>Personnel!M195</f>
        <v>40900</v>
      </c>
      <c r="S71" s="495"/>
      <c r="T71" s="406">
        <f>Personnel!O195</f>
        <v>46440</v>
      </c>
      <c r="U71" s="85"/>
    </row>
    <row r="72" spans="1:21" ht="16.5" customHeight="1">
      <c r="A72" s="227" t="s">
        <v>41</v>
      </c>
      <c r="B72" s="219"/>
      <c r="C72" s="99" t="s">
        <v>488</v>
      </c>
      <c r="D72" s="830" t="s">
        <v>488</v>
      </c>
      <c r="E72" s="830" t="s">
        <v>488</v>
      </c>
      <c r="F72" s="830" t="s">
        <v>488</v>
      </c>
      <c r="G72" s="472"/>
      <c r="H72" s="397"/>
      <c r="I72" s="264"/>
      <c r="J72" s="690">
        <f>Personnel!E203</f>
        <v>3511.2000000000003</v>
      </c>
      <c r="K72" s="264"/>
      <c r="L72" s="378">
        <f>Personnel!G203</f>
        <v>29820.000000000004</v>
      </c>
      <c r="M72" s="515"/>
      <c r="N72" s="378">
        <f>Personnel!I203</f>
        <v>35420</v>
      </c>
      <c r="O72" s="515"/>
      <c r="P72" s="378">
        <f>Personnel!K203</f>
        <v>44520.000000000007</v>
      </c>
      <c r="Q72" s="411"/>
      <c r="R72" s="378">
        <f>Personnel!M203</f>
        <v>50820.000000000007</v>
      </c>
      <c r="S72" s="495"/>
      <c r="T72" s="378">
        <f>Personnel!O203</f>
        <v>58520.000000000007</v>
      </c>
      <c r="U72" s="85"/>
    </row>
    <row r="73" spans="1:21" ht="16.5" customHeight="1">
      <c r="A73" s="227" t="s">
        <v>42</v>
      </c>
      <c r="B73" s="219"/>
      <c r="C73" s="99" t="s">
        <v>488</v>
      </c>
      <c r="D73" s="830" t="s">
        <v>488</v>
      </c>
      <c r="E73" s="830" t="s">
        <v>488</v>
      </c>
      <c r="F73" s="830" t="s">
        <v>488</v>
      </c>
      <c r="G73" s="472"/>
      <c r="H73" s="397"/>
      <c r="I73" s="264"/>
      <c r="J73" s="406">
        <f>Personnel!E199</f>
        <v>3109.92</v>
      </c>
      <c r="K73" s="264"/>
      <c r="L73" s="406">
        <f>Personnel!G199</f>
        <v>26412</v>
      </c>
      <c r="M73" s="515"/>
      <c r="N73" s="406">
        <f>Personnel!I199</f>
        <v>31372</v>
      </c>
      <c r="O73" s="515"/>
      <c r="P73" s="406">
        <f>Personnel!K199</f>
        <v>39432</v>
      </c>
      <c r="Q73" s="411"/>
      <c r="R73" s="406">
        <f>Personnel!M199</f>
        <v>45012</v>
      </c>
      <c r="S73" s="495"/>
      <c r="T73" s="406">
        <f>Personnel!O199</f>
        <v>51832</v>
      </c>
      <c r="U73" s="85"/>
    </row>
    <row r="74" spans="1:21" ht="16.5" customHeight="1">
      <c r="A74" s="90" t="s">
        <v>43</v>
      </c>
      <c r="B74" s="702"/>
      <c r="C74" s="99" t="s">
        <v>488</v>
      </c>
      <c r="D74" s="830" t="s">
        <v>488</v>
      </c>
      <c r="E74" s="830" t="s">
        <v>488</v>
      </c>
      <c r="F74" s="830" t="s">
        <v>488</v>
      </c>
      <c r="G74" s="472"/>
      <c r="H74" s="397"/>
      <c r="I74" s="264"/>
      <c r="J74" s="406">
        <f>Personnel!E201</f>
        <v>727.32</v>
      </c>
      <c r="K74" s="264"/>
      <c r="L74" s="406">
        <f>Personnel!G201</f>
        <v>27635.550000000003</v>
      </c>
      <c r="M74" s="515"/>
      <c r="N74" s="406">
        <f>Personnel!I201</f>
        <v>32632.25</v>
      </c>
      <c r="O74" s="515"/>
      <c r="P74" s="406">
        <f>Personnel!K201</f>
        <v>37884.15</v>
      </c>
      <c r="Q74" s="411"/>
      <c r="R74" s="406">
        <f>Personnel!M201</f>
        <v>41457.675000000003</v>
      </c>
      <c r="S74" s="495"/>
      <c r="T74" s="406">
        <f>Personnel!O201</f>
        <v>47226.5</v>
      </c>
      <c r="U74" s="85"/>
    </row>
    <row r="75" spans="1:21" ht="16.5" customHeight="1">
      <c r="A75" s="227" t="s">
        <v>44</v>
      </c>
      <c r="B75" s="219"/>
      <c r="C75" s="654" t="s">
        <v>5</v>
      </c>
      <c r="D75" s="616"/>
      <c r="E75" s="796">
        <v>0.15</v>
      </c>
      <c r="F75" s="254">
        <v>0.03</v>
      </c>
      <c r="G75" s="472"/>
      <c r="H75" s="858" t="s">
        <v>34</v>
      </c>
      <c r="I75" s="264"/>
      <c r="J75" s="690"/>
      <c r="K75" s="264"/>
      <c r="L75" s="690">
        <f t="shared" ref="L75:L81" si="4">IF(($C75="Per Employee"),($L$175*$D75),IF(($C75="% of Salaries"),($E75*$L$176),IF(($C75="Fixed Per Year"),$D75,0)))</f>
        <v>285885</v>
      </c>
      <c r="M75" s="515"/>
      <c r="N75" s="690">
        <f>IF(($C75="Per Employee"),($N$175*$D75),IF(($C75="% of Salaries"),($E75*$N$176),IF(($C75="Fixed Per Year"),$D75)))*((1+$F75)^1)</f>
        <v>347702.25</v>
      </c>
      <c r="O75" s="515"/>
      <c r="P75" s="690">
        <f t="shared" ref="P75:P81" si="5">IF(($C75="Per Employee"),($P$175*$D75),IF(($C75="% of Salaries"),($E75*$P$176),IF(($C75="Fixed Per Year"),$D75)))*((1+$F75)^2)</f>
        <v>415772.01449999999</v>
      </c>
      <c r="Q75" s="411"/>
      <c r="R75" s="690">
        <f t="shared" ref="R75:R81" si="6">IF(($C75="Per Employee"),($R$175*$D75),IF(($C75="% of Salaries"),($E75*$R$176),IF(($C75="Fixed Per Year"),$D75)))*((1+$F75)^3)</f>
        <v>468640.56030750001</v>
      </c>
      <c r="S75" s="495"/>
      <c r="T75" s="690">
        <f t="shared" ref="T75:T81" si="7">IF(($C75="Per Employee"),($T$175*$D75),IF(($C75="% of Salaries"),($E75*$T$176),IF(($C75="Fixed Per Year"),$D75)))*((1+$F75)^4)</f>
        <v>549867.32912549993</v>
      </c>
      <c r="U75" s="85"/>
    </row>
    <row r="76" spans="1:21" ht="16.5" customHeight="1">
      <c r="A76" s="227" t="s">
        <v>45</v>
      </c>
      <c r="B76" s="219"/>
      <c r="C76" s="654"/>
      <c r="D76" s="616"/>
      <c r="E76" s="796"/>
      <c r="F76" s="254"/>
      <c r="G76" s="472"/>
      <c r="H76" s="397"/>
      <c r="I76" s="264"/>
      <c r="J76" s="690"/>
      <c r="K76" s="264"/>
      <c r="L76" s="690">
        <f t="shared" si="4"/>
        <v>0</v>
      </c>
      <c r="M76" s="264"/>
      <c r="N76" s="690">
        <f t="shared" ref="N76:N81" si="8">IF(($C76="Per Employee"),($N$175*$D76),IF(($C76="% of Salaries"),($E76*$N$176),IF(($C76="Fixed Per Year"),$D76)))*((1+$F76)^1)</f>
        <v>0</v>
      </c>
      <c r="O76" s="515"/>
      <c r="P76" s="690">
        <f t="shared" si="5"/>
        <v>0</v>
      </c>
      <c r="Q76" s="411"/>
      <c r="R76" s="690">
        <f t="shared" si="6"/>
        <v>0</v>
      </c>
      <c r="S76" s="495"/>
      <c r="T76" s="690">
        <f t="shared" si="7"/>
        <v>0</v>
      </c>
      <c r="U76" s="85"/>
    </row>
    <row r="77" spans="1:21" ht="16.5" customHeight="1">
      <c r="A77" s="227" t="s">
        <v>46</v>
      </c>
      <c r="B77" s="219"/>
      <c r="C77" s="654" t="s">
        <v>5</v>
      </c>
      <c r="D77" s="616"/>
      <c r="E77" s="796">
        <v>0.08</v>
      </c>
      <c r="F77" s="254">
        <v>0.03</v>
      </c>
      <c r="G77" s="472"/>
      <c r="H77" s="397"/>
      <c r="I77" s="264"/>
      <c r="J77" s="690"/>
      <c r="K77" s="264"/>
      <c r="L77" s="690">
        <f t="shared" si="4"/>
        <v>152472</v>
      </c>
      <c r="M77" s="264"/>
      <c r="N77" s="690">
        <f t="shared" si="8"/>
        <v>185441.2</v>
      </c>
      <c r="O77" s="264"/>
      <c r="P77" s="690">
        <f t="shared" si="5"/>
        <v>221745.07439999998</v>
      </c>
      <c r="Q77" s="411"/>
      <c r="R77" s="690">
        <f t="shared" si="6"/>
        <v>249941.63216400001</v>
      </c>
      <c r="S77" s="495"/>
      <c r="T77" s="690">
        <f t="shared" si="7"/>
        <v>293262.5755336</v>
      </c>
      <c r="U77" s="85"/>
    </row>
    <row r="78" spans="1:21" ht="16.5" customHeight="1">
      <c r="A78" s="859" t="s">
        <v>35</v>
      </c>
      <c r="B78" s="219"/>
      <c r="C78" s="654" t="s">
        <v>5</v>
      </c>
      <c r="D78" s="616"/>
      <c r="E78" s="796">
        <v>0.02</v>
      </c>
      <c r="F78" s="254">
        <v>0.03</v>
      </c>
      <c r="G78" s="472"/>
      <c r="H78" s="397"/>
      <c r="I78" s="264"/>
      <c r="J78" s="690"/>
      <c r="K78" s="264"/>
      <c r="L78" s="690">
        <f t="shared" si="4"/>
        <v>38118</v>
      </c>
      <c r="M78" s="264"/>
      <c r="N78" s="690">
        <f t="shared" si="8"/>
        <v>46360.3</v>
      </c>
      <c r="O78" s="264"/>
      <c r="P78" s="690">
        <f t="shared" si="5"/>
        <v>55436.268599999996</v>
      </c>
      <c r="Q78" s="411"/>
      <c r="R78" s="690">
        <f t="shared" si="6"/>
        <v>62485.408041000002</v>
      </c>
      <c r="S78" s="495"/>
      <c r="T78" s="690">
        <f t="shared" si="7"/>
        <v>73315.6438834</v>
      </c>
      <c r="U78" s="85"/>
    </row>
    <row r="79" spans="1:21" ht="16.5" customHeight="1">
      <c r="A79" s="137"/>
      <c r="B79" s="219"/>
      <c r="C79" s="654"/>
      <c r="D79" s="616"/>
      <c r="E79" s="796"/>
      <c r="F79" s="254"/>
      <c r="G79" s="472"/>
      <c r="H79" s="397"/>
      <c r="I79" s="264"/>
      <c r="J79" s="690"/>
      <c r="K79" s="264"/>
      <c r="L79" s="690">
        <f t="shared" si="4"/>
        <v>0</v>
      </c>
      <c r="M79" s="264"/>
      <c r="N79" s="690">
        <f t="shared" si="8"/>
        <v>0</v>
      </c>
      <c r="O79" s="264"/>
      <c r="P79" s="690">
        <f t="shared" si="5"/>
        <v>0</v>
      </c>
      <c r="Q79" s="411"/>
      <c r="R79" s="690">
        <f t="shared" si="6"/>
        <v>0</v>
      </c>
      <c r="S79" s="495"/>
      <c r="T79" s="690">
        <f t="shared" si="7"/>
        <v>0</v>
      </c>
      <c r="U79" s="85"/>
    </row>
    <row r="80" spans="1:21" ht="16.5" customHeight="1">
      <c r="A80" s="137"/>
      <c r="B80" s="219"/>
      <c r="C80" s="654"/>
      <c r="D80" s="616"/>
      <c r="E80" s="796"/>
      <c r="F80" s="254"/>
      <c r="G80" s="472"/>
      <c r="H80" s="397"/>
      <c r="I80" s="264"/>
      <c r="J80" s="690"/>
      <c r="K80" s="264"/>
      <c r="L80" s="690">
        <f t="shared" si="4"/>
        <v>0</v>
      </c>
      <c r="M80" s="264"/>
      <c r="N80" s="690">
        <f t="shared" si="8"/>
        <v>0</v>
      </c>
      <c r="O80" s="264"/>
      <c r="P80" s="690">
        <f t="shared" si="5"/>
        <v>0</v>
      </c>
      <c r="Q80" s="411"/>
      <c r="R80" s="690">
        <f t="shared" si="6"/>
        <v>0</v>
      </c>
      <c r="S80" s="495"/>
      <c r="T80" s="690">
        <f t="shared" si="7"/>
        <v>0</v>
      </c>
      <c r="U80" s="85"/>
    </row>
    <row r="81" spans="1:21" ht="16.5" customHeight="1">
      <c r="A81" s="59"/>
      <c r="B81" s="762"/>
      <c r="C81" s="654"/>
      <c r="D81" s="616"/>
      <c r="E81" s="796"/>
      <c r="F81" s="254"/>
      <c r="G81" s="461"/>
      <c r="H81" s="397"/>
      <c r="I81" s="809"/>
      <c r="J81" s="690"/>
      <c r="K81" s="809"/>
      <c r="L81" s="690">
        <f t="shared" si="4"/>
        <v>0</v>
      </c>
      <c r="M81" s="809"/>
      <c r="N81" s="690">
        <f t="shared" si="8"/>
        <v>0</v>
      </c>
      <c r="O81" s="809"/>
      <c r="P81" s="690">
        <f t="shared" si="5"/>
        <v>0</v>
      </c>
      <c r="Q81" s="96"/>
      <c r="R81" s="690">
        <f t="shared" si="6"/>
        <v>0</v>
      </c>
      <c r="S81" s="96"/>
      <c r="T81" s="690">
        <f t="shared" si="7"/>
        <v>0</v>
      </c>
      <c r="U81" s="85"/>
    </row>
    <row r="82" spans="1:21" ht="16.5" customHeight="1">
      <c r="A82" s="75" t="s">
        <v>47</v>
      </c>
      <c r="B82" s="219"/>
      <c r="C82" s="99" t="s">
        <v>488</v>
      </c>
      <c r="D82" s="830" t="s">
        <v>488</v>
      </c>
      <c r="E82" s="830" t="s">
        <v>488</v>
      </c>
      <c r="F82" s="830" t="s">
        <v>488</v>
      </c>
      <c r="G82" s="472"/>
      <c r="H82" s="397"/>
      <c r="I82" s="264"/>
      <c r="J82" s="406">
        <v>0</v>
      </c>
      <c r="K82" s="264"/>
      <c r="L82" s="406">
        <v>0</v>
      </c>
      <c r="M82" s="264"/>
      <c r="N82" s="406">
        <v>0</v>
      </c>
      <c r="O82" s="264"/>
      <c r="P82" s="406">
        <v>0</v>
      </c>
      <c r="Q82" s="411"/>
      <c r="R82" s="406">
        <v>0</v>
      </c>
      <c r="S82" s="495"/>
      <c r="T82" s="406">
        <v>0</v>
      </c>
      <c r="U82" s="85"/>
    </row>
    <row r="83" spans="1:21" ht="16.5" customHeight="1">
      <c r="A83" s="255" t="s">
        <v>48</v>
      </c>
      <c r="B83" s="702"/>
      <c r="C83" s="654" t="s">
        <v>49</v>
      </c>
      <c r="D83" s="616">
        <v>4000</v>
      </c>
      <c r="E83" s="796"/>
      <c r="F83" s="254"/>
      <c r="G83" s="472"/>
      <c r="H83" s="397" t="s">
        <v>50</v>
      </c>
      <c r="I83" s="264"/>
      <c r="J83" s="690">
        <v>4452</v>
      </c>
      <c r="K83" s="264"/>
      <c r="L83" s="690">
        <f>IF(($C83="Per Employee"),($L$175*$D83),IF(($C83="% of Salaries"),($E83*$L$176),IF(($C83="Fixed Per Year"),$D83,0)))</f>
        <v>4000</v>
      </c>
      <c r="M83" s="264"/>
      <c r="N83" s="690">
        <f>IF(($C83="Per Employee"),($N$175*$D83),IF(($C83="% of Salaries"),($E83*$N$176),IF(($C83="Fixed Per Year"),$D83)))*((1+$F83)^1)</f>
        <v>4000</v>
      </c>
      <c r="O83" s="264"/>
      <c r="P83" s="690">
        <f>IF(($C83="Per Employee"),($P$175*$D83),IF(($C83="% of Salaries"),($E83*$P$176),IF(($C83="Fixed Per Year"),$D83)))*((1+$F83)^2)</f>
        <v>4000</v>
      </c>
      <c r="Q83" s="411"/>
      <c r="R83" s="690">
        <f>IF(($C83="Per Employee"),($R$175*$D83),IF(($C83="% of Salaries"),($E83*$R$176),IF(($C83="Fixed Per Year"),$D83)))*((1+$F83)^3)</f>
        <v>4000</v>
      </c>
      <c r="S83" s="495"/>
      <c r="T83" s="690">
        <f>IF(($C83="Per Employee"),($T$175*$D83),IF(($C83="% of Salaries"),($E83*$T$176),IF(($C83="Fixed Per Year"),$D83)))*((1+$F83)^4)</f>
        <v>4000</v>
      </c>
      <c r="U83" s="85"/>
    </row>
    <row r="84" spans="1:21" ht="16.5" customHeight="1">
      <c r="A84" s="90" t="s">
        <v>51</v>
      </c>
      <c r="B84" s="702"/>
      <c r="C84" s="654" t="s">
        <v>127</v>
      </c>
      <c r="D84" s="616">
        <v>1000</v>
      </c>
      <c r="E84" s="796"/>
      <c r="F84" s="254"/>
      <c r="G84" s="472"/>
      <c r="H84" s="397" t="s">
        <v>52</v>
      </c>
      <c r="I84" s="264"/>
      <c r="J84" s="690"/>
      <c r="K84" s="264"/>
      <c r="L84" s="690">
        <v>31000</v>
      </c>
      <c r="M84" s="264"/>
      <c r="N84" s="690">
        <v>37000</v>
      </c>
      <c r="O84" s="264"/>
      <c r="P84" s="690">
        <v>43000</v>
      </c>
      <c r="Q84" s="411"/>
      <c r="R84" s="690">
        <v>47000</v>
      </c>
      <c r="S84" s="495"/>
      <c r="T84" s="690">
        <v>50000</v>
      </c>
      <c r="U84" s="85"/>
    </row>
    <row r="85" spans="1:21" ht="16.5" customHeight="1">
      <c r="A85" s="90" t="s">
        <v>53</v>
      </c>
      <c r="B85" s="702"/>
      <c r="C85" s="654"/>
      <c r="D85" s="616"/>
      <c r="E85" s="796"/>
      <c r="F85" s="254"/>
      <c r="G85" s="472"/>
      <c r="H85" s="397"/>
      <c r="I85" s="264"/>
      <c r="J85" s="690"/>
      <c r="K85" s="264"/>
      <c r="L85" s="690">
        <f>IF(($C85="Per Employee"),($L$175*$D85),IF(($C85="% of Salaries"),($E85*$L$176),IF(($C85="Fixed Per Year"),$D85,0)))</f>
        <v>0</v>
      </c>
      <c r="M85" s="264"/>
      <c r="N85" s="690">
        <f>IF(($C85="Per Employee"),($N$175*$D85),IF(($C85="% of Salaries"),($E85*$N$176),IF(($C85="Fixed Per Year"),$D85)))*((1+$F85)^1)</f>
        <v>0</v>
      </c>
      <c r="O85" s="264"/>
      <c r="P85" s="690">
        <f>IF(($C85="Per Employee"),($P$175*$D85),IF(($C85="% of Salaries"),($E85*$P$176),IF(($C85="Fixed Per Year"),$D85)))*((1+$F85)^2)</f>
        <v>0</v>
      </c>
      <c r="Q85" s="411"/>
      <c r="R85" s="690">
        <f>IF(($C85="Per Employee"),($R$175*$D85),IF(($C85="% of Salaries"),($E85*$R$176),IF(($C85="Fixed Per Year"),$D85)))*((1+$F85)^3)</f>
        <v>0</v>
      </c>
      <c r="S85" s="495"/>
      <c r="T85" s="690">
        <f>IF(($C85="Per Employee"),($T$175*$D85),IF(($C85="% of Salaries"),($E85*$T$176),IF(($C85="Fixed Per Year"),$D85)))*((1+$F85)^4)</f>
        <v>0</v>
      </c>
      <c r="U85" s="85"/>
    </row>
    <row r="86" spans="1:21" ht="16.5" customHeight="1">
      <c r="A86" s="90" t="s">
        <v>54</v>
      </c>
      <c r="B86" s="702"/>
      <c r="C86" s="654" t="s">
        <v>127</v>
      </c>
      <c r="D86" s="616">
        <v>120</v>
      </c>
      <c r="E86" s="796"/>
      <c r="F86" s="254"/>
      <c r="G86" s="472"/>
      <c r="H86" s="397" t="s">
        <v>55</v>
      </c>
      <c r="I86" s="264"/>
      <c r="J86" s="690"/>
      <c r="K86" s="264"/>
      <c r="L86" s="690">
        <v>17820</v>
      </c>
      <c r="M86" s="264"/>
      <c r="N86" s="690">
        <v>19680</v>
      </c>
      <c r="O86" s="264"/>
      <c r="P86" s="690">
        <v>23520</v>
      </c>
      <c r="Q86" s="411"/>
      <c r="R86" s="690">
        <v>26880</v>
      </c>
      <c r="S86" s="495"/>
      <c r="T86" s="690">
        <v>28800</v>
      </c>
      <c r="U86" s="85"/>
    </row>
    <row r="87" spans="1:21" ht="16.5" customHeight="1">
      <c r="A87" s="59" t="s">
        <v>56</v>
      </c>
      <c r="B87" s="702"/>
      <c r="C87" s="654" t="s">
        <v>127</v>
      </c>
      <c r="D87" s="616">
        <v>250</v>
      </c>
      <c r="E87" s="796"/>
      <c r="F87" s="254"/>
      <c r="G87" s="472"/>
      <c r="H87" s="397" t="s">
        <v>57</v>
      </c>
      <c r="I87" s="264"/>
      <c r="J87" s="690"/>
      <c r="K87" s="264"/>
      <c r="L87" s="690">
        <f>D87*31</f>
        <v>7750</v>
      </c>
      <c r="M87" s="264"/>
      <c r="N87" s="690">
        <f>37*250</f>
        <v>9250</v>
      </c>
      <c r="O87" s="264"/>
      <c r="P87" s="690">
        <f>43*250</f>
        <v>10750</v>
      </c>
      <c r="Q87" s="411"/>
      <c r="R87" s="690">
        <f>47*250</f>
        <v>11750</v>
      </c>
      <c r="S87" s="495"/>
      <c r="T87" s="690">
        <f>50*250</f>
        <v>12500</v>
      </c>
      <c r="U87" s="85"/>
    </row>
    <row r="88" spans="1:21" ht="16.5" customHeight="1">
      <c r="A88" s="59" t="s">
        <v>58</v>
      </c>
      <c r="B88" s="702"/>
      <c r="C88" s="654" t="s">
        <v>127</v>
      </c>
      <c r="D88" s="616"/>
      <c r="E88" s="796"/>
      <c r="F88" s="254"/>
      <c r="G88" s="472"/>
      <c r="H88" s="397" t="s">
        <v>59</v>
      </c>
      <c r="I88" s="264"/>
      <c r="J88" s="690">
        <v>8000</v>
      </c>
      <c r="K88" s="264"/>
      <c r="L88" s="690">
        <v>5000</v>
      </c>
      <c r="M88" s="264"/>
      <c r="N88" s="690">
        <v>5000</v>
      </c>
      <c r="O88" s="264"/>
      <c r="P88" s="690">
        <v>5000</v>
      </c>
      <c r="Q88" s="411"/>
      <c r="R88" s="690">
        <v>5000</v>
      </c>
      <c r="S88" s="495"/>
      <c r="T88" s="690">
        <v>5000</v>
      </c>
      <c r="U88" s="85"/>
    </row>
    <row r="89" spans="1:21" ht="16.5" customHeight="1">
      <c r="A89" s="59"/>
      <c r="B89" s="702"/>
      <c r="C89" s="654"/>
      <c r="D89" s="616"/>
      <c r="E89" s="796"/>
      <c r="F89" s="254"/>
      <c r="G89" s="472"/>
      <c r="H89" s="397"/>
      <c r="I89" s="264"/>
      <c r="J89" s="690"/>
      <c r="K89" s="264"/>
      <c r="L89" s="690">
        <f>IF(($C89="Per Employee"),($L$175*$D89),IF(($C89="% of Salaries"),($E89*$L$176),IF(($C89="Fixed Per Year"),$D89,0)))</f>
        <v>0</v>
      </c>
      <c r="M89" s="264"/>
      <c r="N89" s="690">
        <f>IF(($C89="Per Employee"),($N$175*$D89),IF(($C89="% of Salaries"),($E89*$N$176),IF(($C89="Fixed Per Year"),$D89)))*((1+$F89)^1)</f>
        <v>0</v>
      </c>
      <c r="O89" s="264"/>
      <c r="P89" s="690">
        <f>IF(($C89="Per Employee"),($P$175*$D89),IF(($C89="% of Salaries"),($E89*$P$176),IF(($C89="Fixed Per Year"),$D89)))*((1+$F89)^2)</f>
        <v>0</v>
      </c>
      <c r="Q89" s="411"/>
      <c r="R89" s="690">
        <f>IF(($C89="Per Employee"),($R$175*$D89),IF(($C89="% of Salaries"),($E89*$R$176),IF(($C89="Fixed Per Year"),$D89)))*((1+$F89)^3)</f>
        <v>0</v>
      </c>
      <c r="S89" s="495"/>
      <c r="T89" s="690">
        <f>IF(($C89="Per Employee"),($T$175*$D89),IF(($C89="% of Salaries"),($E89*$T$176),IF(($C89="Fixed Per Year"),$D89)))*((1+$F89)^4)</f>
        <v>0</v>
      </c>
      <c r="U89" s="85"/>
    </row>
    <row r="90" spans="1:21" ht="16.5" customHeight="1">
      <c r="A90" s="59"/>
      <c r="B90" s="702"/>
      <c r="C90" s="654"/>
      <c r="D90" s="616"/>
      <c r="E90" s="796"/>
      <c r="F90" s="254"/>
      <c r="G90" s="472"/>
      <c r="H90" s="397"/>
      <c r="I90" s="264"/>
      <c r="J90" s="690"/>
      <c r="K90" s="264"/>
      <c r="L90" s="690">
        <f>IF(($C90="Per Employee"),($L$175*$D90),IF(($C90="% of Salaries"),($E90*$L$176),IF(($C90="Fixed Per Year"),$D90,0)))</f>
        <v>0</v>
      </c>
      <c r="M90" s="264"/>
      <c r="N90" s="690">
        <f>IF(($C90="Per Employee"),($N$175*$D90),IF(($C90="% of Salaries"),($E90*$N$176),IF(($C90="Fixed Per Year"),$D90)))*((1+$F90)^1)</f>
        <v>0</v>
      </c>
      <c r="O90" s="264"/>
      <c r="P90" s="690">
        <f>IF(($C90="Per Employee"),($P$175*$D90),IF(($C90="% of Salaries"),($E90*$P$176),IF(($C90="Fixed Per Year"),$D90)))*((1+$F90)^2)</f>
        <v>0</v>
      </c>
      <c r="Q90" s="411"/>
      <c r="R90" s="690">
        <f>IF(($C90="Per Employee"),($R$175*$D90),IF(($C90="% of Salaries"),($E90*$R$176),IF(($C90="Fixed Per Year"),$D90)))*((1+$F90)^3)</f>
        <v>0</v>
      </c>
      <c r="S90" s="495"/>
      <c r="T90" s="690">
        <f>IF(($C90="Per Employee"),($T$175*$D90),IF(($C90="% of Salaries"),($E90*$T$176),IF(($C90="Fixed Per Year"),$D90)))*((1+$F90)^4)</f>
        <v>0</v>
      </c>
      <c r="U90" s="85"/>
    </row>
    <row r="91" spans="1:21" ht="16.5" customHeight="1">
      <c r="A91" s="526"/>
      <c r="B91" s="466"/>
      <c r="C91" s="432"/>
      <c r="D91" s="432"/>
      <c r="E91" s="432"/>
      <c r="F91" s="432"/>
      <c r="G91" s="466"/>
      <c r="H91" s="538"/>
      <c r="I91" s="466"/>
      <c r="J91" s="321"/>
      <c r="K91" s="65"/>
      <c r="L91" s="321"/>
      <c r="M91" s="65"/>
      <c r="N91" s="321"/>
      <c r="O91" s="65"/>
      <c r="P91" s="321"/>
      <c r="Q91" s="732"/>
      <c r="R91" s="423"/>
      <c r="S91" s="402"/>
      <c r="T91" s="423"/>
    </row>
    <row r="92" spans="1:21" ht="16.5" customHeight="1">
      <c r="A92" s="151"/>
      <c r="B92" s="509"/>
      <c r="C92" s="512"/>
      <c r="D92" s="512"/>
      <c r="E92" s="512"/>
      <c r="F92" s="512"/>
      <c r="G92" s="352"/>
      <c r="H92" s="564" t="s">
        <v>60</v>
      </c>
      <c r="I92" s="300"/>
      <c r="J92" s="610">
        <f>SUM(J69:J90)</f>
        <v>69960.44</v>
      </c>
      <c r="K92" s="300"/>
      <c r="L92" s="610">
        <f>SUM(L69:L90)</f>
        <v>2689300.55</v>
      </c>
      <c r="M92" s="300"/>
      <c r="N92" s="610">
        <f>SUM(N69:N90)</f>
        <v>3193598</v>
      </c>
      <c r="O92" s="300"/>
      <c r="P92" s="610">
        <f>SUM(P69:P90)</f>
        <v>3724863.5074999998</v>
      </c>
      <c r="Q92" s="302"/>
      <c r="R92" s="610">
        <f>SUM(R69:R90)</f>
        <v>4099915.2755124997</v>
      </c>
      <c r="S92" s="154"/>
      <c r="T92" s="610">
        <f>SUM(T69:T90)</f>
        <v>4687644.0485424995</v>
      </c>
      <c r="U92" s="676"/>
    </row>
    <row r="93" spans="1:21" ht="16.5" customHeight="1">
      <c r="A93" s="673"/>
      <c r="B93" s="65"/>
      <c r="C93" s="480"/>
      <c r="D93" s="480"/>
      <c r="E93" s="480"/>
      <c r="F93" s="480"/>
      <c r="G93" s="65"/>
      <c r="H93" s="102"/>
      <c r="I93" s="65"/>
      <c r="J93" s="834"/>
      <c r="K93" s="65"/>
      <c r="L93" s="834"/>
      <c r="M93" s="65"/>
      <c r="N93" s="834"/>
      <c r="O93" s="65"/>
      <c r="P93" s="834"/>
      <c r="Q93" s="732"/>
      <c r="R93" s="334"/>
      <c r="S93" s="402"/>
      <c r="T93" s="334"/>
    </row>
    <row r="94" spans="1:21" ht="18.75" customHeight="1">
      <c r="A94" s="634" t="s">
        <v>61</v>
      </c>
      <c r="B94" s="476"/>
      <c r="C94" s="161"/>
      <c r="D94" s="161"/>
      <c r="E94" s="161"/>
      <c r="F94" s="161"/>
      <c r="G94" s="509"/>
      <c r="H94" s="222"/>
      <c r="I94" s="509"/>
      <c r="J94" s="431"/>
      <c r="K94" s="65"/>
      <c r="L94" s="431"/>
      <c r="M94" s="65"/>
      <c r="N94" s="431"/>
      <c r="O94" s="65"/>
      <c r="P94" s="431"/>
      <c r="Q94" s="732"/>
      <c r="R94" s="189"/>
      <c r="S94" s="402"/>
      <c r="T94" s="189"/>
    </row>
    <row r="95" spans="1:21" ht="16.5" customHeight="1">
      <c r="A95" s="548" t="s">
        <v>62</v>
      </c>
      <c r="B95" s="544"/>
      <c r="C95" s="179" t="s">
        <v>127</v>
      </c>
      <c r="D95" s="616"/>
      <c r="E95" s="830" t="s">
        <v>488</v>
      </c>
      <c r="F95" s="796"/>
      <c r="G95" s="336"/>
      <c r="H95" s="397" t="s">
        <v>63</v>
      </c>
      <c r="I95" s="271"/>
      <c r="J95" s="690">
        <v>20000</v>
      </c>
      <c r="K95" s="264"/>
      <c r="L95" s="690">
        <f>IF(($C95="Per Employee"),($L$175*$D95),IF(($C95="Per Pupil"),($D95*$L$177),IF(($C95="Fixed Per Year"),$D95,0)))</f>
        <v>0</v>
      </c>
      <c r="M95" s="264"/>
      <c r="N95" s="690">
        <v>14000</v>
      </c>
      <c r="O95" s="264"/>
      <c r="P95" s="690">
        <v>15000</v>
      </c>
      <c r="Q95" s="411"/>
      <c r="R95" s="690">
        <v>16000</v>
      </c>
      <c r="S95" s="495"/>
      <c r="T95" s="690">
        <v>17000</v>
      </c>
      <c r="U95" s="85"/>
    </row>
    <row r="96" spans="1:21" ht="16.5" customHeight="1">
      <c r="A96" s="857" t="s">
        <v>136</v>
      </c>
      <c r="B96" s="544"/>
      <c r="C96" s="179" t="s">
        <v>127</v>
      </c>
      <c r="D96" s="616"/>
      <c r="E96" s="830" t="s">
        <v>488</v>
      </c>
      <c r="F96" s="796"/>
      <c r="G96" s="336"/>
      <c r="H96" s="397" t="s">
        <v>64</v>
      </c>
      <c r="I96" s="271"/>
      <c r="J96" s="690">
        <v>12500</v>
      </c>
      <c r="K96" s="264"/>
      <c r="L96" s="690">
        <f>IF(($C96="Per Employee"),($L$175*$D96),IF(($C96="Per Pupil"),($D96*$L$177),IF(($C96="Fixed Per Year"),$D96,0)))</f>
        <v>0</v>
      </c>
      <c r="M96" s="264"/>
      <c r="N96" s="690">
        <v>3000</v>
      </c>
      <c r="O96" s="264"/>
      <c r="P96" s="690">
        <v>3000</v>
      </c>
      <c r="Q96" s="411"/>
      <c r="R96" s="690">
        <v>1500</v>
      </c>
      <c r="S96" s="495"/>
      <c r="T96" s="690">
        <v>1500</v>
      </c>
      <c r="U96" s="85"/>
    </row>
    <row r="97" spans="1:21" ht="16.5" customHeight="1">
      <c r="A97" s="857" t="s">
        <v>65</v>
      </c>
      <c r="B97" s="544"/>
      <c r="C97" s="179"/>
      <c r="D97" s="616"/>
      <c r="E97" s="830" t="s">
        <v>488</v>
      </c>
      <c r="F97" s="796"/>
      <c r="G97" s="336"/>
      <c r="H97" s="397"/>
      <c r="I97" s="271"/>
      <c r="J97" s="690">
        <v>4000</v>
      </c>
      <c r="K97" s="264"/>
      <c r="L97" s="690">
        <v>10000</v>
      </c>
      <c r="M97" s="264"/>
      <c r="N97" s="690">
        <v>10000</v>
      </c>
      <c r="O97" s="264"/>
      <c r="P97" s="690">
        <v>10000</v>
      </c>
      <c r="Q97" s="411"/>
      <c r="R97" s="690">
        <v>10000</v>
      </c>
      <c r="S97" s="495"/>
      <c r="T97" s="690">
        <v>10000</v>
      </c>
      <c r="U97" s="85"/>
    </row>
    <row r="98" spans="1:21" ht="16.5" customHeight="1">
      <c r="A98" s="857" t="s">
        <v>66</v>
      </c>
      <c r="B98" s="544"/>
      <c r="C98" s="179" t="s">
        <v>127</v>
      </c>
      <c r="D98" s="616"/>
      <c r="E98" s="830" t="s">
        <v>488</v>
      </c>
      <c r="F98" s="796"/>
      <c r="G98" s="336"/>
      <c r="H98" s="397" t="s">
        <v>67</v>
      </c>
      <c r="I98" s="271"/>
      <c r="J98" s="690">
        <v>5000</v>
      </c>
      <c r="K98" s="264"/>
      <c r="L98" s="690">
        <f>IF(($C98="Per Employee"),($L$175*$D98),IF(($C98="Per Pupil"),($D98*$L$177),IF(($C98="Fixed Per Year"),$D98,0)))</f>
        <v>0</v>
      </c>
      <c r="M98" s="264"/>
      <c r="N98" s="690">
        <v>1500</v>
      </c>
      <c r="O98" s="264"/>
      <c r="P98" s="690">
        <v>1500</v>
      </c>
      <c r="Q98" s="411"/>
      <c r="R98" s="690">
        <v>750</v>
      </c>
      <c r="S98" s="495"/>
      <c r="T98" s="690">
        <v>750</v>
      </c>
      <c r="U98" s="85"/>
    </row>
    <row r="99" spans="1:21" ht="16.5" customHeight="1">
      <c r="A99" s="857" t="s">
        <v>68</v>
      </c>
      <c r="B99" s="544"/>
      <c r="C99" s="179" t="s">
        <v>49</v>
      </c>
      <c r="D99" s="616">
        <v>12000</v>
      </c>
      <c r="E99" s="830" t="s">
        <v>488</v>
      </c>
      <c r="F99" s="796"/>
      <c r="G99" s="336"/>
      <c r="H99" s="397"/>
      <c r="I99" s="271"/>
      <c r="J99" s="690"/>
      <c r="K99" s="264"/>
      <c r="L99" s="690">
        <f>IF(($C99="Per Employee"),($L$175*$D99),IF(($C99="Per Pupil"),($D99*$L$177),IF(($C99="Fixed Per Year"),$D99,0)))</f>
        <v>12000</v>
      </c>
      <c r="M99" s="264"/>
      <c r="N99" s="690">
        <f>IF(($C99="Per Employee"),($N$175*$D99),IF(($C99="Per Pupil"),($D99*$N$177),IF(($C99="Fixed Per Year"),$D99)))*((1+$F99)^1)</f>
        <v>12000</v>
      </c>
      <c r="O99" s="264"/>
      <c r="P99" s="690">
        <f>IF(($C99="Per Employee"),($P$175*$D99),IF(($C99="Per Pupil"),($D99*$P$177),IF(($C99="Fixed Per Year"),$D99)))*((1+$F99)^2)</f>
        <v>12000</v>
      </c>
      <c r="Q99" s="411"/>
      <c r="R99" s="690">
        <f>IF(($C99="Per Employee"),($R$175*$D99),IF(($C99="Per Pupil"),($D99*$R$177),IF(($C99="Fixed Per Year"),$D99)))*((1+$F99)^3)</f>
        <v>12000</v>
      </c>
      <c r="S99" s="495"/>
      <c r="T99" s="690">
        <f>IF(($C99="Per Employee"),($T$175*$D99),IF(($C99="Per Pupil"),($D99*$T$177),IF(($C99="Fixed Per Year"),$D99)))*((1+$F99)^4)</f>
        <v>12000</v>
      </c>
      <c r="U99" s="85"/>
    </row>
    <row r="100" spans="1:21" ht="16.5" customHeight="1">
      <c r="A100" s="857" t="s">
        <v>69</v>
      </c>
      <c r="B100" s="544"/>
      <c r="C100" s="179" t="s">
        <v>49</v>
      </c>
      <c r="D100" s="616">
        <v>4000</v>
      </c>
      <c r="E100" s="830" t="s">
        <v>488</v>
      </c>
      <c r="F100" s="796"/>
      <c r="G100" s="336"/>
      <c r="H100" s="397"/>
      <c r="I100" s="271"/>
      <c r="J100" s="690"/>
      <c r="K100" s="264"/>
      <c r="L100" s="690">
        <f>IF(($C100="Per Employee"),($L$175*$D100),IF(($C100="Per Pupil"),($D100*$L$177),IF(($C100="Fixed Per Year"),$D100,0)))</f>
        <v>4000</v>
      </c>
      <c r="M100" s="264"/>
      <c r="N100" s="690">
        <f>IF(($C100="Per Employee"),($N$175*$D100),IF(($C100="Per Pupil"),($D100*$N$177),IF(($C100="Fixed Per Year"),$D100)))*((1+$F100)^1)</f>
        <v>4000</v>
      </c>
      <c r="O100" s="264"/>
      <c r="P100" s="690">
        <f>IF(($C100="Per Employee"),($P$175*$D100),IF(($C100="Per Pupil"),($D100*$P$177),IF(($C100="Fixed Per Year"),$D100)))*((1+$F100)^2)</f>
        <v>4000</v>
      </c>
      <c r="Q100" s="411"/>
      <c r="R100" s="690">
        <f>IF(($C100="Per Employee"),($R$175*$D100),IF(($C100="Per Pupil"),($D100*$R$177),IF(($C100="Fixed Per Year"),$D100)))*((1+$F100)^3)</f>
        <v>4000</v>
      </c>
      <c r="S100" s="495"/>
      <c r="T100" s="690">
        <f>IF(($C100="Per Employee"),($T$175*$D100),IF(($C100="Per Pupil"),($D100*$T$177),IF(($C100="Fixed Per Year"),$D100)))*((1+$F100)^4)</f>
        <v>4000</v>
      </c>
      <c r="U100" s="85"/>
    </row>
    <row r="101" spans="1:21" ht="16.5" customHeight="1">
      <c r="A101" s="857" t="s">
        <v>70</v>
      </c>
      <c r="B101" s="544"/>
      <c r="C101" s="179"/>
      <c r="D101" s="616"/>
      <c r="E101" s="830" t="s">
        <v>488</v>
      </c>
      <c r="F101" s="796"/>
      <c r="G101" s="336"/>
      <c r="H101" s="397"/>
      <c r="I101" s="271"/>
      <c r="J101" s="690"/>
      <c r="K101" s="264"/>
      <c r="L101" s="690">
        <f>IF(($C101="Per Employee"),($L$175*$D101),IF(($C101="Per Pupil"),($D101*$L$177),IF(($C101="Fixed Per Year"),$D101,0)))</f>
        <v>0</v>
      </c>
      <c r="M101" s="264"/>
      <c r="N101" s="690">
        <f>IF(($C101="Per Employee"),($N$175*$D101),IF(($C101="Per Pupil"),($D101*$N$177),IF(($C101="Fixed Per Year"),$D101)))*((1+$F101)^1)</f>
        <v>0</v>
      </c>
      <c r="O101" s="264"/>
      <c r="P101" s="690">
        <f>IF(($C101="Per Employee"),($P$175*$D101),IF(($C101="Per Pupil"),($D101*$P$177),IF(($C101="Fixed Per Year"),$D101)))*((1+$F101)^2)</f>
        <v>0</v>
      </c>
      <c r="Q101" s="411"/>
      <c r="R101" s="690">
        <f>IF(($C101="Per Employee"),($R$175*$D101),IF(($C101="Per Pupil"),($D101*$R$177),IF(($C101="Fixed Per Year"),$D101)))*((1+$F101)^3)</f>
        <v>0</v>
      </c>
      <c r="S101" s="495"/>
      <c r="T101" s="690">
        <f>IF(($C101="Per Employee"),($T$175*$D101),IF(($C101="Per Pupil"),($D101*$T$177),IF(($C101="Fixed Per Year"),$D101)))*((1+$F101)^4)</f>
        <v>0</v>
      </c>
      <c r="U101" s="85"/>
    </row>
    <row r="102" spans="1:21" ht="16.5" customHeight="1">
      <c r="A102" s="857" t="s">
        <v>71</v>
      </c>
      <c r="B102" s="544"/>
      <c r="C102" s="179" t="s">
        <v>127</v>
      </c>
      <c r="D102" s="616"/>
      <c r="E102" s="830" t="s">
        <v>488</v>
      </c>
      <c r="F102" s="796"/>
      <c r="G102" s="336"/>
      <c r="H102" s="397"/>
      <c r="I102" s="271"/>
      <c r="J102" s="690">
        <v>3000</v>
      </c>
      <c r="K102" s="264"/>
      <c r="L102" s="690">
        <v>11000</v>
      </c>
      <c r="M102" s="264"/>
      <c r="N102" s="690">
        <v>12000</v>
      </c>
      <c r="O102" s="264"/>
      <c r="P102" s="690">
        <v>13000</v>
      </c>
      <c r="Q102" s="411"/>
      <c r="R102" s="690">
        <v>14000</v>
      </c>
      <c r="S102" s="495"/>
      <c r="T102" s="690">
        <v>15000</v>
      </c>
      <c r="U102" s="85"/>
    </row>
    <row r="103" spans="1:21" ht="16.5" customHeight="1">
      <c r="A103" s="857" t="s">
        <v>72</v>
      </c>
      <c r="B103" s="544"/>
      <c r="C103" s="179" t="s">
        <v>127</v>
      </c>
      <c r="D103" s="616"/>
      <c r="E103" s="830" t="s">
        <v>488</v>
      </c>
      <c r="F103" s="796"/>
      <c r="G103" s="336"/>
      <c r="H103" s="397"/>
      <c r="I103" s="271"/>
      <c r="J103" s="690"/>
      <c r="K103" s="264"/>
      <c r="L103" s="690">
        <f>IF(($C103="Per Employee"),($L$175*$D103),IF(($C103="Per Pupil"),($D103*$L$177),IF(($C103="Fixed Per Year"),$D103,0)))</f>
        <v>0</v>
      </c>
      <c r="M103" s="264"/>
      <c r="N103" s="690">
        <f>IF(($C103="Per Employee"),($N$175*$D103),IF(($C103="Per Pupil"),($D103*$N$177),IF(($C103="Fixed Per Year"),$D103)))*((1+$F103)^1)</f>
        <v>0</v>
      </c>
      <c r="O103" s="264"/>
      <c r="P103" s="690">
        <f>IF(($C103="Per Employee"),($P$175*$D103),IF(($C103="Per Pupil"),($D103*$P$177),IF(($C103="Fixed Per Year"),$D103)))*((1+$F103)^2)</f>
        <v>0</v>
      </c>
      <c r="Q103" s="411"/>
      <c r="R103" s="690">
        <f>IF(($C103="Per Employee"),($R$175*$D103),IF(($C103="Per Pupil"),($D103*$R$177),IF(($C103="Fixed Per Year"),$D103)))*((1+$F103)^3)</f>
        <v>0</v>
      </c>
      <c r="S103" s="495"/>
      <c r="T103" s="690">
        <f>IF(($C103="Per Employee"),($T$175*$D103),IF(($C103="Per Pupil"),($D103*$T$177),IF(($C103="Fixed Per Year"),$D103)))*((1+$F103)^4)</f>
        <v>0</v>
      </c>
      <c r="U103" s="85"/>
    </row>
    <row r="104" spans="1:21" ht="16.5" customHeight="1">
      <c r="A104" s="857" t="s">
        <v>73</v>
      </c>
      <c r="B104" s="544"/>
      <c r="C104" s="179"/>
      <c r="D104" s="616"/>
      <c r="E104" s="830" t="s">
        <v>488</v>
      </c>
      <c r="F104" s="796"/>
      <c r="G104" s="336"/>
      <c r="H104" s="397"/>
      <c r="I104" s="271"/>
      <c r="J104" s="690">
        <v>5000</v>
      </c>
      <c r="K104" s="264"/>
      <c r="L104" s="690">
        <v>6000</v>
      </c>
      <c r="M104" s="264"/>
      <c r="N104" s="690">
        <v>7000</v>
      </c>
      <c r="O104" s="264"/>
      <c r="P104" s="690">
        <v>8000</v>
      </c>
      <c r="Q104" s="411"/>
      <c r="R104" s="690">
        <v>9000</v>
      </c>
      <c r="S104" s="495"/>
      <c r="T104" s="690">
        <v>10000</v>
      </c>
      <c r="U104" s="85"/>
    </row>
    <row r="105" spans="1:21" ht="16.5" customHeight="1">
      <c r="A105" s="857" t="s">
        <v>74</v>
      </c>
      <c r="B105" s="544"/>
      <c r="C105" s="179" t="s">
        <v>49</v>
      </c>
      <c r="D105" s="616">
        <v>2000</v>
      </c>
      <c r="E105" s="830" t="s">
        <v>488</v>
      </c>
      <c r="F105" s="796"/>
      <c r="G105" s="336"/>
      <c r="H105" s="397"/>
      <c r="I105" s="271"/>
      <c r="J105" s="690"/>
      <c r="K105" s="264"/>
      <c r="L105" s="690">
        <f t="shared" ref="L105:L114" si="9">IF(($C105="Per Employee"),($L$175*$D105),IF(($C105="Per Pupil"),($D105*$L$177),IF(($C105="Fixed Per Year"),$D105,0)))</f>
        <v>2000</v>
      </c>
      <c r="M105" s="264"/>
      <c r="N105" s="690">
        <f t="shared" ref="N105:N114" si="10">IF(($C105="Per Employee"),($N$175*$D105),IF(($C105="Per Pupil"),($D105*$N$177),IF(($C105="Fixed Per Year"),$D105)))*((1+$F105)^1)</f>
        <v>2000</v>
      </c>
      <c r="O105" s="264"/>
      <c r="P105" s="690">
        <f t="shared" ref="P105:P114" si="11">IF(($C105="Per Employee"),($P$175*$D105),IF(($C105="Per Pupil"),($D105*$P$177),IF(($C105="Fixed Per Year"),$D105)))*((1+$F105)^2)</f>
        <v>2000</v>
      </c>
      <c r="Q105" s="411"/>
      <c r="R105" s="690">
        <f t="shared" ref="R105:R114" si="12">IF(($C105="Per Employee"),($R$175*$D105),IF(($C105="Per Pupil"),($D105*$R$177),IF(($C105="Fixed Per Year"),$D105)))*((1+$F105)^3)</f>
        <v>2000</v>
      </c>
      <c r="S105" s="495"/>
      <c r="T105" s="690">
        <f t="shared" ref="T105:T114" si="13">IF(($C105="Per Employee"),($T$175*$D105),IF(($C105="Per Pupil"),($D105*$T$177),IF(($C105="Fixed Per Year"),$D105)))*((1+$F105)^4)</f>
        <v>2000</v>
      </c>
      <c r="U105" s="85"/>
    </row>
    <row r="106" spans="1:21" ht="16.5" customHeight="1">
      <c r="A106" s="477"/>
      <c r="B106" s="544"/>
      <c r="C106" s="179"/>
      <c r="D106" s="616"/>
      <c r="E106" s="830" t="s">
        <v>488</v>
      </c>
      <c r="F106" s="796"/>
      <c r="G106" s="336"/>
      <c r="H106" s="397"/>
      <c r="I106" s="271"/>
      <c r="J106" s="690"/>
      <c r="K106" s="264"/>
      <c r="L106" s="690">
        <f t="shared" si="9"/>
        <v>0</v>
      </c>
      <c r="M106" s="264"/>
      <c r="N106" s="690">
        <f t="shared" si="10"/>
        <v>0</v>
      </c>
      <c r="O106" s="264"/>
      <c r="P106" s="690">
        <f t="shared" si="11"/>
        <v>0</v>
      </c>
      <c r="Q106" s="411"/>
      <c r="R106" s="690">
        <f t="shared" si="12"/>
        <v>0</v>
      </c>
      <c r="S106" s="495"/>
      <c r="T106" s="690">
        <f t="shared" si="13"/>
        <v>0</v>
      </c>
      <c r="U106" s="85"/>
    </row>
    <row r="107" spans="1:21" ht="16.5" customHeight="1">
      <c r="A107" s="477"/>
      <c r="B107" s="544"/>
      <c r="C107" s="179"/>
      <c r="D107" s="616"/>
      <c r="E107" s="830" t="s">
        <v>488</v>
      </c>
      <c r="F107" s="796"/>
      <c r="G107" s="336"/>
      <c r="H107" s="397"/>
      <c r="I107" s="271"/>
      <c r="J107" s="690"/>
      <c r="K107" s="264"/>
      <c r="L107" s="690">
        <f t="shared" si="9"/>
        <v>0</v>
      </c>
      <c r="M107" s="264"/>
      <c r="N107" s="690">
        <f t="shared" si="10"/>
        <v>0</v>
      </c>
      <c r="O107" s="264"/>
      <c r="P107" s="690">
        <f t="shared" si="11"/>
        <v>0</v>
      </c>
      <c r="Q107" s="411"/>
      <c r="R107" s="690">
        <f t="shared" si="12"/>
        <v>0</v>
      </c>
      <c r="S107" s="495"/>
      <c r="T107" s="690">
        <f t="shared" si="13"/>
        <v>0</v>
      </c>
      <c r="U107" s="85"/>
    </row>
    <row r="108" spans="1:21" ht="16.5" customHeight="1">
      <c r="A108" s="477"/>
      <c r="B108" s="544"/>
      <c r="C108" s="179"/>
      <c r="D108" s="616"/>
      <c r="E108" s="830" t="s">
        <v>488</v>
      </c>
      <c r="F108" s="796"/>
      <c r="G108" s="336"/>
      <c r="H108" s="397"/>
      <c r="I108" s="271"/>
      <c r="J108" s="690"/>
      <c r="K108" s="264"/>
      <c r="L108" s="690">
        <f t="shared" si="9"/>
        <v>0</v>
      </c>
      <c r="M108" s="264"/>
      <c r="N108" s="690">
        <f t="shared" si="10"/>
        <v>0</v>
      </c>
      <c r="O108" s="264"/>
      <c r="P108" s="690">
        <f t="shared" si="11"/>
        <v>0</v>
      </c>
      <c r="Q108" s="411"/>
      <c r="R108" s="690">
        <f t="shared" si="12"/>
        <v>0</v>
      </c>
      <c r="S108" s="495"/>
      <c r="T108" s="690">
        <f t="shared" si="13"/>
        <v>0</v>
      </c>
      <c r="U108" s="85"/>
    </row>
    <row r="109" spans="1:21" ht="16.5" customHeight="1">
      <c r="A109" s="477"/>
      <c r="B109" s="544"/>
      <c r="C109" s="179"/>
      <c r="D109" s="616"/>
      <c r="E109" s="830" t="s">
        <v>488</v>
      </c>
      <c r="F109" s="796"/>
      <c r="G109" s="336"/>
      <c r="H109" s="397"/>
      <c r="I109" s="271"/>
      <c r="J109" s="690"/>
      <c r="K109" s="264"/>
      <c r="L109" s="690">
        <f t="shared" si="9"/>
        <v>0</v>
      </c>
      <c r="M109" s="264"/>
      <c r="N109" s="690">
        <f t="shared" si="10"/>
        <v>0</v>
      </c>
      <c r="O109" s="264"/>
      <c r="P109" s="690">
        <f t="shared" si="11"/>
        <v>0</v>
      </c>
      <c r="Q109" s="411"/>
      <c r="R109" s="690">
        <f t="shared" si="12"/>
        <v>0</v>
      </c>
      <c r="S109" s="495"/>
      <c r="T109" s="690">
        <f t="shared" si="13"/>
        <v>0</v>
      </c>
      <c r="U109" s="85"/>
    </row>
    <row r="110" spans="1:21" ht="16.5" customHeight="1">
      <c r="A110" s="477"/>
      <c r="B110" s="544"/>
      <c r="C110" s="179"/>
      <c r="D110" s="616"/>
      <c r="E110" s="830" t="s">
        <v>488</v>
      </c>
      <c r="F110" s="796"/>
      <c r="G110" s="336"/>
      <c r="H110" s="397"/>
      <c r="I110" s="271"/>
      <c r="J110" s="690"/>
      <c r="K110" s="264"/>
      <c r="L110" s="690">
        <f t="shared" si="9"/>
        <v>0</v>
      </c>
      <c r="M110" s="264"/>
      <c r="N110" s="690">
        <f t="shared" si="10"/>
        <v>0</v>
      </c>
      <c r="O110" s="264"/>
      <c r="P110" s="690">
        <f t="shared" si="11"/>
        <v>0</v>
      </c>
      <c r="Q110" s="411"/>
      <c r="R110" s="690">
        <f t="shared" si="12"/>
        <v>0</v>
      </c>
      <c r="S110" s="495"/>
      <c r="T110" s="690">
        <f t="shared" si="13"/>
        <v>0</v>
      </c>
      <c r="U110" s="85"/>
    </row>
    <row r="111" spans="1:21" ht="16.5" customHeight="1">
      <c r="A111" s="477"/>
      <c r="B111" s="544"/>
      <c r="C111" s="179"/>
      <c r="D111" s="616"/>
      <c r="E111" s="830" t="s">
        <v>488</v>
      </c>
      <c r="F111" s="796"/>
      <c r="G111" s="336"/>
      <c r="H111" s="397"/>
      <c r="I111" s="271"/>
      <c r="J111" s="690"/>
      <c r="K111" s="264"/>
      <c r="L111" s="690">
        <f t="shared" si="9"/>
        <v>0</v>
      </c>
      <c r="M111" s="264"/>
      <c r="N111" s="690">
        <f t="shared" si="10"/>
        <v>0</v>
      </c>
      <c r="O111" s="264"/>
      <c r="P111" s="690">
        <f t="shared" si="11"/>
        <v>0</v>
      </c>
      <c r="Q111" s="411"/>
      <c r="R111" s="690">
        <f t="shared" si="12"/>
        <v>0</v>
      </c>
      <c r="S111" s="495"/>
      <c r="T111" s="690">
        <f t="shared" si="13"/>
        <v>0</v>
      </c>
      <c r="U111" s="85"/>
    </row>
    <row r="112" spans="1:21" ht="16.5" customHeight="1">
      <c r="A112" s="477"/>
      <c r="B112" s="544"/>
      <c r="C112" s="179"/>
      <c r="D112" s="616"/>
      <c r="E112" s="830" t="s">
        <v>488</v>
      </c>
      <c r="F112" s="796"/>
      <c r="G112" s="336"/>
      <c r="H112" s="397"/>
      <c r="I112" s="271"/>
      <c r="J112" s="690"/>
      <c r="K112" s="264"/>
      <c r="L112" s="690">
        <f t="shared" si="9"/>
        <v>0</v>
      </c>
      <c r="M112" s="264"/>
      <c r="N112" s="690">
        <f t="shared" si="10"/>
        <v>0</v>
      </c>
      <c r="O112" s="264"/>
      <c r="P112" s="690">
        <f t="shared" si="11"/>
        <v>0</v>
      </c>
      <c r="Q112" s="411"/>
      <c r="R112" s="690">
        <f t="shared" si="12"/>
        <v>0</v>
      </c>
      <c r="S112" s="495"/>
      <c r="T112" s="690">
        <f t="shared" si="13"/>
        <v>0</v>
      </c>
      <c r="U112" s="85"/>
    </row>
    <row r="113" spans="1:21" ht="16.5" customHeight="1">
      <c r="A113" s="477"/>
      <c r="B113" s="544"/>
      <c r="C113" s="179"/>
      <c r="D113" s="616"/>
      <c r="E113" s="830" t="s">
        <v>488</v>
      </c>
      <c r="F113" s="796"/>
      <c r="G113" s="336"/>
      <c r="H113" s="397"/>
      <c r="I113" s="271"/>
      <c r="J113" s="690"/>
      <c r="K113" s="264"/>
      <c r="L113" s="690">
        <f t="shared" si="9"/>
        <v>0</v>
      </c>
      <c r="M113" s="264"/>
      <c r="N113" s="690">
        <f t="shared" si="10"/>
        <v>0</v>
      </c>
      <c r="O113" s="264"/>
      <c r="P113" s="690">
        <f t="shared" si="11"/>
        <v>0</v>
      </c>
      <c r="Q113" s="411"/>
      <c r="R113" s="690">
        <f t="shared" si="12"/>
        <v>0</v>
      </c>
      <c r="S113" s="495"/>
      <c r="T113" s="690">
        <f t="shared" si="13"/>
        <v>0</v>
      </c>
      <c r="U113" s="85"/>
    </row>
    <row r="114" spans="1:21" ht="16.5" customHeight="1">
      <c r="A114" s="477"/>
      <c r="B114" s="544"/>
      <c r="C114" s="179"/>
      <c r="D114" s="616"/>
      <c r="E114" s="830" t="s">
        <v>488</v>
      </c>
      <c r="F114" s="796"/>
      <c r="G114" s="336"/>
      <c r="H114" s="397"/>
      <c r="I114" s="271"/>
      <c r="J114" s="690"/>
      <c r="K114" s="264"/>
      <c r="L114" s="690">
        <f t="shared" si="9"/>
        <v>0</v>
      </c>
      <c r="M114" s="264"/>
      <c r="N114" s="690">
        <f t="shared" si="10"/>
        <v>0</v>
      </c>
      <c r="O114" s="264"/>
      <c r="P114" s="690">
        <f t="shared" si="11"/>
        <v>0</v>
      </c>
      <c r="Q114" s="411"/>
      <c r="R114" s="690">
        <f t="shared" si="12"/>
        <v>0</v>
      </c>
      <c r="S114" s="495"/>
      <c r="T114" s="690">
        <f t="shared" si="13"/>
        <v>0</v>
      </c>
      <c r="U114" s="85"/>
    </row>
    <row r="115" spans="1:21" ht="16.5" customHeight="1">
      <c r="A115" s="526"/>
      <c r="B115" s="466"/>
      <c r="C115" s="432"/>
      <c r="D115" s="432"/>
      <c r="E115" s="432"/>
      <c r="F115" s="432"/>
      <c r="G115" s="466"/>
      <c r="H115" s="538"/>
      <c r="I115" s="466"/>
      <c r="J115" s="321"/>
      <c r="K115" s="65"/>
      <c r="L115" s="321"/>
      <c r="M115" s="65"/>
      <c r="N115" s="321"/>
      <c r="O115" s="65"/>
      <c r="P115" s="321"/>
      <c r="Q115" s="732"/>
      <c r="R115" s="423"/>
      <c r="S115" s="402"/>
      <c r="T115" s="423"/>
    </row>
    <row r="116" spans="1:21" ht="16.5" customHeight="1">
      <c r="A116" s="151"/>
      <c r="B116" s="509"/>
      <c r="C116" s="512"/>
      <c r="D116" s="512"/>
      <c r="E116" s="512"/>
      <c r="F116" s="512"/>
      <c r="G116" s="352"/>
      <c r="H116" s="564" t="s">
        <v>75</v>
      </c>
      <c r="I116" s="300"/>
      <c r="J116" s="610">
        <f>SUM(J95:J114)</f>
        <v>49500</v>
      </c>
      <c r="K116" s="300"/>
      <c r="L116" s="610">
        <f>SUM(L95:L114)</f>
        <v>45000</v>
      </c>
      <c r="M116" s="300"/>
      <c r="N116" s="610">
        <f>SUM(N95:N114)</f>
        <v>65500</v>
      </c>
      <c r="O116" s="300"/>
      <c r="P116" s="610">
        <f>SUM(P95:P114)</f>
        <v>68500</v>
      </c>
      <c r="Q116" s="302"/>
      <c r="R116" s="610">
        <f>SUM(R95:R114)</f>
        <v>69250</v>
      </c>
      <c r="S116" s="154"/>
      <c r="T116" s="610">
        <f>SUM(T95:T114)</f>
        <v>72250</v>
      </c>
      <c r="U116" s="676"/>
    </row>
    <row r="117" spans="1:21" ht="16.5" customHeight="1">
      <c r="A117" s="258"/>
      <c r="B117" s="509"/>
      <c r="C117" s="512"/>
      <c r="D117" s="512"/>
      <c r="E117" s="512"/>
      <c r="F117" s="512"/>
      <c r="G117" s="509"/>
      <c r="H117" s="102"/>
      <c r="I117" s="509"/>
      <c r="J117" s="834"/>
      <c r="K117" s="65"/>
      <c r="L117" s="834"/>
      <c r="M117" s="65"/>
      <c r="N117" s="834"/>
      <c r="O117" s="65"/>
      <c r="P117" s="834"/>
      <c r="Q117" s="732"/>
      <c r="R117" s="834"/>
      <c r="S117" s="402"/>
      <c r="T117" s="834"/>
    </row>
    <row r="118" spans="1:21" ht="18.75" customHeight="1">
      <c r="A118" s="564" t="s">
        <v>76</v>
      </c>
      <c r="B118" s="476"/>
      <c r="C118" s="161"/>
      <c r="D118" s="161"/>
      <c r="E118" s="161"/>
      <c r="F118" s="161"/>
      <c r="G118" s="509"/>
      <c r="H118" s="222"/>
      <c r="I118" s="509"/>
      <c r="J118" s="431"/>
      <c r="K118" s="65"/>
      <c r="L118" s="431"/>
      <c r="M118" s="65"/>
      <c r="N118" s="431"/>
      <c r="O118" s="65"/>
      <c r="P118" s="431"/>
      <c r="Q118" s="732"/>
      <c r="R118" s="189"/>
      <c r="S118" s="402"/>
      <c r="T118" s="189"/>
    </row>
    <row r="119" spans="1:21" ht="16.5" customHeight="1">
      <c r="A119" s="255" t="s">
        <v>77</v>
      </c>
      <c r="B119" s="544"/>
      <c r="C119" s="179" t="s">
        <v>127</v>
      </c>
      <c r="D119" s="616"/>
      <c r="E119" s="99" t="s">
        <v>488</v>
      </c>
      <c r="F119" s="796"/>
      <c r="G119" s="336"/>
      <c r="H119" s="397"/>
      <c r="I119" s="271"/>
      <c r="J119" s="728"/>
      <c r="K119" s="264"/>
      <c r="L119" s="863">
        <v>421850</v>
      </c>
      <c r="M119" s="864"/>
      <c r="N119" s="863">
        <v>775454</v>
      </c>
      <c r="O119" s="864"/>
      <c r="P119" s="863">
        <v>910763</v>
      </c>
      <c r="Q119" s="865"/>
      <c r="R119" s="863">
        <v>928978</v>
      </c>
      <c r="S119" s="866"/>
      <c r="T119" s="863">
        <v>947558</v>
      </c>
      <c r="U119" s="85"/>
    </row>
    <row r="120" spans="1:21" ht="16.5" customHeight="1">
      <c r="A120" s="90" t="s">
        <v>78</v>
      </c>
      <c r="B120" s="544"/>
      <c r="C120" s="179" t="s">
        <v>127</v>
      </c>
      <c r="D120" s="616"/>
      <c r="E120" s="99" t="s">
        <v>488</v>
      </c>
      <c r="F120" s="796"/>
      <c r="G120" s="336"/>
      <c r="H120" s="397" t="s">
        <v>79</v>
      </c>
      <c r="I120" s="271"/>
      <c r="J120" s="728"/>
      <c r="K120" s="264"/>
      <c r="L120" s="690">
        <v>45000</v>
      </c>
      <c r="M120" s="264"/>
      <c r="N120" s="690">
        <v>45000</v>
      </c>
      <c r="O120" s="264"/>
      <c r="P120" s="690">
        <v>55000</v>
      </c>
      <c r="Q120" s="411"/>
      <c r="R120" s="690">
        <v>65000</v>
      </c>
      <c r="S120" s="495"/>
      <c r="T120" s="690">
        <v>75000</v>
      </c>
      <c r="U120" s="85"/>
    </row>
    <row r="121" spans="1:21" ht="16.5" customHeight="1">
      <c r="A121" s="90" t="s">
        <v>80</v>
      </c>
      <c r="B121" s="544"/>
      <c r="C121" s="179" t="s">
        <v>127</v>
      </c>
      <c r="D121" s="616"/>
      <c r="E121" s="99" t="s">
        <v>488</v>
      </c>
      <c r="F121" s="796"/>
      <c r="G121" s="336"/>
      <c r="H121" s="397" t="s">
        <v>81</v>
      </c>
      <c r="I121" s="271"/>
      <c r="J121" s="728">
        <v>1000</v>
      </c>
      <c r="K121" s="264"/>
      <c r="L121" s="690">
        <v>5000</v>
      </c>
      <c r="M121" s="264"/>
      <c r="N121" s="690">
        <v>5000</v>
      </c>
      <c r="O121" s="264"/>
      <c r="P121" s="690">
        <v>6000</v>
      </c>
      <c r="Q121" s="411"/>
      <c r="R121" s="690">
        <v>6000</v>
      </c>
      <c r="S121" s="495"/>
      <c r="T121" s="690">
        <v>6000</v>
      </c>
      <c r="U121" s="85"/>
    </row>
    <row r="122" spans="1:21" ht="16.5" customHeight="1">
      <c r="A122" s="90" t="s">
        <v>82</v>
      </c>
      <c r="B122" s="544"/>
      <c r="C122" s="179"/>
      <c r="D122" s="616"/>
      <c r="E122" s="99" t="s">
        <v>488</v>
      </c>
      <c r="F122" s="796"/>
      <c r="G122" s="336"/>
      <c r="H122" s="397"/>
      <c r="I122" s="271"/>
      <c r="J122" s="728"/>
      <c r="K122" s="264"/>
      <c r="L122" s="690">
        <f t="shared" ref="L122:L136" si="14">IF(($C122="Per Employee"),($L$175*$D122),IF(($C122="Per Pupil"),($D122*$L$177),IF(($C122="Fixed Per Year"),$D122,0)))</f>
        <v>0</v>
      </c>
      <c r="M122" s="264"/>
      <c r="N122" s="690">
        <f t="shared" ref="N122:N136" si="15">IF(($C122="Per Employee"),($N$175*$D122),IF(($C122="Per Pupil"),($D122*$N$177),IF(($C122="Fixed Per Year"),$D122)))*((1+$F122)^1)</f>
        <v>0</v>
      </c>
      <c r="O122" s="264"/>
      <c r="P122" s="690">
        <f t="shared" ref="P122:P136" si="16">IF(($C122="Per Employee"),($P$175*$D122),IF(($C122="Per Pupil"),($D122*$P$177),IF(($C122="Fixed Per Year"),$D122)))*((1+$F122)^2)</f>
        <v>0</v>
      </c>
      <c r="Q122" s="411"/>
      <c r="R122" s="690">
        <f t="shared" ref="R122:R136" si="17">IF(($C122="Per Employee"),($R$175*$D122),IF(($C122="Per Pupil"),($D122*$R$177),IF(($C122="Fixed Per Year"),$D122)))*((1+$F122)^3)</f>
        <v>0</v>
      </c>
      <c r="S122" s="495"/>
      <c r="T122" s="690">
        <f t="shared" ref="T122:T136" si="18">IF(($C122="Per Employee"),($T$175*$D122),IF(($C122="Per Pupil"),($D122*$T$177),IF(($C122="Fixed Per Year"),$D122)))*((1+$F122)^4)</f>
        <v>0</v>
      </c>
      <c r="U122" s="85"/>
    </row>
    <row r="123" spans="1:21" ht="16.5" customHeight="1">
      <c r="A123" s="90" t="s">
        <v>83</v>
      </c>
      <c r="B123" s="544"/>
      <c r="C123" s="179"/>
      <c r="D123" s="616"/>
      <c r="E123" s="99" t="s">
        <v>488</v>
      </c>
      <c r="F123" s="796"/>
      <c r="G123" s="336"/>
      <c r="H123" s="397"/>
      <c r="I123" s="271"/>
      <c r="J123" s="728"/>
      <c r="K123" s="264"/>
      <c r="L123" s="690">
        <f t="shared" si="14"/>
        <v>0</v>
      </c>
      <c r="M123" s="264"/>
      <c r="N123" s="690">
        <f t="shared" si="15"/>
        <v>0</v>
      </c>
      <c r="O123" s="264"/>
      <c r="P123" s="690">
        <f t="shared" si="16"/>
        <v>0</v>
      </c>
      <c r="Q123" s="411"/>
      <c r="R123" s="690">
        <f t="shared" si="17"/>
        <v>0</v>
      </c>
      <c r="S123" s="495"/>
      <c r="T123" s="690">
        <f t="shared" si="18"/>
        <v>0</v>
      </c>
      <c r="U123" s="85"/>
    </row>
    <row r="124" spans="1:21" ht="16.5" customHeight="1">
      <c r="A124" s="90" t="s">
        <v>84</v>
      </c>
      <c r="B124" s="544"/>
      <c r="C124" s="179" t="s">
        <v>49</v>
      </c>
      <c r="D124" s="616">
        <v>5000</v>
      </c>
      <c r="E124" s="99" t="s">
        <v>488</v>
      </c>
      <c r="F124" s="796"/>
      <c r="G124" s="336"/>
      <c r="H124" s="397"/>
      <c r="I124" s="271"/>
      <c r="J124" s="728">
        <v>3000</v>
      </c>
      <c r="K124" s="264"/>
      <c r="L124" s="690">
        <f t="shared" si="14"/>
        <v>5000</v>
      </c>
      <c r="M124" s="264"/>
      <c r="N124" s="690">
        <f t="shared" si="15"/>
        <v>5000</v>
      </c>
      <c r="O124" s="264"/>
      <c r="P124" s="690">
        <f t="shared" si="16"/>
        <v>5000</v>
      </c>
      <c r="Q124" s="411"/>
      <c r="R124" s="690">
        <f t="shared" si="17"/>
        <v>5000</v>
      </c>
      <c r="S124" s="495"/>
      <c r="T124" s="690">
        <f t="shared" si="18"/>
        <v>5000</v>
      </c>
      <c r="U124" s="85"/>
    </row>
    <row r="125" spans="1:21" ht="16.5" customHeight="1">
      <c r="A125" s="90" t="s">
        <v>85</v>
      </c>
      <c r="B125" s="544"/>
      <c r="C125" s="179" t="s">
        <v>49</v>
      </c>
      <c r="D125" s="616">
        <v>10000</v>
      </c>
      <c r="E125" s="99" t="s">
        <v>488</v>
      </c>
      <c r="F125" s="796"/>
      <c r="G125" s="336"/>
      <c r="H125" s="397"/>
      <c r="I125" s="271"/>
      <c r="J125" s="728"/>
      <c r="K125" s="264"/>
      <c r="L125" s="863">
        <f t="shared" si="14"/>
        <v>10000</v>
      </c>
      <c r="M125" s="864"/>
      <c r="N125" s="863">
        <v>15000</v>
      </c>
      <c r="O125" s="864"/>
      <c r="P125" s="863">
        <v>20000</v>
      </c>
      <c r="Q125" s="865"/>
      <c r="R125" s="863">
        <v>20000</v>
      </c>
      <c r="S125" s="866"/>
      <c r="T125" s="863">
        <v>20000</v>
      </c>
      <c r="U125" s="85"/>
    </row>
    <row r="126" spans="1:21" ht="16.5" customHeight="1">
      <c r="A126" s="90" t="s">
        <v>86</v>
      </c>
      <c r="B126" s="544"/>
      <c r="C126" s="179"/>
      <c r="D126" s="616"/>
      <c r="E126" s="99" t="s">
        <v>488</v>
      </c>
      <c r="F126" s="796"/>
      <c r="G126" s="336"/>
      <c r="H126" s="397"/>
      <c r="I126" s="271"/>
      <c r="J126" s="728"/>
      <c r="K126" s="264"/>
      <c r="L126" s="863">
        <v>10000</v>
      </c>
      <c r="M126" s="864"/>
      <c r="N126" s="863">
        <v>15000</v>
      </c>
      <c r="O126" s="864"/>
      <c r="P126" s="863">
        <v>20000</v>
      </c>
      <c r="Q126" s="865"/>
      <c r="R126" s="863">
        <v>20000</v>
      </c>
      <c r="S126" s="866"/>
      <c r="T126" s="863">
        <v>20000</v>
      </c>
      <c r="U126" s="85"/>
    </row>
    <row r="127" spans="1:21" ht="16.5" customHeight="1">
      <c r="A127" s="90" t="s">
        <v>87</v>
      </c>
      <c r="B127" s="544"/>
      <c r="C127" s="179"/>
      <c r="D127" s="616"/>
      <c r="E127" s="99" t="s">
        <v>488</v>
      </c>
      <c r="F127" s="796"/>
      <c r="G127" s="336"/>
      <c r="H127" s="397"/>
      <c r="I127" s="271"/>
      <c r="J127" s="728"/>
      <c r="K127" s="264"/>
      <c r="L127" s="690">
        <f t="shared" si="14"/>
        <v>0</v>
      </c>
      <c r="M127" s="264"/>
      <c r="N127" s="690">
        <f t="shared" si="15"/>
        <v>0</v>
      </c>
      <c r="O127" s="264"/>
      <c r="P127" s="690">
        <f t="shared" si="16"/>
        <v>0</v>
      </c>
      <c r="Q127" s="411"/>
      <c r="R127" s="690">
        <f t="shared" si="17"/>
        <v>0</v>
      </c>
      <c r="S127" s="495"/>
      <c r="T127" s="690">
        <f t="shared" si="18"/>
        <v>0</v>
      </c>
      <c r="U127" s="85"/>
    </row>
    <row r="128" spans="1:21" ht="16.5" customHeight="1">
      <c r="A128" s="90" t="s">
        <v>88</v>
      </c>
      <c r="B128" s="544"/>
      <c r="C128" s="179"/>
      <c r="D128" s="616"/>
      <c r="E128" s="99" t="s">
        <v>488</v>
      </c>
      <c r="F128" s="796"/>
      <c r="G128" s="336"/>
      <c r="H128" s="397"/>
      <c r="I128" s="271"/>
      <c r="J128" s="728"/>
      <c r="K128" s="264"/>
      <c r="L128" s="863">
        <v>20000</v>
      </c>
      <c r="M128" s="864"/>
      <c r="N128" s="863">
        <v>20000</v>
      </c>
      <c r="O128" s="864"/>
      <c r="P128" s="863">
        <v>25000</v>
      </c>
      <c r="Q128" s="865"/>
      <c r="R128" s="863">
        <v>25000</v>
      </c>
      <c r="S128" s="866"/>
      <c r="T128" s="863">
        <v>25000</v>
      </c>
      <c r="U128" s="85"/>
    </row>
    <row r="129" spans="1:21" ht="16.5" customHeight="1">
      <c r="A129" s="59"/>
      <c r="B129" s="544"/>
      <c r="C129" s="179"/>
      <c r="D129" s="616"/>
      <c r="E129" s="99" t="s">
        <v>488</v>
      </c>
      <c r="F129" s="796"/>
      <c r="G129" s="336"/>
      <c r="H129" s="397"/>
      <c r="I129" s="271"/>
      <c r="J129" s="728"/>
      <c r="K129" s="264"/>
      <c r="L129" s="690">
        <f t="shared" si="14"/>
        <v>0</v>
      </c>
      <c r="M129" s="264"/>
      <c r="N129" s="690">
        <f t="shared" si="15"/>
        <v>0</v>
      </c>
      <c r="O129" s="264"/>
      <c r="P129" s="690">
        <f t="shared" si="16"/>
        <v>0</v>
      </c>
      <c r="Q129" s="411"/>
      <c r="R129" s="690">
        <f t="shared" si="17"/>
        <v>0</v>
      </c>
      <c r="S129" s="495"/>
      <c r="T129" s="690">
        <f t="shared" si="18"/>
        <v>0</v>
      </c>
      <c r="U129" s="85"/>
    </row>
    <row r="130" spans="1:21" ht="16.5" customHeight="1">
      <c r="A130" s="59"/>
      <c r="B130" s="544"/>
      <c r="C130" s="179"/>
      <c r="D130" s="616"/>
      <c r="E130" s="99" t="s">
        <v>488</v>
      </c>
      <c r="F130" s="796"/>
      <c r="G130" s="336"/>
      <c r="H130" s="397"/>
      <c r="I130" s="271"/>
      <c r="J130" s="728"/>
      <c r="K130" s="264"/>
      <c r="L130" s="690">
        <f t="shared" si="14"/>
        <v>0</v>
      </c>
      <c r="M130" s="264"/>
      <c r="N130" s="690">
        <f t="shared" si="15"/>
        <v>0</v>
      </c>
      <c r="O130" s="264"/>
      <c r="P130" s="690">
        <f t="shared" si="16"/>
        <v>0</v>
      </c>
      <c r="Q130" s="411"/>
      <c r="R130" s="690">
        <f t="shared" si="17"/>
        <v>0</v>
      </c>
      <c r="S130" s="495"/>
      <c r="T130" s="690">
        <f t="shared" si="18"/>
        <v>0</v>
      </c>
      <c r="U130" s="85"/>
    </row>
    <row r="131" spans="1:21" ht="16.5" customHeight="1">
      <c r="A131" s="59"/>
      <c r="B131" s="544"/>
      <c r="C131" s="179"/>
      <c r="D131" s="616"/>
      <c r="E131" s="99" t="s">
        <v>488</v>
      </c>
      <c r="F131" s="796"/>
      <c r="G131" s="336"/>
      <c r="H131" s="397"/>
      <c r="I131" s="271"/>
      <c r="J131" s="728"/>
      <c r="K131" s="264"/>
      <c r="L131" s="690">
        <f t="shared" si="14"/>
        <v>0</v>
      </c>
      <c r="M131" s="264"/>
      <c r="N131" s="690">
        <f t="shared" si="15"/>
        <v>0</v>
      </c>
      <c r="O131" s="264"/>
      <c r="P131" s="690">
        <f t="shared" si="16"/>
        <v>0</v>
      </c>
      <c r="Q131" s="411"/>
      <c r="R131" s="690">
        <f t="shared" si="17"/>
        <v>0</v>
      </c>
      <c r="S131" s="495"/>
      <c r="T131" s="690">
        <f t="shared" si="18"/>
        <v>0</v>
      </c>
      <c r="U131" s="85"/>
    </row>
    <row r="132" spans="1:21" ht="16.5" customHeight="1">
      <c r="A132" s="59"/>
      <c r="B132" s="544"/>
      <c r="C132" s="179"/>
      <c r="D132" s="616"/>
      <c r="E132" s="99" t="s">
        <v>488</v>
      </c>
      <c r="F132" s="796"/>
      <c r="G132" s="336"/>
      <c r="H132" s="397"/>
      <c r="I132" s="271"/>
      <c r="J132" s="728"/>
      <c r="K132" s="264"/>
      <c r="L132" s="690">
        <f t="shared" si="14"/>
        <v>0</v>
      </c>
      <c r="M132" s="264"/>
      <c r="N132" s="690">
        <f t="shared" si="15"/>
        <v>0</v>
      </c>
      <c r="O132" s="264"/>
      <c r="P132" s="690">
        <f t="shared" si="16"/>
        <v>0</v>
      </c>
      <c r="Q132" s="411"/>
      <c r="R132" s="690">
        <f t="shared" si="17"/>
        <v>0</v>
      </c>
      <c r="S132" s="495"/>
      <c r="T132" s="690">
        <f t="shared" si="18"/>
        <v>0</v>
      </c>
      <c r="U132" s="85"/>
    </row>
    <row r="133" spans="1:21" ht="16.5" customHeight="1">
      <c r="A133" s="59"/>
      <c r="B133" s="544"/>
      <c r="C133" s="179"/>
      <c r="D133" s="616"/>
      <c r="E133" s="99" t="s">
        <v>488</v>
      </c>
      <c r="F133" s="796"/>
      <c r="G133" s="336"/>
      <c r="H133" s="397"/>
      <c r="I133" s="271"/>
      <c r="J133" s="728"/>
      <c r="K133" s="264"/>
      <c r="L133" s="690">
        <f t="shared" si="14"/>
        <v>0</v>
      </c>
      <c r="M133" s="264"/>
      <c r="N133" s="690">
        <f t="shared" si="15"/>
        <v>0</v>
      </c>
      <c r="O133" s="264"/>
      <c r="P133" s="690">
        <f t="shared" si="16"/>
        <v>0</v>
      </c>
      <c r="Q133" s="411"/>
      <c r="R133" s="690">
        <f t="shared" si="17"/>
        <v>0</v>
      </c>
      <c r="S133" s="495"/>
      <c r="T133" s="690">
        <f t="shared" si="18"/>
        <v>0</v>
      </c>
      <c r="U133" s="85"/>
    </row>
    <row r="134" spans="1:21" ht="16.5" customHeight="1">
      <c r="A134" s="59"/>
      <c r="B134" s="544"/>
      <c r="C134" s="179"/>
      <c r="D134" s="616"/>
      <c r="E134" s="99" t="s">
        <v>488</v>
      </c>
      <c r="F134" s="796"/>
      <c r="G134" s="336"/>
      <c r="H134" s="397"/>
      <c r="I134" s="271"/>
      <c r="J134" s="728"/>
      <c r="K134" s="264"/>
      <c r="L134" s="690">
        <f t="shared" si="14"/>
        <v>0</v>
      </c>
      <c r="M134" s="264"/>
      <c r="N134" s="690">
        <f t="shared" si="15"/>
        <v>0</v>
      </c>
      <c r="O134" s="264"/>
      <c r="P134" s="690">
        <f t="shared" si="16"/>
        <v>0</v>
      </c>
      <c r="Q134" s="411"/>
      <c r="R134" s="690">
        <f t="shared" si="17"/>
        <v>0</v>
      </c>
      <c r="S134" s="495"/>
      <c r="T134" s="690">
        <f t="shared" si="18"/>
        <v>0</v>
      </c>
      <c r="U134" s="85"/>
    </row>
    <row r="135" spans="1:21" ht="16.5" customHeight="1">
      <c r="A135" s="59"/>
      <c r="B135" s="544"/>
      <c r="C135" s="179"/>
      <c r="D135" s="616"/>
      <c r="E135" s="99" t="s">
        <v>488</v>
      </c>
      <c r="F135" s="796"/>
      <c r="G135" s="336"/>
      <c r="H135" s="397"/>
      <c r="I135" s="271"/>
      <c r="J135" s="728"/>
      <c r="K135" s="264"/>
      <c r="L135" s="690">
        <f t="shared" si="14"/>
        <v>0</v>
      </c>
      <c r="M135" s="264"/>
      <c r="N135" s="690">
        <f t="shared" si="15"/>
        <v>0</v>
      </c>
      <c r="O135" s="264"/>
      <c r="P135" s="690">
        <f t="shared" si="16"/>
        <v>0</v>
      </c>
      <c r="Q135" s="411"/>
      <c r="R135" s="690">
        <f t="shared" si="17"/>
        <v>0</v>
      </c>
      <c r="S135" s="495"/>
      <c r="T135" s="690">
        <f t="shared" si="18"/>
        <v>0</v>
      </c>
      <c r="U135" s="85"/>
    </row>
    <row r="136" spans="1:21" ht="16.5" customHeight="1">
      <c r="A136" s="59"/>
      <c r="B136" s="544"/>
      <c r="C136" s="179"/>
      <c r="D136" s="616"/>
      <c r="E136" s="99" t="s">
        <v>488</v>
      </c>
      <c r="F136" s="796"/>
      <c r="G136" s="336"/>
      <c r="H136" s="397"/>
      <c r="I136" s="271"/>
      <c r="J136" s="728"/>
      <c r="K136" s="264"/>
      <c r="L136" s="690">
        <f t="shared" si="14"/>
        <v>0</v>
      </c>
      <c r="M136" s="264"/>
      <c r="N136" s="690">
        <f t="shared" si="15"/>
        <v>0</v>
      </c>
      <c r="O136" s="264"/>
      <c r="P136" s="690">
        <f t="shared" si="16"/>
        <v>0</v>
      </c>
      <c r="Q136" s="411"/>
      <c r="R136" s="690">
        <f t="shared" si="17"/>
        <v>0</v>
      </c>
      <c r="S136" s="495"/>
      <c r="T136" s="690">
        <f t="shared" si="18"/>
        <v>0</v>
      </c>
      <c r="U136" s="85"/>
    </row>
    <row r="137" spans="1:21" ht="16.5" customHeight="1">
      <c r="A137" s="526"/>
      <c r="B137" s="466"/>
      <c r="C137" s="432"/>
      <c r="D137" s="432"/>
      <c r="E137" s="432"/>
      <c r="F137" s="432"/>
      <c r="G137" s="466"/>
      <c r="H137" s="538"/>
      <c r="I137" s="466"/>
      <c r="J137" s="321"/>
      <c r="K137" s="65"/>
      <c r="L137" s="321"/>
      <c r="M137" s="65"/>
      <c r="N137" s="321"/>
      <c r="O137" s="65"/>
      <c r="P137" s="321"/>
      <c r="Q137" s="732"/>
      <c r="R137" s="423"/>
      <c r="S137" s="402"/>
      <c r="T137" s="423"/>
    </row>
    <row r="138" spans="1:21" ht="16.5" customHeight="1">
      <c r="A138" s="151"/>
      <c r="B138" s="509"/>
      <c r="C138" s="512"/>
      <c r="D138" s="512"/>
      <c r="E138" s="512"/>
      <c r="F138" s="512"/>
      <c r="G138" s="352"/>
      <c r="H138" s="564" t="s">
        <v>89</v>
      </c>
      <c r="I138" s="300"/>
      <c r="J138" s="610">
        <f>SUM(J119:J136)</f>
        <v>4000</v>
      </c>
      <c r="K138" s="300"/>
      <c r="L138" s="610">
        <f>SUM(L119:L136)</f>
        <v>516850</v>
      </c>
      <c r="M138" s="300"/>
      <c r="N138" s="610">
        <f>SUM(N119:N136)</f>
        <v>880454</v>
      </c>
      <c r="O138" s="300"/>
      <c r="P138" s="610">
        <f>SUM(P119:P136)</f>
        <v>1041763</v>
      </c>
      <c r="Q138" s="302"/>
      <c r="R138" s="610">
        <f>SUM(R119:R136)</f>
        <v>1069978</v>
      </c>
      <c r="S138" s="154"/>
      <c r="T138" s="610">
        <f>SUM(T119:T136)</f>
        <v>1098558</v>
      </c>
      <c r="U138" s="676"/>
    </row>
    <row r="139" spans="1:21" ht="16.5" customHeight="1">
      <c r="A139" s="673"/>
      <c r="B139" s="65"/>
      <c r="C139" s="427"/>
      <c r="D139" s="427"/>
      <c r="E139" s="427"/>
      <c r="F139" s="427"/>
      <c r="G139" s="65"/>
      <c r="H139" s="191"/>
      <c r="I139" s="65"/>
      <c r="J139" s="601"/>
      <c r="K139" s="65"/>
      <c r="L139" s="601"/>
      <c r="M139" s="65"/>
      <c r="N139" s="601"/>
      <c r="O139" s="65"/>
      <c r="P139" s="601"/>
      <c r="Q139" s="732"/>
      <c r="R139" s="55"/>
      <c r="S139" s="402"/>
      <c r="T139" s="55"/>
    </row>
    <row r="140" spans="1:21" ht="18.75" customHeight="1">
      <c r="A140" s="564" t="s">
        <v>90</v>
      </c>
      <c r="B140" s="300"/>
      <c r="C140" s="179"/>
      <c r="D140" s="616"/>
      <c r="E140" s="99" t="s">
        <v>488</v>
      </c>
      <c r="F140" s="796"/>
      <c r="G140" s="300"/>
      <c r="H140" s="517"/>
      <c r="I140" s="300"/>
      <c r="J140" s="216"/>
      <c r="K140" s="300"/>
      <c r="L140" s="198">
        <f>IF(($C140="Per Employee"),($L$175*$D140),IF(($C140="Per Pupil"),($D140*$L$177),IF(($C140="Fixed Per Year"),$D140,0)))</f>
        <v>0</v>
      </c>
      <c r="M140" s="219"/>
      <c r="N140" s="198">
        <f>IF(($C140="Per Employee"),($N$175*$D140),IF(($C140="Per Pupil"),($D140*$N$177),IF(($C140="Fixed Per Year"),$D140)))*((1+$F140)^1)</f>
        <v>0</v>
      </c>
      <c r="O140" s="219"/>
      <c r="P140" s="198">
        <f>IF(($C140="Per Employee"),($P$175*$D140),IF(($C140="Per Pupil"),($D140*$P$177),IF(($C140="Fixed Per Year"),$D140)))*((1+$F140)^2)</f>
        <v>0</v>
      </c>
      <c r="Q140" s="46"/>
      <c r="R140" s="198">
        <f>IF(($C140="Per Employee"),($R$175*$D140),IF(($C140="Per Pupil"),($D140*$R$177),IF(($C140="Fixed Per Year"),$D140)))*((1+$F140)^3)</f>
        <v>0</v>
      </c>
      <c r="S140" s="220"/>
      <c r="T140" s="198">
        <f>IF(($C140="Per Employee"),($T$175*$D140),IF(($C140="Per Pupil"),($D140*$T$177),IF(($C140="Fixed Per Year"),$D140)))*((1+$F140)^4)</f>
        <v>0</v>
      </c>
      <c r="U140" s="676"/>
    </row>
    <row r="141" spans="1:21" ht="16.5" customHeight="1">
      <c r="A141" s="194"/>
      <c r="B141" s="65"/>
      <c r="C141" s="587"/>
      <c r="D141" s="587"/>
      <c r="E141" s="587"/>
      <c r="F141" s="587"/>
      <c r="G141" s="65"/>
      <c r="H141" s="102"/>
      <c r="I141" s="65"/>
      <c r="J141" s="834"/>
      <c r="K141" s="65"/>
      <c r="L141" s="834"/>
      <c r="M141" s="65"/>
      <c r="N141" s="834"/>
      <c r="O141" s="65"/>
      <c r="P141" s="834"/>
      <c r="Q141" s="732"/>
      <c r="R141" s="334"/>
      <c r="S141" s="402"/>
      <c r="T141" s="334"/>
    </row>
    <row r="142" spans="1:21" ht="18.75" customHeight="1">
      <c r="A142" s="564" t="s">
        <v>91</v>
      </c>
      <c r="B142" s="476"/>
      <c r="C142" s="161"/>
      <c r="D142" s="161"/>
      <c r="E142" s="161"/>
      <c r="F142" s="161"/>
      <c r="G142" s="509"/>
      <c r="H142" s="222"/>
      <c r="I142" s="509"/>
      <c r="J142" s="431"/>
      <c r="K142" s="65"/>
      <c r="L142" s="431"/>
      <c r="M142" s="65"/>
      <c r="N142" s="431"/>
      <c r="O142" s="65"/>
      <c r="P142" s="431"/>
      <c r="Q142" s="732"/>
      <c r="R142" s="189"/>
      <c r="S142" s="402"/>
      <c r="T142" s="189"/>
    </row>
    <row r="143" spans="1:21" ht="16.5" customHeight="1">
      <c r="A143" s="548" t="s">
        <v>87</v>
      </c>
      <c r="B143" s="544"/>
      <c r="C143" s="179"/>
      <c r="D143" s="616"/>
      <c r="E143" s="99" t="s">
        <v>488</v>
      </c>
      <c r="F143" s="796"/>
      <c r="G143" s="336"/>
      <c r="H143" s="397" t="s">
        <v>92</v>
      </c>
      <c r="I143" s="271"/>
      <c r="J143" s="728"/>
      <c r="K143" s="264"/>
      <c r="L143" s="690">
        <v>45000</v>
      </c>
      <c r="M143" s="264"/>
      <c r="N143" s="690">
        <v>47000</v>
      </c>
      <c r="O143" s="264"/>
      <c r="P143" s="690">
        <v>48000</v>
      </c>
      <c r="Q143" s="411"/>
      <c r="R143" s="690">
        <v>49000</v>
      </c>
      <c r="S143" s="495"/>
      <c r="T143" s="690">
        <v>50000</v>
      </c>
      <c r="U143" s="85"/>
    </row>
    <row r="144" spans="1:21" ht="16.5" customHeight="1">
      <c r="A144" s="857" t="s">
        <v>93</v>
      </c>
      <c r="B144" s="544"/>
      <c r="C144" s="179" t="s">
        <v>49</v>
      </c>
      <c r="D144" s="616">
        <v>56614</v>
      </c>
      <c r="E144" s="99" t="s">
        <v>488</v>
      </c>
      <c r="F144" s="796"/>
      <c r="G144" s="336"/>
      <c r="H144" s="397"/>
      <c r="I144" s="271"/>
      <c r="J144" s="728"/>
      <c r="K144" s="264"/>
      <c r="L144" s="690">
        <f t="shared" ref="L144:L155" si="19">IF(($C144="Per Employee"),($L$175*$D144),IF(($C144="Per Pupil"),($D144*$L$177),IF(($C144="Fixed Per Year"),$D144,0)))</f>
        <v>56614</v>
      </c>
      <c r="M144" s="264"/>
      <c r="N144" s="690">
        <f t="shared" ref="N144:N155" si="20">IF(($C144="Per Employee"),($N$175*$D144),IF(($C144="Per Pupil"),($D144*$N$177),IF(($C144="Fixed Per Year"),$D144)))*((1+$F144)^1)</f>
        <v>56614</v>
      </c>
      <c r="O144" s="264"/>
      <c r="P144" s="690">
        <f t="shared" ref="P144:P155" si="21">IF(($C144="Per Employee"),($P$175*$D144),IF(($C144="Per Pupil"),($D144*$P$177),IF(($C144="Fixed Per Year"),$D144)))*((1+$F144)^2)</f>
        <v>56614</v>
      </c>
      <c r="Q144" s="411"/>
      <c r="R144" s="690">
        <f t="shared" ref="R144:R155" si="22">IF(($C144="Per Employee"),($R$175*$D144),IF(($C144="Per Pupil"),($D144*$R$177),IF(($C144="Fixed Per Year"),$D144)))*((1+$F144)^3)</f>
        <v>56614</v>
      </c>
      <c r="S144" s="495"/>
      <c r="T144" s="690">
        <f t="shared" ref="T144:T155" si="23">IF(($C144="Per Employee"),($T$175*$D144),IF(($C144="Per Pupil"),($D144*$T$177),IF(($C144="Fixed Per Year"),$D144)))*((1+$F144)^4)</f>
        <v>56614</v>
      </c>
      <c r="U144" s="85"/>
    </row>
    <row r="145" spans="1:21" ht="16.5" customHeight="1">
      <c r="A145" s="857" t="s">
        <v>94</v>
      </c>
      <c r="B145" s="544"/>
      <c r="C145" s="179"/>
      <c r="D145" s="616"/>
      <c r="E145" s="99" t="s">
        <v>488</v>
      </c>
      <c r="F145" s="796"/>
      <c r="G145" s="336"/>
      <c r="H145" s="397"/>
      <c r="I145" s="271"/>
      <c r="J145" s="728"/>
      <c r="K145" s="264"/>
      <c r="L145" s="690">
        <f t="shared" si="19"/>
        <v>0</v>
      </c>
      <c r="M145" s="264"/>
      <c r="N145" s="690">
        <f t="shared" si="20"/>
        <v>0</v>
      </c>
      <c r="O145" s="264"/>
      <c r="P145" s="690">
        <f t="shared" si="21"/>
        <v>0</v>
      </c>
      <c r="Q145" s="411"/>
      <c r="R145" s="690">
        <f t="shared" si="22"/>
        <v>0</v>
      </c>
      <c r="S145" s="495"/>
      <c r="T145" s="690">
        <f t="shared" si="23"/>
        <v>0</v>
      </c>
      <c r="U145" s="85"/>
    </row>
    <row r="146" spans="1:21" ht="16.5" customHeight="1">
      <c r="A146" s="857" t="s">
        <v>95</v>
      </c>
      <c r="B146" s="544"/>
      <c r="C146" s="179"/>
      <c r="D146" s="616"/>
      <c r="E146" s="99" t="s">
        <v>488</v>
      </c>
      <c r="F146" s="796"/>
      <c r="G146" s="336"/>
      <c r="H146" s="397"/>
      <c r="I146" s="271"/>
      <c r="J146" s="728"/>
      <c r="K146" s="264"/>
      <c r="L146" s="690">
        <f t="shared" si="19"/>
        <v>0</v>
      </c>
      <c r="M146" s="264"/>
      <c r="N146" s="690">
        <f t="shared" si="20"/>
        <v>0</v>
      </c>
      <c r="O146" s="264"/>
      <c r="P146" s="690">
        <f t="shared" si="21"/>
        <v>0</v>
      </c>
      <c r="Q146" s="411"/>
      <c r="R146" s="690">
        <f t="shared" si="22"/>
        <v>0</v>
      </c>
      <c r="S146" s="495"/>
      <c r="T146" s="690">
        <f t="shared" si="23"/>
        <v>0</v>
      </c>
      <c r="U146" s="85"/>
    </row>
    <row r="147" spans="1:21" ht="16.5" customHeight="1">
      <c r="A147" s="857" t="s">
        <v>96</v>
      </c>
      <c r="B147" s="544"/>
      <c r="C147" s="179"/>
      <c r="D147" s="616"/>
      <c r="E147" s="99" t="s">
        <v>488</v>
      </c>
      <c r="F147" s="796"/>
      <c r="G147" s="336"/>
      <c r="H147" s="397"/>
      <c r="I147" s="271"/>
      <c r="J147" s="728"/>
      <c r="K147" s="264"/>
      <c r="L147" s="690">
        <f t="shared" si="19"/>
        <v>0</v>
      </c>
      <c r="M147" s="264"/>
      <c r="N147" s="690">
        <f t="shared" si="20"/>
        <v>0</v>
      </c>
      <c r="O147" s="264"/>
      <c r="P147" s="690">
        <f t="shared" si="21"/>
        <v>0</v>
      </c>
      <c r="Q147" s="411"/>
      <c r="R147" s="690">
        <f t="shared" si="22"/>
        <v>0</v>
      </c>
      <c r="S147" s="495"/>
      <c r="T147" s="690">
        <f t="shared" si="23"/>
        <v>0</v>
      </c>
      <c r="U147" s="85"/>
    </row>
    <row r="148" spans="1:21" ht="16.5" customHeight="1">
      <c r="A148" s="862" t="s">
        <v>38</v>
      </c>
      <c r="B148" s="544"/>
      <c r="C148" s="179" t="s">
        <v>49</v>
      </c>
      <c r="D148" s="616">
        <v>15000</v>
      </c>
      <c r="E148" s="99" t="s">
        <v>488</v>
      </c>
      <c r="F148" s="796"/>
      <c r="G148" s="336"/>
      <c r="H148" s="397"/>
      <c r="I148" s="271"/>
      <c r="J148" s="728">
        <v>10000</v>
      </c>
      <c r="K148" s="264"/>
      <c r="L148" s="690">
        <f t="shared" si="19"/>
        <v>15000</v>
      </c>
      <c r="M148" s="264"/>
      <c r="N148" s="690">
        <f t="shared" si="20"/>
        <v>15000</v>
      </c>
      <c r="O148" s="264"/>
      <c r="P148" s="690">
        <f t="shared" si="21"/>
        <v>15000</v>
      </c>
      <c r="Q148" s="411"/>
      <c r="R148" s="690">
        <f t="shared" si="22"/>
        <v>15000</v>
      </c>
      <c r="S148" s="495"/>
      <c r="T148" s="690">
        <f t="shared" si="23"/>
        <v>15000</v>
      </c>
      <c r="U148" s="85"/>
    </row>
    <row r="149" spans="1:21" ht="16.5" customHeight="1">
      <c r="A149" s="477"/>
      <c r="B149" s="544"/>
      <c r="C149" s="179"/>
      <c r="D149" s="616"/>
      <c r="E149" s="99" t="s">
        <v>488</v>
      </c>
      <c r="F149" s="796"/>
      <c r="G149" s="336"/>
      <c r="H149" s="397"/>
      <c r="I149" s="271"/>
      <c r="J149" s="728"/>
      <c r="K149" s="264"/>
      <c r="L149" s="690">
        <f t="shared" si="19"/>
        <v>0</v>
      </c>
      <c r="M149" s="264"/>
      <c r="N149" s="690">
        <f t="shared" si="20"/>
        <v>0</v>
      </c>
      <c r="O149" s="264"/>
      <c r="P149" s="690">
        <f t="shared" si="21"/>
        <v>0</v>
      </c>
      <c r="Q149" s="411"/>
      <c r="R149" s="690">
        <f t="shared" si="22"/>
        <v>0</v>
      </c>
      <c r="S149" s="495"/>
      <c r="T149" s="690">
        <f t="shared" si="23"/>
        <v>0</v>
      </c>
      <c r="U149" s="85"/>
    </row>
    <row r="150" spans="1:21" ht="16.5" customHeight="1">
      <c r="A150" s="477"/>
      <c r="B150" s="544"/>
      <c r="C150" s="179"/>
      <c r="D150" s="616"/>
      <c r="E150" s="99" t="s">
        <v>488</v>
      </c>
      <c r="F150" s="796"/>
      <c r="G150" s="336"/>
      <c r="H150" s="397"/>
      <c r="I150" s="271"/>
      <c r="J150" s="728"/>
      <c r="K150" s="264"/>
      <c r="L150" s="690">
        <f t="shared" si="19"/>
        <v>0</v>
      </c>
      <c r="M150" s="264"/>
      <c r="N150" s="690">
        <f t="shared" si="20"/>
        <v>0</v>
      </c>
      <c r="O150" s="264"/>
      <c r="P150" s="690">
        <f t="shared" si="21"/>
        <v>0</v>
      </c>
      <c r="Q150" s="411"/>
      <c r="R150" s="690">
        <f t="shared" si="22"/>
        <v>0</v>
      </c>
      <c r="S150" s="495"/>
      <c r="T150" s="690">
        <f t="shared" si="23"/>
        <v>0</v>
      </c>
      <c r="U150" s="85"/>
    </row>
    <row r="151" spans="1:21" ht="16.5" customHeight="1">
      <c r="A151" s="477"/>
      <c r="B151" s="544"/>
      <c r="C151" s="179"/>
      <c r="D151" s="616"/>
      <c r="E151" s="99" t="s">
        <v>488</v>
      </c>
      <c r="F151" s="796"/>
      <c r="G151" s="336"/>
      <c r="H151" s="397"/>
      <c r="I151" s="271"/>
      <c r="J151" s="728"/>
      <c r="K151" s="264"/>
      <c r="L151" s="690">
        <f t="shared" si="19"/>
        <v>0</v>
      </c>
      <c r="M151" s="264"/>
      <c r="N151" s="690">
        <f t="shared" si="20"/>
        <v>0</v>
      </c>
      <c r="O151" s="264"/>
      <c r="P151" s="690">
        <f t="shared" si="21"/>
        <v>0</v>
      </c>
      <c r="Q151" s="411"/>
      <c r="R151" s="690">
        <f t="shared" si="22"/>
        <v>0</v>
      </c>
      <c r="S151" s="495"/>
      <c r="T151" s="690">
        <f t="shared" si="23"/>
        <v>0</v>
      </c>
      <c r="U151" s="85"/>
    </row>
    <row r="152" spans="1:21" ht="16.5" customHeight="1">
      <c r="A152" s="477"/>
      <c r="B152" s="544"/>
      <c r="C152" s="179"/>
      <c r="D152" s="616"/>
      <c r="E152" s="99" t="s">
        <v>488</v>
      </c>
      <c r="F152" s="796"/>
      <c r="G152" s="336"/>
      <c r="H152" s="397"/>
      <c r="I152" s="271"/>
      <c r="J152" s="728"/>
      <c r="K152" s="264"/>
      <c r="L152" s="690">
        <f t="shared" si="19"/>
        <v>0</v>
      </c>
      <c r="M152" s="264"/>
      <c r="N152" s="690">
        <f t="shared" si="20"/>
        <v>0</v>
      </c>
      <c r="O152" s="264"/>
      <c r="P152" s="690">
        <f t="shared" si="21"/>
        <v>0</v>
      </c>
      <c r="Q152" s="411"/>
      <c r="R152" s="690">
        <f t="shared" si="22"/>
        <v>0</v>
      </c>
      <c r="S152" s="495"/>
      <c r="T152" s="690">
        <f t="shared" si="23"/>
        <v>0</v>
      </c>
      <c r="U152" s="85"/>
    </row>
    <row r="153" spans="1:21" ht="16.5" customHeight="1">
      <c r="A153" s="477"/>
      <c r="B153" s="544"/>
      <c r="C153" s="179"/>
      <c r="D153" s="616"/>
      <c r="E153" s="99" t="s">
        <v>488</v>
      </c>
      <c r="F153" s="796"/>
      <c r="G153" s="336"/>
      <c r="H153" s="397"/>
      <c r="I153" s="271"/>
      <c r="J153" s="728"/>
      <c r="K153" s="264"/>
      <c r="L153" s="690">
        <f t="shared" si="19"/>
        <v>0</v>
      </c>
      <c r="M153" s="264"/>
      <c r="N153" s="690">
        <f t="shared" si="20"/>
        <v>0</v>
      </c>
      <c r="O153" s="264"/>
      <c r="P153" s="690">
        <f t="shared" si="21"/>
        <v>0</v>
      </c>
      <c r="Q153" s="411"/>
      <c r="R153" s="690">
        <f t="shared" si="22"/>
        <v>0</v>
      </c>
      <c r="S153" s="495"/>
      <c r="T153" s="690">
        <f t="shared" si="23"/>
        <v>0</v>
      </c>
      <c r="U153" s="85"/>
    </row>
    <row r="154" spans="1:21" ht="16.5" customHeight="1">
      <c r="A154" s="477"/>
      <c r="B154" s="544"/>
      <c r="C154" s="179"/>
      <c r="D154" s="616"/>
      <c r="E154" s="99" t="s">
        <v>488</v>
      </c>
      <c r="F154" s="796"/>
      <c r="G154" s="336"/>
      <c r="H154" s="397"/>
      <c r="I154" s="271"/>
      <c r="J154" s="728"/>
      <c r="K154" s="264"/>
      <c r="L154" s="690">
        <f t="shared" si="19"/>
        <v>0</v>
      </c>
      <c r="M154" s="264"/>
      <c r="N154" s="690">
        <f t="shared" si="20"/>
        <v>0</v>
      </c>
      <c r="O154" s="264"/>
      <c r="P154" s="690">
        <f t="shared" si="21"/>
        <v>0</v>
      </c>
      <c r="Q154" s="411"/>
      <c r="R154" s="690">
        <f t="shared" si="22"/>
        <v>0</v>
      </c>
      <c r="S154" s="495"/>
      <c r="T154" s="690">
        <f t="shared" si="23"/>
        <v>0</v>
      </c>
      <c r="U154" s="85"/>
    </row>
    <row r="155" spans="1:21" ht="16.5" customHeight="1">
      <c r="A155" s="477"/>
      <c r="B155" s="544"/>
      <c r="C155" s="179"/>
      <c r="D155" s="616"/>
      <c r="E155" s="99" t="s">
        <v>488</v>
      </c>
      <c r="F155" s="796"/>
      <c r="G155" s="336"/>
      <c r="H155" s="397"/>
      <c r="I155" s="271"/>
      <c r="J155" s="728"/>
      <c r="K155" s="264"/>
      <c r="L155" s="690">
        <f t="shared" si="19"/>
        <v>0</v>
      </c>
      <c r="M155" s="264"/>
      <c r="N155" s="690">
        <f t="shared" si="20"/>
        <v>0</v>
      </c>
      <c r="O155" s="264"/>
      <c r="P155" s="690">
        <f t="shared" si="21"/>
        <v>0</v>
      </c>
      <c r="Q155" s="411"/>
      <c r="R155" s="690">
        <f t="shared" si="22"/>
        <v>0</v>
      </c>
      <c r="S155" s="495"/>
      <c r="T155" s="690">
        <f t="shared" si="23"/>
        <v>0</v>
      </c>
      <c r="U155" s="85"/>
    </row>
    <row r="156" spans="1:21" ht="16.5" customHeight="1">
      <c r="A156" s="526"/>
      <c r="B156" s="466"/>
      <c r="C156" s="432"/>
      <c r="D156" s="432"/>
      <c r="E156" s="432"/>
      <c r="F156" s="432"/>
      <c r="G156" s="466"/>
      <c r="H156" s="538"/>
      <c r="I156" s="466"/>
      <c r="J156" s="321"/>
      <c r="K156" s="65"/>
      <c r="L156" s="321"/>
      <c r="M156" s="65"/>
      <c r="N156" s="321"/>
      <c r="O156" s="65"/>
      <c r="P156" s="321"/>
      <c r="Q156" s="732"/>
      <c r="R156" s="423"/>
      <c r="S156" s="402"/>
      <c r="T156" s="423"/>
    </row>
    <row r="157" spans="1:21" ht="16.5" customHeight="1">
      <c r="A157" s="151"/>
      <c r="B157" s="509"/>
      <c r="C157" s="512"/>
      <c r="D157" s="512"/>
      <c r="E157" s="512"/>
      <c r="F157" s="512"/>
      <c r="G157" s="352"/>
      <c r="H157" s="564" t="s">
        <v>97</v>
      </c>
      <c r="I157" s="300"/>
      <c r="J157" s="610">
        <f>SUM(J143:J155)</f>
        <v>10000</v>
      </c>
      <c r="K157" s="300"/>
      <c r="L157" s="610">
        <f>SUM(L143:L155)</f>
        <v>116614</v>
      </c>
      <c r="M157" s="300"/>
      <c r="N157" s="610">
        <f>SUM(N143:N155)</f>
        <v>118614</v>
      </c>
      <c r="O157" s="300"/>
      <c r="P157" s="610">
        <f>SUM(P143:P155)</f>
        <v>119614</v>
      </c>
      <c r="Q157" s="302"/>
      <c r="R157" s="610">
        <f>SUM(R143:R155)</f>
        <v>120614</v>
      </c>
      <c r="S157" s="154"/>
      <c r="T157" s="610">
        <f>SUM(T143:T155)</f>
        <v>121614</v>
      </c>
      <c r="U157" s="676"/>
    </row>
    <row r="158" spans="1:21" ht="16.5" customHeight="1">
      <c r="A158" s="151"/>
      <c r="B158" s="65"/>
      <c r="C158" s="480"/>
      <c r="D158" s="480"/>
      <c r="E158" s="480"/>
      <c r="F158" s="480"/>
      <c r="G158" s="65"/>
      <c r="H158" s="194"/>
      <c r="I158" s="65"/>
      <c r="J158" s="601"/>
      <c r="K158" s="65"/>
      <c r="L158" s="601"/>
      <c r="M158" s="65"/>
      <c r="N158" s="601"/>
      <c r="O158" s="65"/>
      <c r="P158" s="601"/>
      <c r="Q158" s="732"/>
      <c r="R158" s="55"/>
      <c r="S158" s="402"/>
      <c r="T158" s="55"/>
    </row>
    <row r="159" spans="1:21" ht="16.5" customHeight="1">
      <c r="A159" s="151"/>
      <c r="B159" s="509"/>
      <c r="C159" s="512"/>
      <c r="D159" s="512"/>
      <c r="E159" s="512"/>
      <c r="F159" s="512"/>
      <c r="G159" s="352"/>
      <c r="H159" s="564" t="s">
        <v>98</v>
      </c>
      <c r="I159" s="300"/>
      <c r="J159" s="610">
        <f>((((J64+J92)+J116)+J138)+J140)+J157</f>
        <v>232460.44</v>
      </c>
      <c r="K159" s="300"/>
      <c r="L159" s="610">
        <f>((((L64+L92)+L116)+L138)+L140)+L157</f>
        <v>3842214.55</v>
      </c>
      <c r="M159" s="300"/>
      <c r="N159" s="610">
        <f>((((N64+N92)+N116)+N138)+N140)+N157</f>
        <v>4695466</v>
      </c>
      <c r="O159" s="300"/>
      <c r="P159" s="610">
        <f>((((P64+P92)+P116)+P138)+P140)+P157</f>
        <v>5399140.5075000003</v>
      </c>
      <c r="Q159" s="302"/>
      <c r="R159" s="610">
        <f>((((R64+R92)+R116)+R138)+R140)+R157</f>
        <v>5816607.2755124997</v>
      </c>
      <c r="S159" s="154"/>
      <c r="T159" s="610">
        <f>((((T64+T92)+T116)+T138)+T140)+T157</f>
        <v>6479716.0485424995</v>
      </c>
      <c r="U159" s="676"/>
    </row>
    <row r="160" spans="1:21" ht="16.5" customHeight="1">
      <c r="A160" s="223"/>
      <c r="B160" s="65"/>
      <c r="C160" s="480"/>
      <c r="D160" s="480"/>
      <c r="E160" s="480"/>
      <c r="F160" s="480"/>
      <c r="G160" s="65"/>
      <c r="H160" s="191"/>
      <c r="I160" s="65"/>
      <c r="J160" s="601"/>
      <c r="K160" s="65"/>
      <c r="L160" s="601"/>
      <c r="M160" s="65"/>
      <c r="N160" s="601"/>
      <c r="O160" s="65"/>
      <c r="P160" s="601"/>
      <c r="Q160" s="732"/>
      <c r="R160" s="55"/>
      <c r="S160" s="402"/>
      <c r="T160" s="55"/>
    </row>
    <row r="161" spans="1:21" ht="16.5" customHeight="1">
      <c r="A161" s="151"/>
      <c r="B161" s="215"/>
      <c r="C161" s="643"/>
      <c r="D161" s="643"/>
      <c r="E161" s="643"/>
      <c r="F161" s="643"/>
      <c r="G161" s="794"/>
      <c r="H161" s="106" t="s">
        <v>99</v>
      </c>
      <c r="I161" s="68"/>
      <c r="J161" s="130">
        <f>J35-J159</f>
        <v>252539.56</v>
      </c>
      <c r="K161" s="799"/>
      <c r="L161" s="130">
        <f>L35-L159</f>
        <v>1089343.9500000002</v>
      </c>
      <c r="M161" s="799"/>
      <c r="N161" s="130">
        <f>N35-N159</f>
        <v>195438.16000000015</v>
      </c>
      <c r="O161" s="300"/>
      <c r="P161" s="130">
        <f>P35-P159</f>
        <v>168743.09249999933</v>
      </c>
      <c r="Q161" s="302"/>
      <c r="R161" s="130">
        <f>R35-R159</f>
        <v>465838.92448750045</v>
      </c>
      <c r="S161" s="188"/>
      <c r="T161" s="130">
        <f>T35-T159</f>
        <v>557082.75145750027</v>
      </c>
      <c r="U161" s="676"/>
    </row>
    <row r="162" spans="1:21" ht="16.5" customHeight="1">
      <c r="A162" s="521"/>
      <c r="B162" s="53"/>
      <c r="C162" s="480"/>
      <c r="D162" s="480"/>
      <c r="E162" s="480"/>
      <c r="F162" s="480"/>
      <c r="G162" s="53"/>
      <c r="H162" s="191"/>
      <c r="I162" s="53"/>
      <c r="J162" s="55"/>
      <c r="K162" s="53"/>
      <c r="L162" s="55"/>
      <c r="M162" s="53"/>
      <c r="N162" s="55"/>
      <c r="O162" s="53"/>
      <c r="P162" s="55"/>
      <c r="Q162" s="767"/>
      <c r="R162" s="55"/>
      <c r="S162" s="402"/>
      <c r="T162" s="55"/>
    </row>
    <row r="163" spans="1:21" ht="16.5" customHeight="1">
      <c r="A163" s="521"/>
      <c r="B163" s="53"/>
      <c r="C163" s="480"/>
      <c r="D163" s="480"/>
      <c r="E163" s="480"/>
      <c r="F163" s="480"/>
      <c r="G163" s="685"/>
      <c r="H163" s="798" t="s">
        <v>100</v>
      </c>
      <c r="I163" s="68"/>
      <c r="J163" s="484">
        <f>0</f>
        <v>0</v>
      </c>
      <c r="K163" s="68"/>
      <c r="L163" s="641">
        <f>J165</f>
        <v>252539.56</v>
      </c>
      <c r="M163" s="62"/>
      <c r="N163" s="641">
        <f>L165</f>
        <v>1341883.5100000002</v>
      </c>
      <c r="O163" s="62"/>
      <c r="P163" s="641">
        <f>N165</f>
        <v>1537321.6700000004</v>
      </c>
      <c r="Q163" s="487"/>
      <c r="R163" s="641">
        <f>P165</f>
        <v>1706064.7624999997</v>
      </c>
      <c r="S163" s="487"/>
      <c r="T163" s="641">
        <f>R165</f>
        <v>2171903.6869875002</v>
      </c>
      <c r="U163" s="676"/>
    </row>
    <row r="164" spans="1:21" ht="16.5" customHeight="1">
      <c r="A164" s="215"/>
      <c r="B164" s="688"/>
      <c r="D164" s="512"/>
      <c r="E164" s="512"/>
      <c r="F164" s="512"/>
      <c r="G164" s="649"/>
      <c r="H164" s="798" t="s">
        <v>101</v>
      </c>
      <c r="I164" s="22"/>
      <c r="J164" s="641">
        <f>J161</f>
        <v>252539.56</v>
      </c>
      <c r="K164" s="68"/>
      <c r="L164" s="641">
        <f>L161</f>
        <v>1089343.9500000002</v>
      </c>
      <c r="M164" s="62"/>
      <c r="N164" s="641">
        <f>N161</f>
        <v>195438.16000000015</v>
      </c>
      <c r="O164" s="62"/>
      <c r="P164" s="641">
        <f>P161</f>
        <v>168743.09249999933</v>
      </c>
      <c r="Q164" s="487"/>
      <c r="R164" s="641">
        <f>R161</f>
        <v>465838.92448750045</v>
      </c>
      <c r="S164" s="487"/>
      <c r="T164" s="641">
        <f>T161</f>
        <v>557082.75145750027</v>
      </c>
      <c r="U164" s="676"/>
    </row>
    <row r="165" spans="1:21" ht="16.5" customHeight="1">
      <c r="A165" s="215"/>
      <c r="B165" s="688"/>
      <c r="D165" s="512"/>
      <c r="E165" s="512"/>
      <c r="F165" s="512"/>
      <c r="G165" s="649"/>
      <c r="H165" s="474" t="s">
        <v>0</v>
      </c>
      <c r="I165" s="22"/>
      <c r="J165" s="641">
        <f>J163+J164</f>
        <v>252539.56</v>
      </c>
      <c r="K165" s="22"/>
      <c r="L165" s="641">
        <f>L163+L164</f>
        <v>1341883.5100000002</v>
      </c>
      <c r="M165" s="742"/>
      <c r="N165" s="641">
        <f>N163+N164</f>
        <v>1537321.6700000004</v>
      </c>
      <c r="O165" s="742"/>
      <c r="P165" s="641">
        <f>P163+P164</f>
        <v>1706064.7624999997</v>
      </c>
      <c r="Q165" s="188"/>
      <c r="R165" s="641">
        <f>R163+R164</f>
        <v>2171903.6869875002</v>
      </c>
      <c r="S165" s="487"/>
      <c r="T165" s="641">
        <f>T163+T164</f>
        <v>2728986.4384450004</v>
      </c>
      <c r="U165" s="676"/>
    </row>
    <row r="166" spans="1:21" ht="15.75" customHeight="1">
      <c r="A166" s="215"/>
      <c r="B166" s="215"/>
      <c r="D166" s="643"/>
      <c r="E166" s="643"/>
      <c r="F166" s="643"/>
      <c r="G166" s="215"/>
      <c r="H166" s="658"/>
      <c r="I166" s="215"/>
      <c r="J166" s="589"/>
      <c r="K166" s="215"/>
      <c r="L166" s="589"/>
      <c r="M166" s="215"/>
      <c r="N166" s="589"/>
      <c r="O166" s="215"/>
      <c r="P166" s="589"/>
      <c r="Q166" s="60"/>
      <c r="R166" s="589"/>
      <c r="S166" s="402"/>
      <c r="T166" s="391"/>
    </row>
    <row r="167" spans="1:21" ht="15.75" customHeight="1">
      <c r="A167" s="215"/>
      <c r="B167" s="215"/>
      <c r="D167" s="643"/>
      <c r="E167" s="643"/>
      <c r="F167" s="643"/>
      <c r="G167" s="215"/>
      <c r="H167" s="215"/>
      <c r="I167" s="215"/>
      <c r="J167" s="693"/>
      <c r="K167" s="215"/>
      <c r="L167" s="693"/>
      <c r="M167" s="215"/>
      <c r="N167" s="693"/>
      <c r="O167" s="215"/>
      <c r="P167" s="693"/>
      <c r="Q167" s="60"/>
      <c r="R167" s="693"/>
      <c r="S167" s="402"/>
      <c r="T167" s="151"/>
    </row>
    <row r="168" spans="1:21" ht="15.75" customHeight="1">
      <c r="A168" s="215"/>
      <c r="B168" s="215"/>
      <c r="D168" s="643"/>
      <c r="E168" s="643"/>
      <c r="F168" s="643"/>
      <c r="G168" s="215"/>
      <c r="H168" s="215"/>
      <c r="I168" s="215"/>
      <c r="J168" s="693"/>
      <c r="K168" s="215"/>
      <c r="L168" s="693"/>
      <c r="M168" s="215"/>
      <c r="N168" s="693"/>
      <c r="O168" s="215"/>
      <c r="P168" s="693"/>
      <c r="Q168" s="60"/>
      <c r="R168" s="693"/>
      <c r="S168" s="402"/>
      <c r="T168" s="151"/>
    </row>
    <row r="169" spans="1:21">
      <c r="A169" s="151"/>
      <c r="B169" s="151"/>
      <c r="D169" s="232"/>
      <c r="E169" s="232"/>
      <c r="F169" s="232"/>
      <c r="G169" s="151"/>
      <c r="H169" s="151"/>
      <c r="I169" s="151"/>
      <c r="J169" s="151"/>
      <c r="K169" s="151"/>
      <c r="L169" s="151"/>
      <c r="M169" s="151"/>
      <c r="N169" s="151"/>
      <c r="O169" s="151"/>
      <c r="P169" s="151"/>
      <c r="R169" s="151"/>
      <c r="T169" s="151"/>
    </row>
    <row r="170" spans="1:21">
      <c r="A170" s="151"/>
      <c r="B170" s="151"/>
      <c r="G170" s="151"/>
      <c r="H170" s="151"/>
      <c r="I170" s="151"/>
      <c r="J170" s="151"/>
      <c r="K170" s="151"/>
      <c r="L170" s="151"/>
      <c r="M170" s="151"/>
      <c r="N170" s="151"/>
      <c r="O170" s="151"/>
      <c r="P170" s="151"/>
      <c r="R170" s="151"/>
      <c r="T170" s="151"/>
    </row>
    <row r="171" spans="1:21">
      <c r="A171" s="151"/>
      <c r="B171" s="151"/>
      <c r="G171" s="151"/>
      <c r="H171" s="518"/>
      <c r="I171" s="518"/>
      <c r="J171" s="151"/>
      <c r="K171" s="151"/>
      <c r="L171" s="151"/>
      <c r="M171" s="151"/>
      <c r="N171" s="151"/>
      <c r="O171" s="151"/>
      <c r="P171" s="151"/>
      <c r="R171" s="151"/>
      <c r="T171" s="151"/>
    </row>
    <row r="172" spans="1:21" ht="13.5" customHeight="1">
      <c r="A172" s="151"/>
      <c r="B172" s="151"/>
      <c r="G172" s="151"/>
      <c r="H172" s="518"/>
      <c r="I172" s="518"/>
      <c r="J172" s="456"/>
      <c r="K172" s="456"/>
      <c r="L172" s="456"/>
      <c r="M172" s="456"/>
      <c r="N172" s="456"/>
      <c r="O172" s="456"/>
      <c r="P172" s="456"/>
      <c r="Q172" s="229"/>
      <c r="R172" s="456"/>
      <c r="S172" s="229"/>
      <c r="T172" s="456"/>
    </row>
    <row r="173" spans="1:21" ht="13.5" customHeight="1">
      <c r="A173" s="151"/>
      <c r="B173" s="151"/>
      <c r="G173" s="151"/>
      <c r="H173" s="374"/>
      <c r="I173" s="739"/>
      <c r="J173" s="915" t="s">
        <v>1</v>
      </c>
      <c r="K173" s="916"/>
      <c r="L173" s="916"/>
      <c r="M173" s="916"/>
      <c r="N173" s="916"/>
      <c r="O173" s="916"/>
      <c r="P173" s="916"/>
      <c r="Q173" s="916"/>
      <c r="R173" s="916"/>
      <c r="S173" s="916"/>
      <c r="T173" s="874"/>
      <c r="U173" s="676"/>
    </row>
    <row r="174" spans="1:21" ht="16.5" customHeight="1">
      <c r="A174" s="151"/>
      <c r="B174" s="151"/>
      <c r="G174" s="151"/>
      <c r="H174" s="518"/>
      <c r="I174" s="582"/>
      <c r="J174" s="407" t="s">
        <v>484</v>
      </c>
      <c r="K174" s="20"/>
      <c r="L174" s="841">
        <f>L9</f>
        <v>1</v>
      </c>
      <c r="M174" s="20"/>
      <c r="N174" s="841">
        <f>N9</f>
        <v>2</v>
      </c>
      <c r="O174" s="20"/>
      <c r="P174" s="841">
        <f>P9</f>
        <v>3</v>
      </c>
      <c r="Q174" s="20"/>
      <c r="R174" s="841">
        <f>R9</f>
        <v>4</v>
      </c>
      <c r="S174" s="20"/>
      <c r="T174" s="841">
        <f>T9</f>
        <v>5</v>
      </c>
      <c r="U174" s="676"/>
    </row>
    <row r="175" spans="1:21" ht="40.5" customHeight="1">
      <c r="A175" s="151"/>
      <c r="B175" s="151"/>
      <c r="G175" s="151"/>
      <c r="H175" s="151"/>
      <c r="I175" s="400"/>
      <c r="J175" s="407" t="s">
        <v>2</v>
      </c>
      <c r="K175" s="20"/>
      <c r="L175" s="787">
        <f>Personnel!G191</f>
        <v>47.5</v>
      </c>
      <c r="M175" s="20"/>
      <c r="N175" s="787">
        <f>Personnel!I191</f>
        <v>56.5</v>
      </c>
      <c r="O175" s="20"/>
      <c r="P175" s="787">
        <f>Personnel!K191</f>
        <v>63.5</v>
      </c>
      <c r="Q175" s="20"/>
      <c r="R175" s="787">
        <f>Personnel!M191</f>
        <v>69</v>
      </c>
      <c r="S175" s="20"/>
      <c r="T175" s="787">
        <f>Personnel!O191</f>
        <v>78</v>
      </c>
      <c r="U175" s="676"/>
    </row>
    <row r="176" spans="1:21" ht="40.5" customHeight="1">
      <c r="A176" s="151"/>
      <c r="B176" s="151"/>
      <c r="G176" s="151"/>
      <c r="H176" s="151"/>
      <c r="I176" s="400"/>
      <c r="J176" s="407" t="s">
        <v>3</v>
      </c>
      <c r="K176" s="20"/>
      <c r="L176" s="139">
        <f>Personnel!G189</f>
        <v>1905900</v>
      </c>
      <c r="M176" s="20"/>
      <c r="N176" s="139">
        <f>Personnel!I189</f>
        <v>2250500</v>
      </c>
      <c r="O176" s="20"/>
      <c r="P176" s="139">
        <f>Personnel!K189</f>
        <v>2612700</v>
      </c>
      <c r="Q176" s="20"/>
      <c r="R176" s="139">
        <f>Personnel!M189</f>
        <v>2859150</v>
      </c>
      <c r="S176" s="20"/>
      <c r="T176" s="139">
        <f>Personnel!O189</f>
        <v>3257000</v>
      </c>
      <c r="U176" s="676"/>
    </row>
    <row r="177" spans="1:21" ht="40.5" customHeight="1">
      <c r="A177" s="151"/>
      <c r="B177" s="151"/>
      <c r="G177" s="151"/>
      <c r="H177" s="151"/>
      <c r="I177" s="400"/>
      <c r="J177" s="407" t="s">
        <v>230</v>
      </c>
      <c r="K177" s="20"/>
      <c r="L177" s="787">
        <f>'Revenues-Fed, State, &amp; Expan. '!E97</f>
        <v>450</v>
      </c>
      <c r="M177" s="20"/>
      <c r="N177" s="787">
        <f>'Revenues-Fed, State, &amp; Expan. '!G97</f>
        <v>525</v>
      </c>
      <c r="O177" s="20"/>
      <c r="P177" s="787">
        <f>'Revenues-Fed, State, &amp; Expan. '!I97</f>
        <v>595</v>
      </c>
      <c r="Q177" s="20"/>
      <c r="R177" s="787">
        <f>'Revenues-Fed, State, &amp; Expan. '!K97</f>
        <v>665</v>
      </c>
      <c r="S177" s="20"/>
      <c r="T177" s="787">
        <f>'Revenues-Fed, State, &amp; Expan. '!M97</f>
        <v>735</v>
      </c>
      <c r="U177" s="676"/>
    </row>
    <row r="178" spans="1:21">
      <c r="A178" s="151"/>
      <c r="B178" s="151"/>
      <c r="G178" s="151"/>
      <c r="H178" s="151"/>
      <c r="I178" s="151"/>
      <c r="J178" s="391"/>
      <c r="K178" s="391"/>
      <c r="L178" s="391"/>
      <c r="M178" s="391"/>
      <c r="N178" s="391"/>
      <c r="O178" s="391"/>
      <c r="P178" s="391"/>
      <c r="Q178" s="623"/>
      <c r="R178" s="391"/>
      <c r="S178" s="623"/>
      <c r="T178" s="391"/>
    </row>
    <row r="179" spans="1:21">
      <c r="A179" s="151"/>
      <c r="B179" s="151"/>
      <c r="G179" s="151"/>
      <c r="H179" s="151"/>
      <c r="I179" s="151"/>
      <c r="J179" s="151"/>
      <c r="K179" s="151"/>
      <c r="L179" s="151"/>
      <c r="M179" s="151"/>
      <c r="N179" s="151"/>
      <c r="O179" s="151"/>
      <c r="P179" s="151"/>
      <c r="R179" s="151"/>
      <c r="T179" s="151"/>
    </row>
    <row r="180" spans="1:21">
      <c r="A180" s="151"/>
      <c r="B180" s="151"/>
      <c r="G180" s="151"/>
      <c r="H180" s="151"/>
      <c r="I180" s="151"/>
      <c r="J180" s="151"/>
      <c r="K180" s="151"/>
      <c r="L180" s="151"/>
      <c r="M180" s="151"/>
      <c r="N180" s="151"/>
      <c r="O180" s="151"/>
      <c r="P180" s="151"/>
      <c r="R180" s="151"/>
      <c r="T180" s="151"/>
    </row>
    <row r="181" spans="1:21">
      <c r="A181" s="151"/>
      <c r="B181" s="151"/>
      <c r="G181" s="151"/>
      <c r="H181" s="151"/>
      <c r="I181" s="151"/>
      <c r="J181" s="151"/>
      <c r="K181" s="151"/>
      <c r="L181" s="151"/>
      <c r="M181" s="151"/>
      <c r="N181" s="151"/>
      <c r="O181" s="151"/>
      <c r="P181" s="151"/>
      <c r="R181" s="151"/>
      <c r="T181" s="151"/>
    </row>
    <row r="182" spans="1:21">
      <c r="A182" s="151"/>
      <c r="B182" s="151"/>
      <c r="G182" s="151"/>
      <c r="H182" s="151"/>
      <c r="I182" s="151"/>
      <c r="J182" s="151"/>
      <c r="K182" s="151"/>
      <c r="L182" s="151"/>
      <c r="M182" s="151"/>
      <c r="N182" s="151"/>
      <c r="O182" s="151"/>
      <c r="P182" s="151"/>
      <c r="R182" s="151"/>
      <c r="T182" s="151"/>
    </row>
    <row r="183" spans="1:21">
      <c r="A183" s="151"/>
      <c r="B183" s="151"/>
      <c r="G183" s="151"/>
      <c r="H183" s="151"/>
      <c r="I183" s="151"/>
      <c r="J183" s="151"/>
      <c r="K183" s="151"/>
      <c r="L183" s="151"/>
      <c r="M183" s="151"/>
      <c r="N183" s="151"/>
      <c r="O183" s="151"/>
      <c r="P183" s="151"/>
      <c r="R183" s="151"/>
      <c r="T183" s="151"/>
    </row>
    <row r="184" spans="1:21">
      <c r="A184" s="151"/>
      <c r="B184" s="151"/>
      <c r="G184" s="151"/>
      <c r="H184" s="151"/>
      <c r="I184" s="151"/>
      <c r="J184" s="151"/>
      <c r="K184" s="151"/>
      <c r="L184" s="151"/>
      <c r="M184" s="151"/>
      <c r="N184" s="151"/>
      <c r="O184" s="151"/>
      <c r="P184" s="151"/>
      <c r="R184" s="151"/>
      <c r="T184" s="151"/>
    </row>
    <row r="185" spans="1:21">
      <c r="A185" s="151"/>
      <c r="B185" s="151"/>
      <c r="G185" s="151"/>
      <c r="H185" s="151"/>
      <c r="I185" s="151"/>
      <c r="J185" s="151"/>
      <c r="K185" s="151"/>
      <c r="L185" s="151"/>
      <c r="M185" s="151"/>
      <c r="N185" s="151"/>
      <c r="O185" s="151"/>
      <c r="P185" s="151"/>
      <c r="R185" s="151"/>
      <c r="T185" s="151"/>
    </row>
    <row r="186" spans="1:21">
      <c r="A186" s="151"/>
      <c r="B186" s="151"/>
      <c r="G186" s="151"/>
      <c r="H186" s="151"/>
      <c r="I186" s="151"/>
      <c r="J186" s="151"/>
      <c r="K186" s="151"/>
      <c r="L186" s="151"/>
      <c r="M186" s="151"/>
      <c r="N186" s="151"/>
      <c r="O186" s="151"/>
      <c r="P186" s="151"/>
      <c r="R186" s="151"/>
      <c r="T186" s="151"/>
    </row>
    <row r="187" spans="1:21">
      <c r="A187" s="151"/>
      <c r="B187" s="151"/>
      <c r="G187" s="151"/>
      <c r="H187" s="151"/>
      <c r="I187" s="151"/>
      <c r="J187" s="151"/>
      <c r="K187" s="151"/>
      <c r="L187" s="151"/>
      <c r="M187" s="151"/>
      <c r="N187" s="151"/>
      <c r="O187" s="151"/>
      <c r="P187" s="151"/>
      <c r="R187" s="151"/>
      <c r="T187" s="151"/>
    </row>
    <row r="188" spans="1:21">
      <c r="A188" s="151"/>
      <c r="B188" s="151"/>
      <c r="G188" s="151"/>
      <c r="H188" s="151"/>
      <c r="I188" s="151"/>
      <c r="J188" s="151"/>
      <c r="K188" s="151"/>
      <c r="L188" s="151"/>
      <c r="M188" s="151"/>
      <c r="N188" s="151"/>
      <c r="O188" s="151"/>
      <c r="P188" s="151"/>
      <c r="R188" s="151"/>
      <c r="T188" s="151"/>
    </row>
    <row r="189" spans="1:21">
      <c r="A189" s="151"/>
      <c r="B189" s="151"/>
      <c r="G189" s="151"/>
      <c r="H189" s="151"/>
      <c r="I189" s="151"/>
      <c r="J189" s="151"/>
      <c r="K189" s="151"/>
      <c r="L189" s="151"/>
      <c r="M189" s="151"/>
      <c r="N189" s="151"/>
      <c r="O189" s="151"/>
      <c r="P189" s="151"/>
      <c r="R189" s="151"/>
      <c r="T189" s="151"/>
    </row>
    <row r="190" spans="1:21">
      <c r="A190" s="151"/>
      <c r="B190" s="151"/>
      <c r="G190" s="151"/>
      <c r="H190" s="151"/>
      <c r="I190" s="151"/>
      <c r="J190" s="151"/>
      <c r="K190" s="151"/>
      <c r="L190" s="151"/>
      <c r="M190" s="151"/>
      <c r="N190" s="151"/>
      <c r="O190" s="151"/>
      <c r="P190" s="151"/>
      <c r="R190" s="151"/>
      <c r="T190" s="151"/>
    </row>
    <row r="191" spans="1:21">
      <c r="A191" s="151"/>
      <c r="B191" s="151"/>
      <c r="G191" s="151"/>
      <c r="H191" s="151"/>
      <c r="I191" s="151"/>
      <c r="J191" s="151"/>
      <c r="K191" s="151"/>
      <c r="L191" s="151"/>
      <c r="M191" s="151"/>
      <c r="N191" s="151"/>
      <c r="O191" s="151"/>
      <c r="P191" s="151"/>
      <c r="R191" s="151"/>
      <c r="T191" s="151"/>
    </row>
    <row r="192" spans="1:21">
      <c r="A192" s="151"/>
      <c r="B192" s="151"/>
      <c r="G192" s="151"/>
      <c r="H192" s="151"/>
      <c r="I192" s="151"/>
      <c r="J192" s="151"/>
      <c r="K192" s="151"/>
      <c r="L192" s="151"/>
      <c r="M192" s="151"/>
      <c r="N192" s="151"/>
      <c r="O192" s="151"/>
      <c r="P192" s="151"/>
      <c r="R192" s="151"/>
      <c r="T192" s="151"/>
    </row>
    <row r="193" spans="1:20">
      <c r="A193" s="151"/>
      <c r="B193" s="151"/>
      <c r="G193" s="151"/>
      <c r="H193" s="151"/>
      <c r="I193" s="151"/>
      <c r="J193" s="151"/>
      <c r="K193" s="151"/>
      <c r="L193" s="151"/>
      <c r="M193" s="151"/>
      <c r="N193" s="151"/>
      <c r="O193" s="151"/>
      <c r="P193" s="151"/>
      <c r="R193" s="151"/>
      <c r="T193" s="151"/>
    </row>
    <row r="194" spans="1:20">
      <c r="A194" s="151"/>
      <c r="B194" s="151"/>
      <c r="G194" s="151"/>
      <c r="H194" s="151"/>
      <c r="I194" s="151"/>
      <c r="J194" s="151"/>
      <c r="K194" s="151"/>
      <c r="L194" s="151"/>
      <c r="M194" s="151"/>
      <c r="N194" s="151"/>
      <c r="O194" s="151"/>
      <c r="P194" s="151"/>
      <c r="R194" s="151"/>
      <c r="T194" s="151"/>
    </row>
    <row r="195" spans="1:20">
      <c r="A195" s="151"/>
      <c r="B195" s="151"/>
      <c r="G195" s="151"/>
      <c r="H195" s="151"/>
      <c r="I195" s="151"/>
      <c r="J195" s="151"/>
      <c r="K195" s="151"/>
      <c r="L195" s="151"/>
      <c r="M195" s="151"/>
      <c r="N195" s="151"/>
      <c r="O195" s="151"/>
      <c r="P195" s="151"/>
      <c r="R195" s="151"/>
      <c r="T195" s="151"/>
    </row>
    <row r="196" spans="1:20">
      <c r="A196" s="151"/>
      <c r="B196" s="151"/>
      <c r="G196" s="151"/>
      <c r="H196" s="151"/>
      <c r="I196" s="151"/>
      <c r="J196" s="151"/>
      <c r="K196" s="151"/>
      <c r="L196" s="151"/>
      <c r="M196" s="151"/>
      <c r="N196" s="151"/>
      <c r="O196" s="151"/>
      <c r="P196" s="151"/>
      <c r="R196" s="151"/>
      <c r="T196" s="151"/>
    </row>
    <row r="197" spans="1:20">
      <c r="A197" s="151"/>
      <c r="B197" s="151"/>
      <c r="G197" s="151"/>
      <c r="H197" s="151"/>
      <c r="I197" s="151"/>
      <c r="J197" s="151"/>
      <c r="K197" s="151"/>
      <c r="L197" s="151"/>
      <c r="M197" s="151"/>
      <c r="N197" s="151"/>
      <c r="O197" s="151"/>
      <c r="P197" s="151"/>
      <c r="R197" s="151"/>
      <c r="T197" s="151"/>
    </row>
    <row r="198" spans="1:20">
      <c r="A198" s="151"/>
      <c r="B198" s="151"/>
      <c r="G198" s="151"/>
      <c r="H198" s="151"/>
      <c r="I198" s="151"/>
      <c r="J198" s="151"/>
      <c r="K198" s="151"/>
      <c r="L198" s="151"/>
      <c r="M198" s="151"/>
      <c r="N198" s="151"/>
      <c r="O198" s="151"/>
      <c r="P198" s="151"/>
      <c r="R198" s="151"/>
      <c r="T198" s="151"/>
    </row>
    <row r="199" spans="1:20">
      <c r="A199" s="151"/>
      <c r="B199" s="151"/>
      <c r="G199" s="151"/>
      <c r="H199" s="151"/>
      <c r="I199" s="151"/>
      <c r="J199" s="151"/>
      <c r="K199" s="151"/>
      <c r="L199" s="151"/>
      <c r="M199" s="151"/>
      <c r="N199" s="151"/>
      <c r="O199" s="151"/>
      <c r="P199" s="151"/>
      <c r="R199" s="151"/>
      <c r="T199" s="151"/>
    </row>
    <row r="200" spans="1:20">
      <c r="A200" s="151"/>
      <c r="B200" s="151"/>
      <c r="G200" s="151"/>
      <c r="H200" s="151"/>
      <c r="I200" s="151"/>
      <c r="J200" s="151"/>
      <c r="K200" s="151"/>
      <c r="L200" s="151"/>
      <c r="M200" s="151"/>
      <c r="N200" s="151"/>
      <c r="O200" s="151"/>
      <c r="P200" s="151"/>
      <c r="R200" s="151"/>
      <c r="T200" s="151"/>
    </row>
    <row r="201" spans="1:20">
      <c r="A201" s="151"/>
      <c r="B201" s="151"/>
      <c r="G201" s="151"/>
      <c r="H201" s="151"/>
      <c r="I201" s="151"/>
      <c r="J201" s="151"/>
      <c r="K201" s="151"/>
      <c r="L201" s="151"/>
      <c r="M201" s="151"/>
      <c r="N201" s="151"/>
      <c r="O201" s="151"/>
      <c r="P201" s="151"/>
      <c r="R201" s="151"/>
      <c r="T201" s="151"/>
    </row>
    <row r="202" spans="1:20">
      <c r="A202" s="151"/>
      <c r="B202" s="151"/>
      <c r="G202" s="151"/>
      <c r="H202" s="151"/>
      <c r="I202" s="151"/>
      <c r="J202" s="151"/>
      <c r="K202" s="151"/>
      <c r="L202" s="151"/>
      <c r="M202" s="151"/>
      <c r="N202" s="151"/>
      <c r="O202" s="151"/>
      <c r="P202" s="151"/>
      <c r="R202" s="151"/>
      <c r="T202" s="151"/>
    </row>
    <row r="203" spans="1:20">
      <c r="A203" s="151"/>
      <c r="B203" s="151"/>
      <c r="G203" s="151"/>
      <c r="H203" s="151"/>
      <c r="I203" s="151"/>
      <c r="J203" s="151"/>
      <c r="K203" s="151"/>
      <c r="L203" s="151"/>
      <c r="M203" s="151"/>
      <c r="N203" s="151"/>
      <c r="O203" s="151"/>
      <c r="P203" s="151"/>
      <c r="R203" s="151"/>
      <c r="T203" s="151"/>
    </row>
    <row r="204" spans="1:20">
      <c r="A204" s="151"/>
      <c r="B204" s="151"/>
      <c r="G204" s="151"/>
      <c r="H204" s="151"/>
      <c r="I204" s="151"/>
      <c r="J204" s="151"/>
      <c r="K204" s="151"/>
      <c r="L204" s="151"/>
      <c r="M204" s="151"/>
      <c r="N204" s="151"/>
      <c r="O204" s="151"/>
      <c r="P204" s="151"/>
      <c r="R204" s="151"/>
      <c r="T204" s="151"/>
    </row>
    <row r="205" spans="1:20">
      <c r="A205" s="151"/>
      <c r="B205" s="151"/>
      <c r="G205" s="151"/>
      <c r="H205" s="151"/>
      <c r="I205" s="151"/>
      <c r="J205" s="151"/>
      <c r="K205" s="151"/>
      <c r="L205" s="151"/>
      <c r="M205" s="151"/>
      <c r="N205" s="151"/>
      <c r="O205" s="151"/>
      <c r="P205" s="151"/>
      <c r="R205" s="151"/>
      <c r="T205" s="151"/>
    </row>
    <row r="206" spans="1:20">
      <c r="A206" s="151"/>
      <c r="B206" s="151"/>
      <c r="G206" s="151"/>
      <c r="H206" s="151"/>
      <c r="I206" s="151"/>
      <c r="J206" s="151"/>
      <c r="K206" s="151"/>
      <c r="L206" s="151"/>
      <c r="M206" s="151"/>
      <c r="N206" s="151"/>
      <c r="O206" s="151"/>
      <c r="P206" s="151"/>
      <c r="R206" s="151"/>
      <c r="T206" s="151"/>
    </row>
    <row r="207" spans="1:20">
      <c r="A207" s="151"/>
      <c r="B207" s="151"/>
      <c r="G207" s="151"/>
      <c r="H207" s="151"/>
      <c r="I207" s="151"/>
      <c r="J207" s="151"/>
      <c r="K207" s="151"/>
      <c r="L207" s="151"/>
      <c r="M207" s="151"/>
      <c r="N207" s="151"/>
      <c r="O207" s="151"/>
      <c r="P207" s="151"/>
      <c r="R207" s="151"/>
      <c r="T207" s="151"/>
    </row>
    <row r="208" spans="1:20">
      <c r="A208" s="151"/>
      <c r="B208" s="151"/>
      <c r="G208" s="151"/>
      <c r="H208" s="151"/>
      <c r="I208" s="151"/>
      <c r="J208" s="151"/>
      <c r="K208" s="151"/>
      <c r="L208" s="151"/>
      <c r="M208" s="151"/>
      <c r="N208" s="151"/>
      <c r="O208" s="151"/>
      <c r="P208" s="151"/>
      <c r="R208" s="151"/>
      <c r="T208" s="151"/>
    </row>
    <row r="209" spans="1:20" ht="12" hidden="1">
      <c r="A209" s="151"/>
      <c r="B209" s="151"/>
      <c r="C209" s="232">
        <v>2014</v>
      </c>
      <c r="G209" s="151"/>
      <c r="H209" s="151"/>
      <c r="I209" s="151"/>
      <c r="J209" s="151"/>
      <c r="K209" s="151"/>
      <c r="L209" s="151"/>
      <c r="M209" s="151"/>
      <c r="N209" s="151"/>
      <c r="O209" s="151"/>
      <c r="P209" s="151"/>
      <c r="R209" s="151"/>
      <c r="T209" s="151"/>
    </row>
    <row r="210" spans="1:20" ht="12" hidden="1">
      <c r="A210" s="151"/>
      <c r="B210" s="151"/>
      <c r="C210" s="232">
        <v>2015</v>
      </c>
      <c r="G210" s="151"/>
      <c r="H210" s="151"/>
      <c r="I210" s="151"/>
      <c r="J210" s="151"/>
      <c r="K210" s="151"/>
      <c r="L210" s="151"/>
      <c r="M210" s="151"/>
      <c r="N210" s="151"/>
      <c r="O210" s="151"/>
      <c r="P210" s="151"/>
      <c r="R210" s="151"/>
      <c r="T210" s="151"/>
    </row>
    <row r="211" spans="1:20" ht="12" hidden="1">
      <c r="A211" s="151"/>
      <c r="B211" s="151"/>
      <c r="G211" s="151"/>
      <c r="H211" s="151"/>
      <c r="I211" s="151"/>
      <c r="J211" s="151"/>
      <c r="K211" s="151"/>
      <c r="L211" s="151"/>
      <c r="M211" s="151"/>
      <c r="N211" s="151"/>
      <c r="O211" s="151"/>
      <c r="P211" s="151"/>
      <c r="R211" s="151"/>
      <c r="T211" s="151"/>
    </row>
    <row r="212" spans="1:20" ht="12" hidden="1">
      <c r="A212" s="151"/>
      <c r="B212" s="151"/>
      <c r="G212" s="151"/>
      <c r="H212" s="151"/>
      <c r="I212" s="151"/>
      <c r="J212" s="151"/>
      <c r="K212" s="151"/>
      <c r="L212" s="151"/>
      <c r="M212" s="151"/>
      <c r="N212" s="151"/>
      <c r="O212" s="151"/>
      <c r="P212" s="151"/>
      <c r="R212" s="151"/>
      <c r="T212" s="151"/>
    </row>
    <row r="213" spans="1:20" ht="15.75" hidden="1" customHeight="1">
      <c r="A213" s="151"/>
      <c r="B213" s="151"/>
      <c r="C213" s="512" t="s">
        <v>4</v>
      </c>
      <c r="G213" s="151"/>
      <c r="H213" s="151"/>
      <c r="I213" s="151"/>
      <c r="J213" s="151"/>
      <c r="K213" s="151"/>
      <c r="L213" s="151"/>
      <c r="M213" s="151"/>
      <c r="N213" s="151"/>
      <c r="O213" s="151"/>
      <c r="P213" s="151"/>
      <c r="R213" s="151"/>
      <c r="T213" s="151"/>
    </row>
    <row r="214" spans="1:20" ht="15.75" hidden="1" customHeight="1">
      <c r="A214" s="151"/>
      <c r="B214" s="151"/>
      <c r="C214" s="512" t="s">
        <v>125</v>
      </c>
      <c r="G214" s="151"/>
      <c r="H214" s="151"/>
      <c r="I214" s="151"/>
      <c r="J214" s="151"/>
      <c r="K214" s="151"/>
      <c r="L214" s="151"/>
      <c r="M214" s="151"/>
      <c r="N214" s="151"/>
      <c r="O214" s="151"/>
      <c r="P214" s="151"/>
      <c r="R214" s="151"/>
      <c r="T214" s="151"/>
    </row>
    <row r="215" spans="1:20" ht="15.75" hidden="1" customHeight="1">
      <c r="A215" s="151"/>
      <c r="B215" s="151"/>
      <c r="C215" s="512"/>
      <c r="G215" s="151"/>
      <c r="H215" s="151"/>
      <c r="I215" s="151"/>
      <c r="J215" s="151"/>
      <c r="K215" s="151"/>
      <c r="L215" s="151"/>
      <c r="M215" s="151"/>
      <c r="N215" s="151"/>
      <c r="O215" s="151"/>
      <c r="P215" s="151"/>
      <c r="R215" s="151"/>
      <c r="T215" s="151"/>
    </row>
    <row r="216" spans="1:20" ht="15.75" hidden="1" customHeight="1">
      <c r="A216" s="151"/>
      <c r="B216" s="151"/>
      <c r="C216" s="512"/>
      <c r="G216" s="151"/>
      <c r="H216" s="151"/>
      <c r="I216" s="151"/>
      <c r="J216" s="151"/>
      <c r="K216" s="151"/>
      <c r="L216" s="151"/>
      <c r="M216" s="151"/>
      <c r="N216" s="151"/>
      <c r="O216" s="151"/>
      <c r="P216" s="151"/>
      <c r="R216" s="151"/>
      <c r="T216" s="151"/>
    </row>
    <row r="217" spans="1:20" ht="15.75" hidden="1" customHeight="1">
      <c r="A217" s="151"/>
      <c r="B217" s="151"/>
      <c r="C217" s="643"/>
      <c r="G217" s="151"/>
      <c r="H217" s="151"/>
      <c r="I217" s="151"/>
      <c r="J217" s="151"/>
      <c r="K217" s="151"/>
      <c r="L217" s="151"/>
      <c r="M217" s="151"/>
      <c r="N217" s="151"/>
      <c r="O217" s="151"/>
      <c r="P217" s="151"/>
      <c r="R217" s="151"/>
      <c r="T217" s="151"/>
    </row>
    <row r="218" spans="1:20" ht="15.75" hidden="1" customHeight="1">
      <c r="A218" s="151"/>
      <c r="B218" s="151"/>
      <c r="C218" s="643" t="s">
        <v>49</v>
      </c>
      <c r="G218" s="151"/>
      <c r="H218" s="151"/>
      <c r="I218" s="151"/>
      <c r="J218" s="151"/>
      <c r="K218" s="151"/>
      <c r="L218" s="151"/>
      <c r="M218" s="151"/>
      <c r="N218" s="151"/>
      <c r="O218" s="151"/>
      <c r="P218" s="151"/>
      <c r="R218" s="151"/>
      <c r="T218" s="151"/>
    </row>
    <row r="219" spans="1:20" ht="15.75" hidden="1" customHeight="1">
      <c r="A219" s="151"/>
      <c r="B219" s="151"/>
      <c r="C219" s="643" t="s">
        <v>5</v>
      </c>
      <c r="G219" s="151"/>
      <c r="H219" s="151"/>
      <c r="I219" s="151"/>
      <c r="J219" s="151"/>
      <c r="K219" s="151"/>
      <c r="L219" s="151"/>
      <c r="M219" s="151"/>
      <c r="N219" s="151"/>
      <c r="O219" s="151"/>
      <c r="P219" s="151"/>
      <c r="R219" s="151"/>
      <c r="T219" s="151"/>
    </row>
    <row r="220" spans="1:20" ht="12" hidden="1">
      <c r="A220" s="151"/>
      <c r="B220" s="151"/>
      <c r="C220" s="232" t="s">
        <v>147</v>
      </c>
      <c r="G220" s="151"/>
      <c r="H220" s="151"/>
      <c r="I220" s="151"/>
      <c r="J220" s="151"/>
      <c r="K220" s="151"/>
      <c r="L220" s="151"/>
      <c r="M220" s="151"/>
      <c r="N220" s="151"/>
      <c r="O220" s="151"/>
      <c r="P220" s="151"/>
      <c r="R220" s="151"/>
      <c r="T220" s="151"/>
    </row>
    <row r="221" spans="1:20" ht="12" hidden="1">
      <c r="A221" s="151"/>
      <c r="B221" s="151"/>
      <c r="C221" s="232" t="s">
        <v>127</v>
      </c>
      <c r="G221" s="151"/>
      <c r="H221" s="151"/>
      <c r="I221" s="151"/>
      <c r="J221" s="151"/>
      <c r="K221" s="151"/>
      <c r="L221" s="151"/>
      <c r="M221" s="151"/>
      <c r="N221" s="151"/>
      <c r="O221" s="151"/>
      <c r="P221" s="151"/>
      <c r="R221" s="151"/>
      <c r="T221" s="151"/>
    </row>
    <row r="222" spans="1:20" ht="12" hidden="1">
      <c r="A222" s="151"/>
      <c r="B222" s="151"/>
      <c r="G222" s="151"/>
      <c r="H222" s="151"/>
      <c r="I222" s="151"/>
      <c r="J222" s="151"/>
      <c r="K222" s="151"/>
      <c r="L222" s="151"/>
      <c r="M222" s="151"/>
      <c r="N222" s="151"/>
      <c r="O222" s="151"/>
      <c r="P222" s="151"/>
      <c r="R222" s="151"/>
      <c r="T222" s="151"/>
    </row>
    <row r="223" spans="1:20" ht="12" hidden="1">
      <c r="A223" s="151"/>
      <c r="B223" s="151"/>
      <c r="G223" s="151"/>
      <c r="H223" s="151"/>
      <c r="I223" s="151"/>
      <c r="J223" s="151"/>
      <c r="K223" s="151"/>
      <c r="L223" s="151"/>
      <c r="M223" s="151"/>
      <c r="N223" s="151"/>
      <c r="O223" s="151"/>
      <c r="P223" s="151"/>
      <c r="R223" s="151"/>
      <c r="T223" s="151"/>
    </row>
    <row r="224" spans="1:20" ht="12" hidden="1">
      <c r="A224" s="151"/>
      <c r="B224" s="151"/>
      <c r="C224" s="232" t="s">
        <v>49</v>
      </c>
      <c r="G224" s="151"/>
      <c r="H224" s="151"/>
      <c r="I224" s="151"/>
      <c r="J224" s="151"/>
      <c r="K224" s="151"/>
      <c r="L224" s="151"/>
      <c r="M224" s="151"/>
      <c r="N224" s="151"/>
      <c r="O224" s="151"/>
      <c r="P224" s="151"/>
      <c r="R224" s="151"/>
      <c r="T224" s="151"/>
    </row>
    <row r="225" spans="1:20" ht="12" hidden="1">
      <c r="A225" s="151"/>
      <c r="B225" s="151"/>
      <c r="C225" s="232" t="s">
        <v>125</v>
      </c>
      <c r="G225" s="151"/>
      <c r="H225" s="151"/>
      <c r="I225" s="151"/>
      <c r="J225" s="151"/>
      <c r="K225" s="151"/>
      <c r="L225" s="151"/>
      <c r="M225" s="151"/>
      <c r="N225" s="151"/>
      <c r="O225" s="151"/>
      <c r="P225" s="151"/>
      <c r="R225" s="151"/>
      <c r="T225" s="151"/>
    </row>
    <row r="226" spans="1:20" ht="12" hidden="1">
      <c r="A226" s="151"/>
      <c r="B226" s="151"/>
      <c r="C226" s="232" t="s">
        <v>147</v>
      </c>
      <c r="G226" s="151"/>
      <c r="H226" s="151"/>
      <c r="I226" s="151"/>
      <c r="J226" s="151"/>
      <c r="K226" s="151"/>
      <c r="L226" s="151"/>
      <c r="M226" s="151"/>
      <c r="N226" s="151"/>
      <c r="O226" s="151"/>
      <c r="P226" s="151"/>
      <c r="R226" s="151"/>
      <c r="T226" s="151"/>
    </row>
    <row r="227" spans="1:20" ht="12" hidden="1">
      <c r="A227" s="151"/>
      <c r="B227" s="151"/>
      <c r="C227" s="232" t="s">
        <v>127</v>
      </c>
      <c r="G227" s="151"/>
      <c r="H227" s="151"/>
      <c r="I227" s="151"/>
      <c r="J227" s="151"/>
      <c r="K227" s="151"/>
      <c r="L227" s="151"/>
      <c r="M227" s="151"/>
      <c r="N227" s="151"/>
      <c r="O227" s="151"/>
      <c r="P227" s="151"/>
      <c r="R227" s="151"/>
      <c r="T227" s="151"/>
    </row>
    <row r="228" spans="1:20" ht="12" hidden="1">
      <c r="A228" s="151"/>
      <c r="B228" s="151"/>
      <c r="G228" s="151"/>
      <c r="H228" s="151"/>
      <c r="I228" s="151"/>
      <c r="J228" s="151"/>
      <c r="K228" s="151"/>
      <c r="L228" s="151"/>
      <c r="M228" s="151"/>
      <c r="N228" s="151"/>
      <c r="O228" s="151"/>
      <c r="P228" s="151"/>
      <c r="R228" s="151"/>
      <c r="T228" s="151"/>
    </row>
    <row r="229" spans="1:20" ht="12" hidden="1">
      <c r="A229" s="151"/>
      <c r="B229" s="151"/>
      <c r="G229" s="151"/>
      <c r="H229" s="151"/>
      <c r="I229" s="151"/>
      <c r="J229" s="151"/>
      <c r="K229" s="151"/>
      <c r="L229" s="151"/>
      <c r="M229" s="151"/>
      <c r="N229" s="151"/>
      <c r="O229" s="151"/>
      <c r="P229" s="151"/>
      <c r="R229" s="151"/>
      <c r="T229" s="151"/>
    </row>
    <row r="230" spans="1:20" ht="12" hidden="1">
      <c r="A230" s="151"/>
      <c r="B230" s="151"/>
      <c r="C230" s="232" t="s">
        <v>6</v>
      </c>
      <c r="G230" s="151"/>
      <c r="H230" s="151"/>
      <c r="I230" s="151"/>
      <c r="J230" s="151"/>
      <c r="K230" s="151"/>
      <c r="L230" s="151"/>
      <c r="M230" s="151"/>
      <c r="N230" s="151"/>
      <c r="O230" s="151"/>
      <c r="P230" s="151"/>
      <c r="R230" s="151"/>
      <c r="T230" s="151"/>
    </row>
    <row r="231" spans="1:20" ht="12" hidden="1">
      <c r="A231" s="151"/>
      <c r="B231" s="151"/>
      <c r="C231" s="232" t="s">
        <v>7</v>
      </c>
      <c r="G231" s="151"/>
      <c r="H231" s="151"/>
      <c r="I231" s="151"/>
      <c r="J231" s="151"/>
      <c r="K231" s="151"/>
      <c r="L231" s="151"/>
      <c r="M231" s="151"/>
      <c r="N231" s="151"/>
      <c r="O231" s="151"/>
      <c r="P231" s="151"/>
      <c r="R231" s="151"/>
      <c r="T231" s="151"/>
    </row>
    <row r="232" spans="1:20" ht="12" hidden="1">
      <c r="A232" s="151"/>
      <c r="B232" s="151"/>
      <c r="G232" s="151"/>
      <c r="H232" s="151"/>
      <c r="I232" s="151"/>
      <c r="J232" s="151"/>
      <c r="K232" s="151"/>
      <c r="L232" s="151"/>
      <c r="M232" s="151"/>
      <c r="N232" s="151"/>
      <c r="O232" s="151"/>
      <c r="P232" s="151"/>
      <c r="R232" s="151"/>
      <c r="T232" s="151"/>
    </row>
  </sheetData>
  <mergeCells count="13">
    <mergeCell ref="J173:T173"/>
    <mergeCell ref="J7:J8"/>
    <mergeCell ref="L8:T8"/>
    <mergeCell ref="C37:C39"/>
    <mergeCell ref="D37:D39"/>
    <mergeCell ref="E37:E39"/>
    <mergeCell ref="F37:F39"/>
    <mergeCell ref="H37:H39"/>
    <mergeCell ref="C7:C9"/>
    <mergeCell ref="D7:D9"/>
    <mergeCell ref="E7:E9"/>
    <mergeCell ref="F7:F9"/>
    <mergeCell ref="H7:H9"/>
  </mergeCells>
  <phoneticPr fontId="0" type="noConversion"/>
  <dataValidations count="89">
    <dataValidation type="list" allowBlank="1" showErrorMessage="1" sqref="A5">
      <formula1>C230:C231</formula1>
    </dataValidation>
    <dataValidation type="list" allowBlank="1" showErrorMessage="1" sqref="J9">
      <formula1>C209:C210</formula1>
    </dataValidation>
    <dataValidation type="list" allowBlank="1" showErrorMessage="1" sqref="C40">
      <formula1>C224:C227</formula1>
    </dataValidation>
    <dataValidation type="list" allowBlank="1" showErrorMessage="1" sqref="C41">
      <formula1>C224:C227</formula1>
    </dataValidation>
    <dataValidation type="list" allowBlank="1" showErrorMessage="1" sqref="C42">
      <formula1>C224:C227</formula1>
    </dataValidation>
    <dataValidation type="list" allowBlank="1" showErrorMessage="1" sqref="C43">
      <formula1>C224:C227</formula1>
    </dataValidation>
    <dataValidation type="list" allowBlank="1" showErrorMessage="1" sqref="C44">
      <formula1>C224:C227</formula1>
    </dataValidation>
    <dataValidation type="list" allowBlank="1" showErrorMessage="1" sqref="C45">
      <formula1>C224:C227</formula1>
    </dataValidation>
    <dataValidation type="list" allowBlank="1" showErrorMessage="1" sqref="C46">
      <formula1>C224:C227</formula1>
    </dataValidation>
    <dataValidation type="list" allowBlank="1" showErrorMessage="1" sqref="C47">
      <formula1>C224:C227</formula1>
    </dataValidation>
    <dataValidation type="list" allowBlank="1" showErrorMessage="1" sqref="C48">
      <formula1>C224:C227</formula1>
    </dataValidation>
    <dataValidation type="list" allowBlank="1" showErrorMessage="1" sqref="C49">
      <formula1>C224:C227</formula1>
    </dataValidation>
    <dataValidation type="list" allowBlank="1" showErrorMessage="1" sqref="C50">
      <formula1>C224:C227</formula1>
    </dataValidation>
    <dataValidation type="list" allowBlank="1" showErrorMessage="1" sqref="C52">
      <formula1>C224:C227</formula1>
    </dataValidation>
    <dataValidation type="list" allowBlank="1" showErrorMessage="1" sqref="C53">
      <formula1>C224:C227</formula1>
    </dataValidation>
    <dataValidation type="list" allowBlank="1" showErrorMessage="1" sqref="C54">
      <formula1>C224:C227</formula1>
    </dataValidation>
    <dataValidation type="list" allowBlank="1" showErrorMessage="1" sqref="C55">
      <formula1>C224:C227</formula1>
    </dataValidation>
    <dataValidation type="list" allowBlank="1" showErrorMessage="1" sqref="C56">
      <formula1>C224:C227</formula1>
    </dataValidation>
    <dataValidation type="list" allowBlank="1" showErrorMessage="1" sqref="C57">
      <formula1>C224:C227</formula1>
    </dataValidation>
    <dataValidation type="list" allowBlank="1" showErrorMessage="1" sqref="C58">
      <formula1>C224:C227</formula1>
    </dataValidation>
    <dataValidation type="list" allowBlank="1" showErrorMessage="1" sqref="C59">
      <formula1>C224:C227</formula1>
    </dataValidation>
    <dataValidation type="list" allowBlank="1" showErrorMessage="1" sqref="C60">
      <formula1>C224:C227</formula1>
    </dataValidation>
    <dataValidation type="list" allowBlank="1" showErrorMessage="1" sqref="C61">
      <formula1>C224:C227</formula1>
    </dataValidation>
    <dataValidation type="list" allowBlank="1" showErrorMessage="1" sqref="C62">
      <formula1>C224:C227</formula1>
    </dataValidation>
    <dataValidation type="list" allowBlank="1" showErrorMessage="1" sqref="C75">
      <formula1>C218:C221</formula1>
    </dataValidation>
    <dataValidation type="list" allowBlank="1" showErrorMessage="1" sqref="C76">
      <formula1>C218:C221</formula1>
    </dataValidation>
    <dataValidation type="list" allowBlank="1" showErrorMessage="1" sqref="C77">
      <formula1>C218:C221</formula1>
    </dataValidation>
    <dataValidation type="list" allowBlank="1" showErrorMessage="1" sqref="C78">
      <formula1>C218:C221</formula1>
    </dataValidation>
    <dataValidation type="list" allowBlank="1" showErrorMessage="1" sqref="C79">
      <formula1>C218:C221</formula1>
    </dataValidation>
    <dataValidation type="list" allowBlank="1" showErrorMessage="1" sqref="C80">
      <formula1>C218:C221</formula1>
    </dataValidation>
    <dataValidation type="list" allowBlank="1" showErrorMessage="1" sqref="C81">
      <formula1>C218:C221</formula1>
    </dataValidation>
    <dataValidation type="list" allowBlank="1" showErrorMessage="1" sqref="C83">
      <formula1>C218:C221</formula1>
    </dataValidation>
    <dataValidation type="list" allowBlank="1" showErrorMessage="1" sqref="C84">
      <formula1>C218:C221</formula1>
    </dataValidation>
    <dataValidation type="list" allowBlank="1" showErrorMessage="1" sqref="C85">
      <formula1>C218:C221</formula1>
    </dataValidation>
    <dataValidation type="list" allowBlank="1" showErrorMessage="1" sqref="C86">
      <formula1>C218:C221</formula1>
    </dataValidation>
    <dataValidation type="list" allowBlank="1" showErrorMessage="1" sqref="C87">
      <formula1>C218:C221</formula1>
    </dataValidation>
    <dataValidation type="list" allowBlank="1" showErrorMessage="1" sqref="C88">
      <formula1>C218:C221</formula1>
    </dataValidation>
    <dataValidation type="list" allowBlank="1" showErrorMessage="1" sqref="C89 C95">
      <formula1>C218:C221</formula1>
    </dataValidation>
    <dataValidation type="list" allowBlank="1" showErrorMessage="1" sqref="C90 C96">
      <formula1>C218:C221</formula1>
    </dataValidation>
    <dataValidation type="list" allowBlank="1" showErrorMessage="1" sqref="C97">
      <formula1>C224:C227</formula1>
    </dataValidation>
    <dataValidation type="list" allowBlank="1" showErrorMessage="1" sqref="C98">
      <formula1>C224:C227</formula1>
    </dataValidation>
    <dataValidation type="list" allowBlank="1" showErrorMessage="1" sqref="C99">
      <formula1>C224:C227</formula1>
    </dataValidation>
    <dataValidation type="list" allowBlank="1" showErrorMessage="1" sqref="C100">
      <formula1>C224:C227</formula1>
    </dataValidation>
    <dataValidation type="list" allowBlank="1" showErrorMessage="1" sqref="C101">
      <formula1>C224:C227</formula1>
    </dataValidation>
    <dataValidation type="list" allowBlank="1" showErrorMessage="1" sqref="C102">
      <formula1>C224:C227</formula1>
    </dataValidation>
    <dataValidation type="list" allowBlank="1" showErrorMessage="1" sqref="C103">
      <formula1>C224:C227</formula1>
    </dataValidation>
    <dataValidation type="list" allowBlank="1" showErrorMessage="1" sqref="C104">
      <formula1>C224:C227</formula1>
    </dataValidation>
    <dataValidation type="list" allowBlank="1" showErrorMessage="1" sqref="C105">
      <formula1>C224:C227</formula1>
    </dataValidation>
    <dataValidation type="list" allowBlank="1" showErrorMessage="1" sqref="C106">
      <formula1>C224:C227</formula1>
    </dataValidation>
    <dataValidation type="list" allowBlank="1" showErrorMessage="1" sqref="C107">
      <formula1>C224:C227</formula1>
    </dataValidation>
    <dataValidation type="list" allowBlank="1" showErrorMessage="1" sqref="C108">
      <formula1>C224:C227</formula1>
    </dataValidation>
    <dataValidation type="list" allowBlank="1" showErrorMessage="1" sqref="C109">
      <formula1>C224:C227</formula1>
    </dataValidation>
    <dataValidation type="list" allowBlank="1" showErrorMessage="1" sqref="C110">
      <formula1>C224:C227</formula1>
    </dataValidation>
    <dataValidation type="list" allowBlank="1" showErrorMessage="1" sqref="C111">
      <formula1>C224:C227</formula1>
    </dataValidation>
    <dataValidation type="list" allowBlank="1" showErrorMessage="1" sqref="C112">
      <formula1>C224:C227</formula1>
    </dataValidation>
    <dataValidation type="list" allowBlank="1" showErrorMessage="1" sqref="C113">
      <formula1>C224:C227</formula1>
    </dataValidation>
    <dataValidation type="list" allowBlank="1" showErrorMessage="1" sqref="C114">
      <formula1>C224:C227</formula1>
    </dataValidation>
    <dataValidation type="list" allowBlank="1" showErrorMessage="1" sqref="C119">
      <formula1>C224:C227</formula1>
    </dataValidation>
    <dataValidation type="list" allowBlank="1" showErrorMessage="1" sqref="C120">
      <formula1>C224:C227</formula1>
    </dataValidation>
    <dataValidation type="list" allowBlank="1" showErrorMessage="1" sqref="C121">
      <formula1>C224:C227</formula1>
    </dataValidation>
    <dataValidation type="list" allowBlank="1" showErrorMessage="1" sqref="C122">
      <formula1>C224:C227</formula1>
    </dataValidation>
    <dataValidation type="list" allowBlank="1" showErrorMessage="1" sqref="C123">
      <formula1>C224:C227</formula1>
    </dataValidation>
    <dataValidation type="list" allowBlank="1" showErrorMessage="1" sqref="C124">
      <formula1>C224:C227</formula1>
    </dataValidation>
    <dataValidation type="list" allowBlank="1" showErrorMessage="1" sqref="C125">
      <formula1>C224:C227</formula1>
    </dataValidation>
    <dataValidation type="list" allowBlank="1" showErrorMessage="1" sqref="C126">
      <formula1>C224:C227</formula1>
    </dataValidation>
    <dataValidation type="list" allowBlank="1" showErrorMessage="1" sqref="C127">
      <formula1>C224:C227</formula1>
    </dataValidation>
    <dataValidation type="list" allowBlank="1" showErrorMessage="1" sqref="C128">
      <formula1>C224:C227</formula1>
    </dataValidation>
    <dataValidation type="list" allowBlank="1" showErrorMessage="1" sqref="C129">
      <formula1>C224:C227</formula1>
    </dataValidation>
    <dataValidation type="list" allowBlank="1" showErrorMessage="1" sqref="C130">
      <formula1>C224:C227</formula1>
    </dataValidation>
    <dataValidation type="list" allowBlank="1" showErrorMessage="1" sqref="C131">
      <formula1>C224:C227</formula1>
    </dataValidation>
    <dataValidation type="list" allowBlank="1" showErrorMessage="1" sqref="C132">
      <formula1>C224:C227</formula1>
    </dataValidation>
    <dataValidation type="list" allowBlank="1" showErrorMessage="1" sqref="C133">
      <formula1>C224:C227</formula1>
    </dataValidation>
    <dataValidation type="list" allowBlank="1" showErrorMessage="1" sqref="C134">
      <formula1>C224:C227</formula1>
    </dataValidation>
    <dataValidation type="list" allowBlank="1" showErrorMessage="1" sqref="C135">
      <formula1>C224:C227</formula1>
    </dataValidation>
    <dataValidation type="list" allowBlank="1" showErrorMessage="1" sqref="C136">
      <formula1>C224:C227</formula1>
    </dataValidation>
    <dataValidation type="list" allowBlank="1" showErrorMessage="1" sqref="C140">
      <formula1>C224:C227</formula1>
    </dataValidation>
    <dataValidation type="list" allowBlank="1" showErrorMessage="1" sqref="C143">
      <formula1>C224:C227</formula1>
    </dataValidation>
    <dataValidation type="list" allowBlank="1" showErrorMessage="1" sqref="C144">
      <formula1>C224:C227</formula1>
    </dataValidation>
    <dataValidation type="list" allowBlank="1" showErrorMessage="1" sqref="C145">
      <formula1>C224:C227</formula1>
    </dataValidation>
    <dataValidation type="list" allowBlank="1" showErrorMessage="1" sqref="C146">
      <formula1>C224:C227</formula1>
    </dataValidation>
    <dataValidation type="list" allowBlank="1" showErrorMessage="1" sqref="C147">
      <formula1>C224:C227</formula1>
    </dataValidation>
    <dataValidation type="list" allowBlank="1" showErrorMessage="1" sqref="C148">
      <formula1>C224:C227</formula1>
    </dataValidation>
    <dataValidation type="list" allowBlank="1" showErrorMessage="1" sqref="C149">
      <formula1>C224:C227</formula1>
    </dataValidation>
    <dataValidation type="list" allowBlank="1" showErrorMessage="1" sqref="C150">
      <formula1>C224:C227</formula1>
    </dataValidation>
    <dataValidation type="list" allowBlank="1" showErrorMessage="1" sqref="C151">
      <formula1>C224:C227</formula1>
    </dataValidation>
    <dataValidation type="list" allowBlank="1" showErrorMessage="1" sqref="C152">
      <formula1>C224:C227</formula1>
    </dataValidation>
    <dataValidation type="list" allowBlank="1" showErrorMessage="1" sqref="C153">
      <formula1>C224:C227</formula1>
    </dataValidation>
    <dataValidation type="list" allowBlank="1" showErrorMessage="1" sqref="C154">
      <formula1>C224:C227</formula1>
    </dataValidation>
    <dataValidation type="list" allowBlank="1" showErrorMessage="1" sqref="C155">
      <formula1>C224:C227</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E210"/>
  <sheetViews>
    <sheetView topLeftCell="A151" zoomScale="71" zoomScaleNormal="71" zoomScalePageLayoutView="71" workbookViewId="0">
      <selection activeCell="P163" sqref="P163"/>
    </sheetView>
  </sheetViews>
  <sheetFormatPr baseColWidth="10" defaultColWidth="8.6640625" defaultRowHeight="12.75" customHeight="1"/>
  <cols>
    <col min="1" max="1" width="76" customWidth="1"/>
    <col min="2" max="2" width="4.83203125" customWidth="1"/>
    <col min="3" max="3" width="3" customWidth="1"/>
    <col min="4" max="4" width="19.83203125" customWidth="1"/>
    <col min="5" max="5" width="2.33203125" customWidth="1"/>
    <col min="6" max="6" width="18.5" customWidth="1"/>
    <col min="7" max="7" width="2.6640625" customWidth="1"/>
    <col min="8" max="8" width="18.6640625" customWidth="1"/>
    <col min="9" max="9" width="2.5" customWidth="1"/>
    <col min="10" max="10" width="18.6640625" customWidth="1"/>
    <col min="11" max="11" width="3" style="518" customWidth="1"/>
    <col min="12" max="12" width="18.6640625" customWidth="1"/>
    <col min="13" max="13" width="3.5" style="518" customWidth="1"/>
    <col min="14" max="14" width="18.6640625" customWidth="1"/>
    <col min="15" max="15" width="8.6640625" style="151"/>
    <col min="16" max="20" width="12.33203125" style="554" customWidth="1"/>
    <col min="21" max="21" width="8.6640625" style="151"/>
    <col min="22" max="23" width="12.6640625" style="151" customWidth="1"/>
    <col min="24" max="24" width="14.1640625" style="151" customWidth="1"/>
    <col min="25" max="26" width="12.6640625" style="151" customWidth="1"/>
    <col min="27" max="31" width="8.6640625" style="151"/>
  </cols>
  <sheetData>
    <row r="1" spans="1:21" ht="22.5" customHeight="1">
      <c r="A1" s="606" t="str">
        <f>'Budget with Assumptions'!A2</f>
        <v>Horizon Science Academy South Chicago</v>
      </c>
      <c r="B1" s="552"/>
      <c r="C1" s="829"/>
      <c r="D1" s="504"/>
      <c r="E1" s="504"/>
      <c r="F1" s="504"/>
      <c r="G1" s="504"/>
      <c r="H1" s="504"/>
      <c r="I1" s="504"/>
      <c r="J1" s="504"/>
      <c r="K1" s="536"/>
      <c r="L1" s="680"/>
      <c r="M1" s="286"/>
      <c r="N1" s="151"/>
      <c r="P1" s="151"/>
      <c r="Q1" s="151"/>
      <c r="R1" s="151"/>
      <c r="S1" s="151"/>
      <c r="T1" s="151"/>
    </row>
    <row r="2" spans="1:21" ht="23.25" customHeight="1">
      <c r="A2" s="822" t="s">
        <v>8</v>
      </c>
      <c r="B2" s="552"/>
      <c r="C2" s="829"/>
      <c r="D2" s="504"/>
      <c r="E2" s="504"/>
      <c r="F2" s="504"/>
      <c r="G2" s="504"/>
      <c r="H2" s="504"/>
      <c r="I2" s="504"/>
      <c r="J2" s="504"/>
      <c r="K2" s="536"/>
      <c r="L2" s="680"/>
      <c r="M2" s="286"/>
      <c r="N2" s="151"/>
      <c r="P2" s="151"/>
      <c r="Q2" s="151"/>
      <c r="R2" s="151"/>
      <c r="S2" s="151"/>
      <c r="T2" s="151"/>
    </row>
    <row r="3" spans="1:21" ht="16.5" customHeight="1">
      <c r="A3" s="471"/>
      <c r="B3" s="633"/>
      <c r="C3" s="633"/>
      <c r="D3" s="151"/>
      <c r="E3" s="151"/>
      <c r="F3" s="151"/>
      <c r="G3" s="151"/>
      <c r="H3" s="151"/>
      <c r="I3" s="151"/>
      <c r="J3" s="151"/>
      <c r="L3" s="151"/>
      <c r="N3" s="151"/>
      <c r="P3" s="151"/>
      <c r="Q3" s="151"/>
      <c r="R3" s="151"/>
      <c r="S3" s="151"/>
      <c r="T3" s="151"/>
    </row>
    <row r="4" spans="1:21" ht="16.5" customHeight="1">
      <c r="A4" s="633"/>
      <c r="B4" s="633"/>
      <c r="C4" s="633"/>
      <c r="D4" s="151"/>
      <c r="E4" s="151"/>
      <c r="F4" s="151"/>
      <c r="G4" s="151"/>
      <c r="H4" s="151"/>
      <c r="I4" s="151"/>
      <c r="J4" s="151"/>
      <c r="L4" s="151"/>
      <c r="N4" s="151"/>
      <c r="P4" s="151"/>
      <c r="Q4" s="151"/>
      <c r="R4" s="151"/>
      <c r="S4" s="151"/>
      <c r="T4" s="151"/>
    </row>
    <row r="5" spans="1:21" ht="16.5" customHeight="1">
      <c r="A5" s="633"/>
      <c r="B5" s="633"/>
      <c r="C5" s="633"/>
      <c r="D5" s="151"/>
      <c r="E5" s="151"/>
      <c r="F5" s="151"/>
      <c r="G5" s="151"/>
      <c r="H5" s="151"/>
      <c r="I5" s="151"/>
      <c r="J5" s="151"/>
      <c r="L5" s="151"/>
      <c r="N5" s="151"/>
      <c r="P5" s="151"/>
      <c r="Q5" s="151"/>
      <c r="R5" s="151"/>
      <c r="S5" s="151"/>
      <c r="T5" s="151"/>
    </row>
    <row r="6" spans="1:21" ht="16.5" customHeight="1">
      <c r="A6" s="633"/>
      <c r="B6" s="633"/>
      <c r="C6" s="633"/>
      <c r="D6" s="456"/>
      <c r="E6" s="151"/>
      <c r="F6" s="151"/>
      <c r="G6" s="151"/>
      <c r="H6" s="151"/>
      <c r="I6" s="151"/>
      <c r="J6" s="151"/>
      <c r="L6" s="151"/>
      <c r="N6" s="151"/>
      <c r="P6" s="151"/>
      <c r="Q6" s="151"/>
      <c r="R6" s="151"/>
      <c r="S6" s="151"/>
      <c r="T6" s="151"/>
    </row>
    <row r="7" spans="1:21" ht="30" customHeight="1">
      <c r="A7" s="817"/>
      <c r="B7" s="563"/>
      <c r="C7" s="555"/>
      <c r="D7" s="926" t="s">
        <v>486</v>
      </c>
      <c r="E7" s="676"/>
      <c r="F7" s="456"/>
      <c r="G7" s="456"/>
      <c r="H7" s="456"/>
      <c r="I7" s="456"/>
      <c r="J7" s="456"/>
      <c r="K7" s="229"/>
      <c r="L7" s="456"/>
      <c r="M7" s="229"/>
      <c r="N7" s="456"/>
      <c r="P7" s="456"/>
      <c r="Q7" s="456"/>
      <c r="R7" s="456"/>
      <c r="S7" s="456"/>
      <c r="T7" s="456"/>
    </row>
    <row r="8" spans="1:21" ht="27.75" customHeight="1">
      <c r="A8" s="750"/>
      <c r="B8" s="563"/>
      <c r="C8" s="563"/>
      <c r="D8" s="941"/>
      <c r="E8" s="667"/>
      <c r="F8" s="881" t="s">
        <v>213</v>
      </c>
      <c r="G8" s="932"/>
      <c r="H8" s="932"/>
      <c r="I8" s="932"/>
      <c r="J8" s="932"/>
      <c r="K8" s="932"/>
      <c r="L8" s="932"/>
      <c r="M8" s="932"/>
      <c r="N8" s="874"/>
      <c r="O8" s="550"/>
      <c r="P8" s="942" t="s">
        <v>9</v>
      </c>
      <c r="Q8" s="943"/>
      <c r="R8" s="943"/>
      <c r="S8" s="943"/>
      <c r="T8" s="944"/>
      <c r="U8" s="676"/>
    </row>
    <row r="9" spans="1:21" ht="23.25" customHeight="1">
      <c r="A9" s="704" t="s">
        <v>214</v>
      </c>
      <c r="B9" s="780"/>
      <c r="C9" s="851"/>
      <c r="D9" s="592">
        <f>'Budget with Assumptions'!J9</f>
        <v>0</v>
      </c>
      <c r="E9" s="412"/>
      <c r="F9" s="709">
        <f>'Budget with Assumptions'!L9</f>
        <v>1</v>
      </c>
      <c r="G9" s="104"/>
      <c r="H9" s="709">
        <f>'Budget with Assumptions'!N9</f>
        <v>2</v>
      </c>
      <c r="I9" s="104"/>
      <c r="J9" s="709">
        <f>'Budget with Assumptions'!P9</f>
        <v>3</v>
      </c>
      <c r="K9" s="104"/>
      <c r="L9" s="709">
        <f>'Budget with Assumptions'!R9</f>
        <v>4</v>
      </c>
      <c r="M9" s="212"/>
      <c r="N9" s="709">
        <f>'Budget with Assumptions'!T9</f>
        <v>5</v>
      </c>
      <c r="O9" s="550"/>
      <c r="P9" s="425">
        <f>'Budget with Assumptions'!L9</f>
        <v>1</v>
      </c>
      <c r="Q9" s="425">
        <f>'Budget with Assumptions'!N9</f>
        <v>2</v>
      </c>
      <c r="R9" s="425">
        <f>'Budget with Assumptions'!P9</f>
        <v>3</v>
      </c>
      <c r="S9" s="425">
        <f>'Budget with Assumptions'!R9</f>
        <v>4</v>
      </c>
      <c r="T9" s="425">
        <f>'Budget with Assumptions'!T9</f>
        <v>5</v>
      </c>
      <c r="U9" s="676"/>
    </row>
    <row r="10" spans="1:21" ht="18" customHeight="1">
      <c r="A10" s="255" t="str">
        <f>'Budget with Assumptions'!A10</f>
        <v>CPS Per Capita ( Grades K-3)</v>
      </c>
      <c r="B10" s="40"/>
      <c r="C10" s="333"/>
      <c r="D10" s="689">
        <f>'Budget with Assumptions'!J10</f>
        <v>0</v>
      </c>
      <c r="E10" s="287"/>
      <c r="F10" s="689">
        <f>'Budget with Assumptions'!L10</f>
        <v>1365734</v>
      </c>
      <c r="G10" s="809"/>
      <c r="H10" s="689">
        <f>'Budget with Assumptions'!N10</f>
        <v>1365734</v>
      </c>
      <c r="I10" s="809"/>
      <c r="J10" s="689">
        <f>'Budget with Assumptions'!P10</f>
        <v>1365734</v>
      </c>
      <c r="K10" s="96"/>
      <c r="L10" s="689">
        <f>'Budget with Assumptions'!R10</f>
        <v>1365734</v>
      </c>
      <c r="M10" s="96"/>
      <c r="N10" s="689">
        <f>'Budget with Assumptions'!T10</f>
        <v>1365734</v>
      </c>
      <c r="O10" s="809"/>
      <c r="P10" s="584">
        <f t="shared" ref="P10:P33" si="0">F10/$F$35</f>
        <v>0.29172635565698901</v>
      </c>
      <c r="Q10" s="584">
        <f t="shared" ref="Q10:Q33" si="1">H10/$H$35</f>
        <v>0.27923957520361631</v>
      </c>
      <c r="R10" s="584">
        <f t="shared" ref="R10:R33" si="2">J10/$J$35</f>
        <v>0.2452878145656637</v>
      </c>
      <c r="S10" s="584">
        <f t="shared" ref="S10:S33" si="3">L10/$L$35</f>
        <v>0.21738888906044274</v>
      </c>
      <c r="T10" s="584">
        <f t="shared" ref="T10:T33" si="4">N10/$N$35</f>
        <v>0.19408456015539338</v>
      </c>
      <c r="U10" s="85"/>
    </row>
    <row r="11" spans="1:21" ht="15.75" customHeight="1">
      <c r="A11" s="90" t="str">
        <f>'Budget with Assumptions'!A11</f>
        <v>CPS Per Capita (Grades 4-8)</v>
      </c>
      <c r="B11" s="40"/>
      <c r="C11" s="333"/>
      <c r="D11" s="850">
        <f>'Budget with Assumptions'!J11</f>
        <v>0</v>
      </c>
      <c r="E11" s="202"/>
      <c r="F11" s="850">
        <f>'Budget with Assumptions'!L11</f>
        <v>1595482.5</v>
      </c>
      <c r="G11" s="264"/>
      <c r="H11" s="850">
        <f>'Budget with Assumptions'!N11</f>
        <v>638193</v>
      </c>
      <c r="I11" s="264"/>
      <c r="J11" s="850">
        <f>'Budget with Assumptions'!P11</f>
        <v>1595482.5</v>
      </c>
      <c r="K11" s="411"/>
      <c r="L11" s="850">
        <f>'Budget with Assumptions'!R11</f>
        <v>1595482.5</v>
      </c>
      <c r="M11" s="495"/>
      <c r="N11" s="850">
        <f>'Budget with Assumptions'!T11</f>
        <v>1595482.5</v>
      </c>
      <c r="O11" s="809"/>
      <c r="P11" s="103">
        <f t="shared" si="0"/>
        <v>0.34080157280956758</v>
      </c>
      <c r="Q11" s="103">
        <f t="shared" si="1"/>
        <v>0.13048568917367623</v>
      </c>
      <c r="R11" s="103">
        <f t="shared" si="2"/>
        <v>0.28655097962177228</v>
      </c>
      <c r="S11" s="103">
        <f t="shared" si="3"/>
        <v>0.25395880031571139</v>
      </c>
      <c r="T11" s="103">
        <f t="shared" si="4"/>
        <v>0.22673413655084185</v>
      </c>
      <c r="U11" s="85"/>
    </row>
    <row r="12" spans="1:21" ht="31.5" customHeight="1">
      <c r="A12" s="21" t="str">
        <f>'Budget with Assumptions'!A12</f>
        <v>CPS Per Capita (Grades 6-8)-This only for schools that have HS grades with grades 6-8 for Fiscal Year 2015 and 2016.</v>
      </c>
      <c r="B12" s="40"/>
      <c r="C12" s="333"/>
      <c r="D12" s="850">
        <f>'Budget with Assumptions'!J12</f>
        <v>0</v>
      </c>
      <c r="E12" s="202"/>
      <c r="F12" s="850">
        <f>'Budget with Assumptions'!L12</f>
        <v>0</v>
      </c>
      <c r="G12" s="264"/>
      <c r="H12" s="850">
        <f>'Budget with Assumptions'!N12</f>
        <v>1033872.6600000001</v>
      </c>
      <c r="I12" s="264"/>
      <c r="J12" s="850">
        <f>'Budget with Assumptions'!P12</f>
        <v>0</v>
      </c>
      <c r="K12" s="411"/>
      <c r="L12" s="850">
        <f>'Budget with Assumptions'!R12</f>
        <v>0</v>
      </c>
      <c r="M12" s="495"/>
      <c r="N12" s="850">
        <f>'Budget with Assumptions'!T12</f>
        <v>0</v>
      </c>
      <c r="O12" s="809"/>
      <c r="P12" s="103">
        <f t="shared" si="0"/>
        <v>0</v>
      </c>
      <c r="Q12" s="103">
        <f t="shared" si="1"/>
        <v>0.21138681646135551</v>
      </c>
      <c r="R12" s="103">
        <f t="shared" si="2"/>
        <v>0</v>
      </c>
      <c r="S12" s="103">
        <f t="shared" si="3"/>
        <v>0</v>
      </c>
      <c r="T12" s="103">
        <f t="shared" si="4"/>
        <v>0</v>
      </c>
      <c r="U12" s="85"/>
    </row>
    <row r="13" spans="1:21" ht="15.75" customHeight="1">
      <c r="A13" s="90" t="str">
        <f>'Budget with Assumptions'!A13</f>
        <v>CPS Per Capita (High School)</v>
      </c>
      <c r="B13" s="40"/>
      <c r="C13" s="333"/>
      <c r="D13" s="850">
        <f>'Budget with Assumptions'!J13</f>
        <v>0</v>
      </c>
      <c r="E13" s="202"/>
      <c r="F13" s="850">
        <f>'Budget with Assumptions'!L13</f>
        <v>0</v>
      </c>
      <c r="G13" s="264"/>
      <c r="H13" s="850">
        <f>'Budget with Assumptions'!N13</f>
        <v>591733.5</v>
      </c>
      <c r="I13" s="264"/>
      <c r="J13" s="850">
        <f>'Budget with Assumptions'!P13</f>
        <v>1144018.1000000001</v>
      </c>
      <c r="K13" s="411"/>
      <c r="L13" s="850">
        <f>'Budget with Assumptions'!R13</f>
        <v>1696302.7</v>
      </c>
      <c r="M13" s="495"/>
      <c r="N13" s="850">
        <f>'Budget with Assumptions'!T13</f>
        <v>2248587.2999999998</v>
      </c>
      <c r="O13" s="809"/>
      <c r="P13" s="103">
        <f t="shared" si="0"/>
        <v>0</v>
      </c>
      <c r="Q13" s="103">
        <f t="shared" si="1"/>
        <v>0.1209865253217311</v>
      </c>
      <c r="R13" s="103">
        <f t="shared" si="2"/>
        <v>0.20546731616300315</v>
      </c>
      <c r="S13" s="103">
        <f t="shared" si="3"/>
        <v>0.27000672126726688</v>
      </c>
      <c r="T13" s="103">
        <f t="shared" si="4"/>
        <v>0.31954690817648501</v>
      </c>
      <c r="U13" s="85"/>
    </row>
    <row r="14" spans="1:21" ht="15.75" customHeight="1">
      <c r="A14" s="90" t="str">
        <f>'Budget with Assumptions'!A14</f>
        <v>CPS Start-up Funds</v>
      </c>
      <c r="B14" s="40"/>
      <c r="C14" s="333"/>
      <c r="D14" s="850">
        <f>'Budget with Assumptions'!J14</f>
        <v>0</v>
      </c>
      <c r="E14" s="202"/>
      <c r="F14" s="850">
        <f>'Budget with Assumptions'!L14</f>
        <v>125000</v>
      </c>
      <c r="G14" s="264"/>
      <c r="H14" s="850">
        <f>'Budget with Assumptions'!N14</f>
        <v>0</v>
      </c>
      <c r="I14" s="264"/>
      <c r="J14" s="850">
        <f>'Budget with Assumptions'!P14</f>
        <v>0</v>
      </c>
      <c r="K14" s="411"/>
      <c r="L14" s="850">
        <f>'Budget with Assumptions'!R14</f>
        <v>0</v>
      </c>
      <c r="M14" s="495"/>
      <c r="N14" s="850">
        <f>'Budget with Assumptions'!T14</f>
        <v>0</v>
      </c>
      <c r="O14" s="809"/>
      <c r="P14" s="103">
        <f t="shared" si="0"/>
        <v>2.67005100972251E-2</v>
      </c>
      <c r="Q14" s="103">
        <f t="shared" si="1"/>
        <v>0</v>
      </c>
      <c r="R14" s="103">
        <f t="shared" si="2"/>
        <v>0</v>
      </c>
      <c r="S14" s="103">
        <f t="shared" si="3"/>
        <v>0</v>
      </c>
      <c r="T14" s="103">
        <f t="shared" si="4"/>
        <v>0</v>
      </c>
      <c r="U14" s="85"/>
    </row>
    <row r="15" spans="1:21" ht="15.75" customHeight="1">
      <c r="A15" s="90" t="str">
        <f>'Budget with Assumptions'!A15</f>
        <v>CPS Expansion Funds</v>
      </c>
      <c r="B15" s="40"/>
      <c r="C15" s="333"/>
      <c r="D15" s="850">
        <f>'Budget with Assumptions'!J15</f>
        <v>0</v>
      </c>
      <c r="E15" s="202"/>
      <c r="F15" s="850">
        <f>'Budget with Assumptions'!L15</f>
        <v>360000</v>
      </c>
      <c r="G15" s="686"/>
      <c r="H15" s="850">
        <f>'Budget with Assumptions'!N15</f>
        <v>0</v>
      </c>
      <c r="I15" s="686"/>
      <c r="J15" s="850">
        <f>'Budget with Assumptions'!P15</f>
        <v>0</v>
      </c>
      <c r="K15" s="678"/>
      <c r="L15" s="850">
        <f>'Budget with Assumptions'!R15</f>
        <v>0</v>
      </c>
      <c r="M15" s="114"/>
      <c r="N15" s="850">
        <f>'Budget with Assumptions'!T15</f>
        <v>0</v>
      </c>
      <c r="O15" s="809"/>
      <c r="P15" s="103">
        <f t="shared" si="0"/>
        <v>7.6897469080008288E-2</v>
      </c>
      <c r="Q15" s="103">
        <f t="shared" si="1"/>
        <v>0</v>
      </c>
      <c r="R15" s="103">
        <f t="shared" si="2"/>
        <v>0</v>
      </c>
      <c r="S15" s="103">
        <f t="shared" si="3"/>
        <v>0</v>
      </c>
      <c r="T15" s="103">
        <f t="shared" si="4"/>
        <v>0</v>
      </c>
      <c r="U15" s="85"/>
    </row>
    <row r="16" spans="1:21" ht="15.75" customHeight="1">
      <c r="A16" s="90" t="str">
        <f>'Budget with Assumptions'!A16</f>
        <v>Non-CPS Facility Supplement</v>
      </c>
      <c r="B16" s="40"/>
      <c r="C16" s="333"/>
      <c r="D16" s="850">
        <f>'Budget with Assumptions'!J16</f>
        <v>0</v>
      </c>
      <c r="E16" s="202"/>
      <c r="F16" s="850">
        <f>'Budget with Assumptions'!L16</f>
        <v>337500</v>
      </c>
      <c r="G16" s="264"/>
      <c r="H16" s="850">
        <f>'Budget with Assumptions'!N16</f>
        <v>393750</v>
      </c>
      <c r="I16" s="264"/>
      <c r="J16" s="850">
        <f>'Budget with Assumptions'!P16</f>
        <v>446250</v>
      </c>
      <c r="K16" s="411"/>
      <c r="L16" s="850">
        <f>'Budget with Assumptions'!R16</f>
        <v>498750</v>
      </c>
      <c r="M16" s="495"/>
      <c r="N16" s="850">
        <f>'Budget with Assumptions'!T16</f>
        <v>551250</v>
      </c>
      <c r="O16" s="809"/>
      <c r="P16" s="103">
        <f t="shared" si="0"/>
        <v>7.2091377262507778E-2</v>
      </c>
      <c r="Q16" s="103">
        <f t="shared" si="1"/>
        <v>8.0506586741213096E-2</v>
      </c>
      <c r="R16" s="103">
        <f t="shared" si="2"/>
        <v>8.0147149627912487E-2</v>
      </c>
      <c r="S16" s="103">
        <f t="shared" si="3"/>
        <v>7.938786646513582E-2</v>
      </c>
      <c r="T16" s="103">
        <f t="shared" si="4"/>
        <v>7.8338178434205055E-2</v>
      </c>
      <c r="U16" s="85"/>
    </row>
    <row r="17" spans="1:21" ht="15.75" customHeight="1">
      <c r="A17" s="90" t="str">
        <f>'Budget with Assumptions'!A17</f>
        <v>SGSA</v>
      </c>
      <c r="B17" s="40"/>
      <c r="C17" s="333"/>
      <c r="D17" s="850">
        <f>'Budget with Assumptions'!J17</f>
        <v>0</v>
      </c>
      <c r="E17" s="202"/>
      <c r="F17" s="850">
        <f>'Budget with Assumptions'!L17</f>
        <v>331010</v>
      </c>
      <c r="G17" s="264"/>
      <c r="H17" s="850">
        <f>'Budget with Assumptions'!N17</f>
        <v>385520</v>
      </c>
      <c r="I17" s="264"/>
      <c r="J17" s="850">
        <f>'Budget with Assumptions'!P17</f>
        <v>436870</v>
      </c>
      <c r="K17" s="411"/>
      <c r="L17" s="850">
        <f>'Budget with Assumptions'!R17</f>
        <v>488220</v>
      </c>
      <c r="M17" s="495"/>
      <c r="N17" s="850">
        <f>'Budget with Assumptions'!T17</f>
        <v>540360</v>
      </c>
      <c r="O17" s="809"/>
      <c r="P17" s="103">
        <f t="shared" si="0"/>
        <v>7.0705086778259846E-2</v>
      </c>
      <c r="Q17" s="103">
        <f t="shared" si="1"/>
        <v>7.8823871290088818E-2</v>
      </c>
      <c r="R17" s="103">
        <f t="shared" si="2"/>
        <v>7.8462487972988521E-2</v>
      </c>
      <c r="S17" s="103">
        <f t="shared" si="3"/>
        <v>7.7711767750593713E-2</v>
      </c>
      <c r="T17" s="103">
        <f t="shared" si="4"/>
        <v>7.6790599725545652E-2</v>
      </c>
      <c r="U17" s="85"/>
    </row>
    <row r="18" spans="1:21" ht="15.75" customHeight="1">
      <c r="A18" s="90" t="str">
        <f>'Budget with Assumptions'!A18</f>
        <v>NCLB-Title 1</v>
      </c>
      <c r="B18" s="40"/>
      <c r="C18" s="333"/>
      <c r="D18" s="850">
        <f>'Budget with Assumptions'!J18</f>
        <v>0</v>
      </c>
      <c r="E18" s="202"/>
      <c r="F18" s="850">
        <f>'Budget with Assumptions'!L18</f>
        <v>196282</v>
      </c>
      <c r="G18" s="264"/>
      <c r="H18" s="850">
        <f>'Budget with Assumptions'!N18</f>
        <v>229126</v>
      </c>
      <c r="I18" s="264"/>
      <c r="J18" s="850">
        <f>'Budget with Assumptions'!P18</f>
        <v>259624</v>
      </c>
      <c r="K18" s="411"/>
      <c r="L18" s="850">
        <f>'Budget with Assumptions'!R18</f>
        <v>290122</v>
      </c>
      <c r="M18" s="495"/>
      <c r="N18" s="850">
        <f>'Budget with Assumptions'!T18</f>
        <v>320620</v>
      </c>
      <c r="O18" s="809"/>
      <c r="P18" s="103">
        <f t="shared" si="0"/>
        <v>4.1926636183228297E-2</v>
      </c>
      <c r="Q18" s="103">
        <f t="shared" si="1"/>
        <v>4.6847370650583343E-2</v>
      </c>
      <c r="R18" s="103">
        <f t="shared" si="2"/>
        <v>4.6628848347332552E-2</v>
      </c>
      <c r="S18" s="103">
        <f t="shared" si="3"/>
        <v>4.6179782645810796E-2</v>
      </c>
      <c r="T18" s="103">
        <f t="shared" si="4"/>
        <v>4.5563332008299005E-2</v>
      </c>
      <c r="U18" s="85"/>
    </row>
    <row r="19" spans="1:21" ht="15.75" customHeight="1">
      <c r="A19" s="90" t="str">
        <f>'Budget with Assumptions'!A19</f>
        <v>NLCB-Title 2</v>
      </c>
      <c r="B19" s="40"/>
      <c r="C19" s="333"/>
      <c r="D19" s="850">
        <f>'Budget with Assumptions'!J19</f>
        <v>0</v>
      </c>
      <c r="E19" s="202"/>
      <c r="F19" s="850">
        <f>'Budget with Assumptions'!L19</f>
        <v>28800</v>
      </c>
      <c r="G19" s="264"/>
      <c r="H19" s="850">
        <f>'Budget with Assumptions'!N19</f>
        <v>33600</v>
      </c>
      <c r="I19" s="264"/>
      <c r="J19" s="850">
        <f>'Budget with Assumptions'!P19</f>
        <v>38080</v>
      </c>
      <c r="K19" s="411"/>
      <c r="L19" s="850">
        <f>'Budget with Assumptions'!R19</f>
        <v>42560</v>
      </c>
      <c r="M19" s="495"/>
      <c r="N19" s="850">
        <f>'Budget with Assumptions'!T19</f>
        <v>47040</v>
      </c>
      <c r="O19" s="809"/>
      <c r="P19" s="103">
        <f t="shared" si="0"/>
        <v>6.1517975264006632E-3</v>
      </c>
      <c r="Q19" s="103">
        <f t="shared" si="1"/>
        <v>6.8698954019168514E-3</v>
      </c>
      <c r="R19" s="103">
        <f t="shared" si="2"/>
        <v>6.8392234349151987E-3</v>
      </c>
      <c r="S19" s="103">
        <f t="shared" si="3"/>
        <v>6.7744312716915903E-3</v>
      </c>
      <c r="T19" s="103">
        <f t="shared" si="4"/>
        <v>6.684857893052165E-3</v>
      </c>
      <c r="U19" s="85"/>
    </row>
    <row r="20" spans="1:21" ht="15.75" customHeight="1">
      <c r="A20" s="90" t="str">
        <f>'Budget with Assumptions'!A20</f>
        <v>ELL</v>
      </c>
      <c r="B20" s="40"/>
      <c r="C20" s="333"/>
      <c r="D20" s="850">
        <f>'Budget with Assumptions'!J20</f>
        <v>0</v>
      </c>
      <c r="E20" s="202"/>
      <c r="F20" s="850">
        <f>'Budget with Assumptions'!L20</f>
        <v>0</v>
      </c>
      <c r="G20" s="264"/>
      <c r="H20" s="850">
        <f>'Budget with Assumptions'!N20</f>
        <v>0</v>
      </c>
      <c r="I20" s="264"/>
      <c r="J20" s="850">
        <f>'Budget with Assumptions'!P20</f>
        <v>0</v>
      </c>
      <c r="K20" s="411"/>
      <c r="L20" s="850">
        <f>'Budget with Assumptions'!R20</f>
        <v>0</v>
      </c>
      <c r="M20" s="495"/>
      <c r="N20" s="850">
        <f>'Budget with Assumptions'!T20</f>
        <v>0</v>
      </c>
      <c r="O20" s="809"/>
      <c r="P20" s="103">
        <f t="shared" si="0"/>
        <v>0</v>
      </c>
      <c r="Q20" s="103">
        <f t="shared" si="1"/>
        <v>0</v>
      </c>
      <c r="R20" s="103">
        <f t="shared" si="2"/>
        <v>0</v>
      </c>
      <c r="S20" s="103">
        <f t="shared" si="3"/>
        <v>0</v>
      </c>
      <c r="T20" s="103">
        <f t="shared" si="4"/>
        <v>0</v>
      </c>
      <c r="U20" s="85"/>
    </row>
    <row r="21" spans="1:21" ht="15.75" customHeight="1">
      <c r="A21" s="90" t="str">
        <f>'Budget with Assumptions'!A21</f>
        <v>Special Education Reimbursement</v>
      </c>
      <c r="B21" s="40"/>
      <c r="C21" s="333"/>
      <c r="D21" s="850">
        <f>'Budget with Assumptions'!J21</f>
        <v>0</v>
      </c>
      <c r="E21" s="264"/>
      <c r="F21" s="850">
        <f>'Budget with Assumptions'!L21</f>
        <v>201000</v>
      </c>
      <c r="G21" s="264"/>
      <c r="H21" s="850">
        <f>'Budget with Assumptions'!N21</f>
        <v>201000</v>
      </c>
      <c r="I21" s="264"/>
      <c r="J21" s="850">
        <f>'Budget with Assumptions'!P21</f>
        <v>261000</v>
      </c>
      <c r="K21" s="411"/>
      <c r="L21" s="850">
        <f>'Budget with Assumptions'!R21</f>
        <v>282000</v>
      </c>
      <c r="M21" s="495"/>
      <c r="N21" s="850">
        <f>'Budget with Assumptions'!T21</f>
        <v>342000</v>
      </c>
      <c r="O21" s="809"/>
      <c r="P21" s="103">
        <f t="shared" si="0"/>
        <v>4.2934420236337964E-2</v>
      </c>
      <c r="Q21" s="103">
        <f t="shared" si="1"/>
        <v>4.1096695707895446E-2</v>
      </c>
      <c r="R21" s="103">
        <f t="shared" si="2"/>
        <v>4.6875979950442931E-2</v>
      </c>
      <c r="S21" s="103">
        <f t="shared" si="3"/>
        <v>4.4886974121640708E-2</v>
      </c>
      <c r="T21" s="103">
        <f t="shared" si="4"/>
        <v>4.8601645395914973E-2</v>
      </c>
      <c r="U21" s="85"/>
    </row>
    <row r="22" spans="1:21" ht="15.75" customHeight="1">
      <c r="A22" s="90" t="str">
        <f>'Budget with Assumptions'!A22</f>
        <v>CPS Incubation Funds</v>
      </c>
      <c r="B22" s="40"/>
      <c r="C22" s="333"/>
      <c r="D22" s="850">
        <f>'Budget with Assumptions'!J22</f>
        <v>160000</v>
      </c>
      <c r="E22" s="264"/>
      <c r="F22" s="850">
        <f>'Budget with Assumptions'!L22</f>
        <v>0</v>
      </c>
      <c r="G22" s="264"/>
      <c r="H22" s="850">
        <f>'Budget with Assumptions'!N22</f>
        <v>0</v>
      </c>
      <c r="I22" s="264"/>
      <c r="J22" s="850">
        <f>'Budget with Assumptions'!P22</f>
        <v>0</v>
      </c>
      <c r="K22" s="411"/>
      <c r="L22" s="850">
        <f>'Budget with Assumptions'!R22</f>
        <v>0</v>
      </c>
      <c r="M22" s="495"/>
      <c r="N22" s="850">
        <f>'Budget with Assumptions'!T22</f>
        <v>0</v>
      </c>
      <c r="O22" s="809"/>
      <c r="P22" s="103">
        <f t="shared" si="0"/>
        <v>0</v>
      </c>
      <c r="Q22" s="103">
        <f t="shared" si="1"/>
        <v>0</v>
      </c>
      <c r="R22" s="103">
        <f t="shared" si="2"/>
        <v>0</v>
      </c>
      <c r="S22" s="103">
        <f t="shared" si="3"/>
        <v>0</v>
      </c>
      <c r="T22" s="103">
        <f t="shared" si="4"/>
        <v>0</v>
      </c>
      <c r="U22" s="85"/>
    </row>
    <row r="23" spans="1:21" ht="15.75" customHeight="1">
      <c r="A23" s="90" t="str">
        <f>'Budget with Assumptions'!A23</f>
        <v>Private Fundraising</v>
      </c>
      <c r="B23" s="40"/>
      <c r="C23" s="333"/>
      <c r="D23" s="850">
        <f>'Budget with Assumptions'!J23</f>
        <v>0</v>
      </c>
      <c r="E23" s="264"/>
      <c r="F23" s="850">
        <f>'Budget with Assumptions'!L23</f>
        <v>0</v>
      </c>
      <c r="G23" s="264"/>
      <c r="H23" s="850">
        <f>'Budget with Assumptions'!N23</f>
        <v>0</v>
      </c>
      <c r="I23" s="264"/>
      <c r="J23" s="850">
        <f>'Budget with Assumptions'!P23</f>
        <v>0</v>
      </c>
      <c r="K23" s="411"/>
      <c r="L23" s="850">
        <f>'Budget with Assumptions'!R23</f>
        <v>0</v>
      </c>
      <c r="M23" s="495"/>
      <c r="N23" s="850">
        <f>'Budget with Assumptions'!T23</f>
        <v>0</v>
      </c>
      <c r="O23" s="809"/>
      <c r="P23" s="103">
        <f t="shared" si="0"/>
        <v>0</v>
      </c>
      <c r="Q23" s="103">
        <f t="shared" si="1"/>
        <v>0</v>
      </c>
      <c r="R23" s="103">
        <f t="shared" si="2"/>
        <v>0</v>
      </c>
      <c r="S23" s="103">
        <f t="shared" si="3"/>
        <v>0</v>
      </c>
      <c r="T23" s="103">
        <f t="shared" si="4"/>
        <v>0</v>
      </c>
      <c r="U23" s="85"/>
    </row>
    <row r="24" spans="1:21" ht="15.75" customHeight="1">
      <c r="A24" s="90" t="str">
        <f>'Budget with Assumptions'!A24</f>
        <v>Student Fees</v>
      </c>
      <c r="B24" s="40"/>
      <c r="C24" s="333"/>
      <c r="D24" s="850">
        <f>'Budget with Assumptions'!J24</f>
        <v>0</v>
      </c>
      <c r="E24" s="264"/>
      <c r="F24" s="850">
        <f>'Budget with Assumptions'!L24</f>
        <v>15749.999999999998</v>
      </c>
      <c r="G24" s="264"/>
      <c r="H24" s="850">
        <f>'Budget with Assumptions'!N24</f>
        <v>18375</v>
      </c>
      <c r="I24" s="264"/>
      <c r="J24" s="850">
        <f>'Budget with Assumptions'!P24</f>
        <v>20825</v>
      </c>
      <c r="K24" s="411"/>
      <c r="L24" s="850">
        <f>'Budget with Assumptions'!R24</f>
        <v>23275</v>
      </c>
      <c r="M24" s="495"/>
      <c r="N24" s="850">
        <f>'Budget with Assumptions'!T24</f>
        <v>25725</v>
      </c>
      <c r="O24" s="809"/>
      <c r="P24" s="103">
        <f t="shared" si="0"/>
        <v>3.3642642722503625E-3</v>
      </c>
      <c r="Q24" s="103">
        <f t="shared" si="1"/>
        <v>3.7569740479232779E-3</v>
      </c>
      <c r="R24" s="103">
        <f t="shared" si="2"/>
        <v>3.7402003159692494E-3</v>
      </c>
      <c r="S24" s="103">
        <f t="shared" si="3"/>
        <v>3.7047671017063385E-3</v>
      </c>
      <c r="T24" s="103">
        <f t="shared" si="4"/>
        <v>3.6557816602629024E-3</v>
      </c>
      <c r="U24" s="85"/>
    </row>
    <row r="25" spans="1:21" ht="15.75" customHeight="1">
      <c r="A25" s="90" t="str">
        <f>'Budget with Assumptions'!A25</f>
        <v>Erate</v>
      </c>
      <c r="B25" s="40"/>
      <c r="C25" s="333"/>
      <c r="D25" s="850">
        <f>'Budget with Assumptions'!J25</f>
        <v>0</v>
      </c>
      <c r="E25" s="264"/>
      <c r="F25" s="850">
        <f>'Budget with Assumptions'!L25</f>
        <v>0</v>
      </c>
      <c r="G25" s="264"/>
      <c r="H25" s="850">
        <f>'Budget with Assumptions'!N25</f>
        <v>0</v>
      </c>
      <c r="I25" s="264"/>
      <c r="J25" s="850">
        <f>'Budget with Assumptions'!P25</f>
        <v>0</v>
      </c>
      <c r="K25" s="411"/>
      <c r="L25" s="850">
        <f>'Budget with Assumptions'!R25</f>
        <v>0</v>
      </c>
      <c r="M25" s="495"/>
      <c r="N25" s="850">
        <f>'Budget with Assumptions'!T25</f>
        <v>0</v>
      </c>
      <c r="O25" s="809"/>
      <c r="P25" s="103">
        <f t="shared" si="0"/>
        <v>0</v>
      </c>
      <c r="Q25" s="103">
        <f t="shared" si="1"/>
        <v>0</v>
      </c>
      <c r="R25" s="103">
        <f t="shared" si="2"/>
        <v>0</v>
      </c>
      <c r="S25" s="103">
        <f t="shared" si="3"/>
        <v>0</v>
      </c>
      <c r="T25" s="103">
        <f t="shared" si="4"/>
        <v>0</v>
      </c>
      <c r="U25" s="85"/>
    </row>
    <row r="26" spans="1:21" ht="15.75" customHeight="1">
      <c r="A26" s="90" t="str">
        <f>'Budget with Assumptions'!A26</f>
        <v>Investment Income</v>
      </c>
      <c r="B26" s="40"/>
      <c r="C26" s="333"/>
      <c r="D26" s="850">
        <f>'Budget with Assumptions'!J26</f>
        <v>0</v>
      </c>
      <c r="E26" s="264"/>
      <c r="F26" s="850">
        <f>'Budget with Assumptions'!L26</f>
        <v>0</v>
      </c>
      <c r="G26" s="264"/>
      <c r="H26" s="850">
        <f>'Budget with Assumptions'!N26</f>
        <v>0</v>
      </c>
      <c r="I26" s="264"/>
      <c r="J26" s="850">
        <f>'Budget with Assumptions'!P26</f>
        <v>0</v>
      </c>
      <c r="K26" s="411"/>
      <c r="L26" s="850">
        <f>'Budget with Assumptions'!R26</f>
        <v>0</v>
      </c>
      <c r="M26" s="495"/>
      <c r="N26" s="850">
        <f>'Budget with Assumptions'!T26</f>
        <v>0</v>
      </c>
      <c r="O26" s="809"/>
      <c r="P26" s="103">
        <f t="shared" si="0"/>
        <v>0</v>
      </c>
      <c r="Q26" s="103">
        <f t="shared" si="1"/>
        <v>0</v>
      </c>
      <c r="R26" s="103">
        <f t="shared" si="2"/>
        <v>0</v>
      </c>
      <c r="S26" s="103">
        <f t="shared" si="3"/>
        <v>0</v>
      </c>
      <c r="T26" s="103">
        <f t="shared" si="4"/>
        <v>0</v>
      </c>
      <c r="U26" s="85"/>
    </row>
    <row r="27" spans="1:21" ht="15.75" customHeight="1">
      <c r="A27" s="90" t="str">
        <f>'Budget with Assumptions'!A27</f>
        <v>Non-Facility Loan Proceeds / Line of Credit</v>
      </c>
      <c r="B27" s="40"/>
      <c r="C27" s="333"/>
      <c r="D27" s="850">
        <f>'Budget with Assumptions'!J27</f>
        <v>250000</v>
      </c>
      <c r="E27" s="264"/>
      <c r="F27" s="850">
        <f>'Budget with Assumptions'!L27</f>
        <v>0</v>
      </c>
      <c r="G27" s="264"/>
      <c r="H27" s="850">
        <f>'Budget with Assumptions'!N27</f>
        <v>0</v>
      </c>
      <c r="I27" s="264"/>
      <c r="J27" s="850">
        <f>'Budget with Assumptions'!P27</f>
        <v>0</v>
      </c>
      <c r="K27" s="411"/>
      <c r="L27" s="850">
        <f>'Budget with Assumptions'!R27</f>
        <v>0</v>
      </c>
      <c r="M27" s="495"/>
      <c r="N27" s="850">
        <f>'Budget with Assumptions'!T27</f>
        <v>0</v>
      </c>
      <c r="O27" s="809"/>
      <c r="P27" s="103">
        <f t="shared" si="0"/>
        <v>0</v>
      </c>
      <c r="Q27" s="103">
        <f t="shared" si="1"/>
        <v>0</v>
      </c>
      <c r="R27" s="103">
        <f t="shared" si="2"/>
        <v>0</v>
      </c>
      <c r="S27" s="103">
        <f t="shared" si="3"/>
        <v>0</v>
      </c>
      <c r="T27" s="103">
        <f t="shared" si="4"/>
        <v>0</v>
      </c>
      <c r="U27" s="85"/>
    </row>
    <row r="28" spans="1:21" ht="15.75" customHeight="1">
      <c r="A28" s="90" t="str">
        <f>'Budget with Assumptions'!A28</f>
        <v>Walton Family</v>
      </c>
      <c r="B28" s="40"/>
      <c r="C28" s="333"/>
      <c r="D28" s="850">
        <f>'Budget with Assumptions'!J28</f>
        <v>0</v>
      </c>
      <c r="E28" s="264"/>
      <c r="F28" s="850"/>
      <c r="G28" s="264"/>
      <c r="H28" s="850">
        <f>'Budget with Assumptions'!N28</f>
        <v>0</v>
      </c>
      <c r="I28" s="264"/>
      <c r="J28" s="850">
        <f>'Budget with Assumptions'!P28</f>
        <v>0</v>
      </c>
      <c r="K28" s="411"/>
      <c r="L28" s="850">
        <f>'Budget with Assumptions'!R28</f>
        <v>0</v>
      </c>
      <c r="M28" s="495"/>
      <c r="N28" s="850">
        <f>'Budget with Assumptions'!T28</f>
        <v>0</v>
      </c>
      <c r="O28" s="809"/>
      <c r="P28" s="103">
        <f t="shared" si="0"/>
        <v>0</v>
      </c>
      <c r="Q28" s="103">
        <f t="shared" si="1"/>
        <v>0</v>
      </c>
      <c r="R28" s="103">
        <f t="shared" si="2"/>
        <v>0</v>
      </c>
      <c r="S28" s="103">
        <f t="shared" si="3"/>
        <v>0</v>
      </c>
      <c r="T28" s="103">
        <f t="shared" si="4"/>
        <v>0</v>
      </c>
      <c r="U28" s="85"/>
    </row>
    <row r="29" spans="1:21" ht="15.75" customHeight="1">
      <c r="A29" s="90" t="str">
        <f>'Budget with Assumptions'!A29</f>
        <v>Federal Charter School Planning Grant</v>
      </c>
      <c r="B29" s="40"/>
      <c r="C29" s="333"/>
      <c r="D29" s="850">
        <f>'Budget with Assumptions'!J29</f>
        <v>75000</v>
      </c>
      <c r="E29" s="264"/>
      <c r="F29" s="850">
        <f>'Budget with Assumptions'!L29</f>
        <v>0</v>
      </c>
      <c r="G29" s="264"/>
      <c r="H29" s="850">
        <f>'Budget with Assumptions'!N29</f>
        <v>0</v>
      </c>
      <c r="I29" s="264"/>
      <c r="J29" s="850">
        <f>'Budget with Assumptions'!P29</f>
        <v>0</v>
      </c>
      <c r="K29" s="411"/>
      <c r="L29" s="850">
        <f>'Budget with Assumptions'!R29</f>
        <v>0</v>
      </c>
      <c r="M29" s="495"/>
      <c r="N29" s="850">
        <f>'Budget with Assumptions'!T29</f>
        <v>0</v>
      </c>
      <c r="O29" s="809"/>
      <c r="P29" s="103">
        <f t="shared" si="0"/>
        <v>0</v>
      </c>
      <c r="Q29" s="103">
        <f t="shared" si="1"/>
        <v>0</v>
      </c>
      <c r="R29" s="103">
        <f t="shared" si="2"/>
        <v>0</v>
      </c>
      <c r="S29" s="103">
        <f t="shared" si="3"/>
        <v>0</v>
      </c>
      <c r="T29" s="103">
        <f t="shared" si="4"/>
        <v>0</v>
      </c>
      <c r="U29" s="85"/>
    </row>
    <row r="30" spans="1:21" ht="15.75" customHeight="1">
      <c r="A30" s="90" t="str">
        <f>'Budget with Assumptions'!A30</f>
        <v>Federal Charter School Implementation Grant</v>
      </c>
      <c r="B30" s="40"/>
      <c r="C30" s="333"/>
      <c r="D30" s="850">
        <f>'Budget with Assumptions'!J30</f>
        <v>0</v>
      </c>
      <c r="E30" s="264"/>
      <c r="F30" s="850">
        <f>'Budget with Assumptions'!L30</f>
        <v>125000</v>
      </c>
      <c r="G30" s="264"/>
      <c r="H30" s="850">
        <f>'Budget with Assumptions'!N30</f>
        <v>0</v>
      </c>
      <c r="I30" s="264"/>
      <c r="J30" s="850">
        <f>'Budget with Assumptions'!P30</f>
        <v>0</v>
      </c>
      <c r="K30" s="411"/>
      <c r="L30" s="850">
        <f>'Budget with Assumptions'!R30</f>
        <v>0</v>
      </c>
      <c r="M30" s="495"/>
      <c r="N30" s="850">
        <f>'Budget with Assumptions'!T30</f>
        <v>0</v>
      </c>
      <c r="O30" s="809"/>
      <c r="P30" s="103">
        <f t="shared" si="0"/>
        <v>2.67005100972251E-2</v>
      </c>
      <c r="Q30" s="103">
        <f t="shared" si="1"/>
        <v>0</v>
      </c>
      <c r="R30" s="103">
        <f t="shared" si="2"/>
        <v>0</v>
      </c>
      <c r="S30" s="103">
        <f t="shared" si="3"/>
        <v>0</v>
      </c>
      <c r="T30" s="103">
        <f t="shared" si="4"/>
        <v>0</v>
      </c>
      <c r="U30" s="85"/>
    </row>
    <row r="31" spans="1:21" ht="15.75" customHeight="1">
      <c r="A31" s="90" t="str">
        <f>'Budget with Assumptions'!A31</f>
        <v>IFF Equipment Loan</v>
      </c>
      <c r="B31" s="40"/>
      <c r="C31" s="333"/>
      <c r="D31" s="850">
        <f>'Budget with Assumptions'!J31</f>
        <v>0</v>
      </c>
      <c r="E31" s="264"/>
      <c r="F31" s="850">
        <f>'Budget with Assumptions'!L31</f>
        <v>0</v>
      </c>
      <c r="G31" s="264"/>
      <c r="H31" s="850">
        <f>'Budget with Assumptions'!N31</f>
        <v>0</v>
      </c>
      <c r="I31" s="264"/>
      <c r="J31" s="850">
        <f>'Budget with Assumptions'!P31</f>
        <v>0</v>
      </c>
      <c r="K31" s="411"/>
      <c r="L31" s="850">
        <f>'Budget with Assumptions'!R31</f>
        <v>0</v>
      </c>
      <c r="M31" s="495"/>
      <c r="N31" s="850">
        <f>'Budget with Assumptions'!T31</f>
        <v>0</v>
      </c>
      <c r="O31" s="809"/>
      <c r="P31" s="103">
        <f t="shared" si="0"/>
        <v>0</v>
      </c>
      <c r="Q31" s="103">
        <f t="shared" si="1"/>
        <v>0</v>
      </c>
      <c r="R31" s="103">
        <f t="shared" si="2"/>
        <v>0</v>
      </c>
      <c r="S31" s="103">
        <f t="shared" si="3"/>
        <v>0</v>
      </c>
      <c r="T31" s="103">
        <f t="shared" si="4"/>
        <v>0</v>
      </c>
      <c r="U31" s="85"/>
    </row>
    <row r="32" spans="1:21" ht="15.75" customHeight="1">
      <c r="A32" s="90">
        <f>'Budget with Assumptions'!A32</f>
        <v>0</v>
      </c>
      <c r="B32" s="40"/>
      <c r="C32" s="333"/>
      <c r="D32" s="850">
        <f>'Budget with Assumptions'!J32</f>
        <v>0</v>
      </c>
      <c r="E32" s="264"/>
      <c r="F32" s="850">
        <f>'Budget with Assumptions'!L32</f>
        <v>0</v>
      </c>
      <c r="G32" s="264"/>
      <c r="H32" s="850">
        <f>'Budget with Assumptions'!N32</f>
        <v>0</v>
      </c>
      <c r="I32" s="264"/>
      <c r="J32" s="850">
        <f>'Budget with Assumptions'!P32</f>
        <v>0</v>
      </c>
      <c r="K32" s="411"/>
      <c r="L32" s="850">
        <f>'Budget with Assumptions'!R32</f>
        <v>0</v>
      </c>
      <c r="M32" s="495"/>
      <c r="N32" s="850">
        <f>'Budget with Assumptions'!T32</f>
        <v>0</v>
      </c>
      <c r="O32" s="809"/>
      <c r="P32" s="103">
        <f t="shared" si="0"/>
        <v>0</v>
      </c>
      <c r="Q32" s="103">
        <f t="shared" si="1"/>
        <v>0</v>
      </c>
      <c r="R32" s="103">
        <f t="shared" si="2"/>
        <v>0</v>
      </c>
      <c r="S32" s="103">
        <f t="shared" si="3"/>
        <v>0</v>
      </c>
      <c r="T32" s="103">
        <f t="shared" si="4"/>
        <v>0</v>
      </c>
      <c r="U32" s="85"/>
    </row>
    <row r="33" spans="1:27" ht="15.75" customHeight="1">
      <c r="A33" s="90">
        <f>'Budget with Assumptions'!A33</f>
        <v>0</v>
      </c>
      <c r="B33" s="40"/>
      <c r="C33" s="333"/>
      <c r="D33" s="850">
        <f>'Budget with Assumptions'!J33</f>
        <v>0</v>
      </c>
      <c r="E33" s="264"/>
      <c r="F33" s="850">
        <f>'Budget with Assumptions'!L33</f>
        <v>0</v>
      </c>
      <c r="G33" s="264"/>
      <c r="H33" s="850">
        <f>'Budget with Assumptions'!N33</f>
        <v>0</v>
      </c>
      <c r="I33" s="264"/>
      <c r="J33" s="850">
        <f>'Budget with Assumptions'!P33</f>
        <v>0</v>
      </c>
      <c r="K33" s="411"/>
      <c r="L33" s="850">
        <f>'Budget with Assumptions'!R33</f>
        <v>0</v>
      </c>
      <c r="M33" s="495"/>
      <c r="N33" s="850">
        <f>'Budget with Assumptions'!T33</f>
        <v>0</v>
      </c>
      <c r="O33" s="809"/>
      <c r="P33" s="103">
        <f t="shared" si="0"/>
        <v>0</v>
      </c>
      <c r="Q33" s="103">
        <f t="shared" si="1"/>
        <v>0</v>
      </c>
      <c r="R33" s="103">
        <f t="shared" si="2"/>
        <v>0</v>
      </c>
      <c r="S33" s="103">
        <f t="shared" si="3"/>
        <v>0</v>
      </c>
      <c r="T33" s="103">
        <f t="shared" si="4"/>
        <v>0</v>
      </c>
      <c r="U33" s="85"/>
    </row>
    <row r="34" spans="1:27" ht="16.5" customHeight="1">
      <c r="A34" s="725"/>
      <c r="B34" s="65"/>
      <c r="C34" s="65"/>
      <c r="D34" s="453"/>
      <c r="E34" s="65"/>
      <c r="F34" s="453"/>
      <c r="G34" s="65"/>
      <c r="H34" s="453"/>
      <c r="I34" s="65"/>
      <c r="J34" s="321"/>
      <c r="K34" s="732"/>
      <c r="L34" s="423"/>
      <c r="M34" s="402"/>
      <c r="N34" s="423"/>
      <c r="P34" s="522"/>
      <c r="Q34" s="522"/>
      <c r="R34" s="522"/>
      <c r="S34" s="522"/>
      <c r="T34" s="522"/>
    </row>
    <row r="35" spans="1:27" ht="16.5" customHeight="1">
      <c r="A35" s="151"/>
      <c r="B35" s="509"/>
      <c r="C35" s="352"/>
      <c r="D35" s="610">
        <f>SUM(D10:D33)</f>
        <v>485000</v>
      </c>
      <c r="E35" s="300"/>
      <c r="F35" s="610">
        <f>SUM(F10:F33)</f>
        <v>4681558.5</v>
      </c>
      <c r="G35" s="300"/>
      <c r="H35" s="610">
        <f>SUM(H10:H33)</f>
        <v>4890904.16</v>
      </c>
      <c r="I35" s="300"/>
      <c r="J35" s="610">
        <f>SUM(J10:J33)</f>
        <v>5567883.5999999996</v>
      </c>
      <c r="K35" s="302"/>
      <c r="L35" s="610">
        <f>SUM(L10:L33)</f>
        <v>6282446.2000000002</v>
      </c>
      <c r="M35" s="154"/>
      <c r="N35" s="484">
        <f>SUM(N10:N33)</f>
        <v>7036798.7999999998</v>
      </c>
      <c r="O35" s="550"/>
      <c r="P35" s="791">
        <f>SUM(P10:P34)</f>
        <v>1</v>
      </c>
      <c r="Q35" s="791">
        <f>SUM(Q10:Q34)</f>
        <v>1</v>
      </c>
      <c r="R35" s="791">
        <f>SUM(R10:R34)</f>
        <v>1</v>
      </c>
      <c r="S35" s="791">
        <f>SUM(S10:S34)</f>
        <v>1</v>
      </c>
      <c r="T35" s="791">
        <f>SUM(T10:T34)</f>
        <v>1</v>
      </c>
      <c r="U35" s="676"/>
    </row>
    <row r="36" spans="1:27" ht="15.75" customHeight="1">
      <c r="A36" s="223"/>
      <c r="B36" s="65"/>
      <c r="C36" s="65"/>
      <c r="D36" s="524"/>
      <c r="E36" s="65"/>
      <c r="F36" s="524"/>
      <c r="G36" s="65"/>
      <c r="H36" s="524"/>
      <c r="I36" s="65"/>
      <c r="J36" s="524"/>
      <c r="K36" s="408"/>
      <c r="L36" s="334"/>
      <c r="M36" s="402"/>
      <c r="N36" s="334"/>
      <c r="P36" s="183"/>
      <c r="Q36" s="183"/>
      <c r="R36" s="183"/>
      <c r="S36" s="183"/>
      <c r="T36" s="183"/>
    </row>
    <row r="37" spans="1:27" ht="18" customHeight="1">
      <c r="A37" s="365" t="s">
        <v>121</v>
      </c>
      <c r="B37" s="65"/>
      <c r="C37" s="65"/>
      <c r="D37" s="65"/>
      <c r="E37" s="65"/>
      <c r="F37" s="65"/>
      <c r="G37" s="65"/>
      <c r="H37" s="65"/>
      <c r="I37" s="65"/>
      <c r="J37" s="65"/>
      <c r="K37" s="408"/>
      <c r="L37" s="53"/>
      <c r="M37" s="402"/>
      <c r="N37" s="53"/>
      <c r="V37" s="456"/>
      <c r="W37" s="456"/>
      <c r="X37" s="456"/>
      <c r="Y37" s="456"/>
      <c r="Z37" s="456"/>
    </row>
    <row r="38" spans="1:27" ht="18" customHeight="1">
      <c r="A38" s="673"/>
      <c r="B38" s="65"/>
      <c r="C38" s="65"/>
      <c r="D38" s="65"/>
      <c r="E38" s="65"/>
      <c r="F38" s="65"/>
      <c r="G38" s="65"/>
      <c r="H38" s="65"/>
      <c r="I38" s="65"/>
      <c r="J38" s="65"/>
      <c r="K38" s="408"/>
      <c r="L38" s="53"/>
      <c r="M38" s="402"/>
      <c r="N38" s="53"/>
      <c r="P38" s="661"/>
      <c r="Q38" s="661"/>
      <c r="R38" s="661"/>
      <c r="S38" s="661"/>
      <c r="T38" s="661"/>
      <c r="U38" s="400"/>
      <c r="V38" s="942" t="s">
        <v>10</v>
      </c>
      <c r="W38" s="943"/>
      <c r="X38" s="943"/>
      <c r="Y38" s="943"/>
      <c r="Z38" s="944"/>
      <c r="AA38" s="676"/>
    </row>
    <row r="39" spans="1:27" ht="32.25" customHeight="1">
      <c r="A39" s="634" t="s">
        <v>123</v>
      </c>
      <c r="B39" s="613"/>
      <c r="C39" s="65"/>
      <c r="D39" s="163"/>
      <c r="E39" s="808"/>
      <c r="F39" s="163"/>
      <c r="G39" s="808"/>
      <c r="H39" s="163"/>
      <c r="I39" s="808"/>
      <c r="J39" s="163"/>
      <c r="K39" s="312"/>
      <c r="L39" s="163"/>
      <c r="M39" s="402"/>
      <c r="N39" s="163"/>
      <c r="O39" s="400"/>
      <c r="P39" s="942" t="s">
        <v>11</v>
      </c>
      <c r="Q39" s="943"/>
      <c r="R39" s="943"/>
      <c r="S39" s="943"/>
      <c r="T39" s="944"/>
      <c r="U39" s="550"/>
      <c r="V39" s="425">
        <f>P9</f>
        <v>1</v>
      </c>
      <c r="W39" s="425">
        <f>Q9</f>
        <v>2</v>
      </c>
      <c r="X39" s="425">
        <f>R9</f>
        <v>3</v>
      </c>
      <c r="Y39" s="425">
        <f>S9</f>
        <v>4</v>
      </c>
      <c r="Z39" s="425">
        <f>T9</f>
        <v>5</v>
      </c>
      <c r="AA39" s="676"/>
    </row>
    <row r="40" spans="1:27" ht="15.75" customHeight="1">
      <c r="A40" s="255" t="str">
        <f>'Budget with Assumptions'!A40</f>
        <v>Classroom Supplies (consumables)</v>
      </c>
      <c r="B40" s="737"/>
      <c r="C40" s="804"/>
      <c r="D40" s="850">
        <f>'Budget with Assumptions'!J40</f>
        <v>0</v>
      </c>
      <c r="E40" s="264"/>
      <c r="F40" s="850">
        <f>'Budget with Assumptions'!L40</f>
        <v>45000</v>
      </c>
      <c r="G40" s="264"/>
      <c r="H40" s="850">
        <f>'Budget with Assumptions'!N40</f>
        <v>52500</v>
      </c>
      <c r="I40" s="264"/>
      <c r="J40" s="850">
        <f>'Budget with Assumptions'!P40</f>
        <v>59500</v>
      </c>
      <c r="K40" s="411"/>
      <c r="L40" s="850">
        <f>'Budget with Assumptions'!R40</f>
        <v>66500</v>
      </c>
      <c r="M40" s="495"/>
      <c r="N40" s="850">
        <f>'Budget with Assumptions'!T40</f>
        <v>73500</v>
      </c>
      <c r="O40" s="809"/>
      <c r="P40" s="584">
        <f t="shared" ref="P40:P62" si="5">F40/$F$159</f>
        <v>1.1711995625023074E-2</v>
      </c>
      <c r="Q40" s="584">
        <f t="shared" ref="Q40:Q62" si="6">H40/$H$159</f>
        <v>1.1180998861454858E-2</v>
      </c>
      <c r="R40" s="584">
        <f t="shared" ref="R40:R62" si="7">J40/$J$159</f>
        <v>1.1020272563262237E-2</v>
      </c>
      <c r="S40" s="584">
        <f t="shared" ref="S40:S62" si="8">L40/$L$159</f>
        <v>1.143278149101801E-2</v>
      </c>
      <c r="T40" s="584">
        <f t="shared" ref="T40:T62" si="9">N40/$N$159</f>
        <v>1.1343089643030355E-2</v>
      </c>
      <c r="U40" s="809"/>
      <c r="V40" s="140">
        <f t="shared" ref="V40:V62" si="10">F40/$F$178</f>
        <v>100</v>
      </c>
      <c r="W40" s="140">
        <f t="shared" ref="W40:W62" si="11">H40/$H$178</f>
        <v>100</v>
      </c>
      <c r="X40" s="140">
        <f t="shared" ref="X40:X62" si="12">J40/$J$178</f>
        <v>100</v>
      </c>
      <c r="Y40" s="140">
        <f t="shared" ref="Y40:Y62" si="13">L40/$L$178</f>
        <v>100</v>
      </c>
      <c r="Z40" s="140">
        <f t="shared" ref="Z40:Z62" si="14">N40/$N$178</f>
        <v>100</v>
      </c>
      <c r="AA40" s="85"/>
    </row>
    <row r="41" spans="1:27" ht="15.75" customHeight="1">
      <c r="A41" s="90" t="str">
        <f>'Budget with Assumptions'!A41</f>
        <v>Educational Materials (non-consumables)</v>
      </c>
      <c r="B41" s="640"/>
      <c r="C41" s="511"/>
      <c r="D41" s="850">
        <f>'Budget with Assumptions'!J41</f>
        <v>0</v>
      </c>
      <c r="E41" s="264"/>
      <c r="F41" s="850">
        <f>'Budget with Assumptions'!L41</f>
        <v>135000</v>
      </c>
      <c r="G41" s="264"/>
      <c r="H41" s="850">
        <f>'Budget with Assumptions'!N41</f>
        <v>22500</v>
      </c>
      <c r="I41" s="264"/>
      <c r="J41" s="850">
        <f>'Budget with Assumptions'!P41</f>
        <v>21000</v>
      </c>
      <c r="K41" s="411"/>
      <c r="L41" s="850">
        <f>'Budget with Assumptions'!R41</f>
        <v>21000</v>
      </c>
      <c r="M41" s="495"/>
      <c r="N41" s="850">
        <f>'Budget with Assumptions'!T41</f>
        <v>21000</v>
      </c>
      <c r="O41" s="809"/>
      <c r="P41" s="103">
        <f t="shared" si="5"/>
        <v>3.5135986875069226E-2</v>
      </c>
      <c r="Q41" s="103">
        <f t="shared" si="6"/>
        <v>4.7918566549092255E-3</v>
      </c>
      <c r="R41" s="103">
        <f t="shared" si="7"/>
        <v>3.8895079635043188E-3</v>
      </c>
      <c r="S41" s="103">
        <f t="shared" si="8"/>
        <v>3.6103520497951609E-3</v>
      </c>
      <c r="T41" s="103">
        <f t="shared" si="9"/>
        <v>3.2408827551515299E-3</v>
      </c>
      <c r="U41" s="809"/>
      <c r="V41" s="299">
        <f t="shared" si="10"/>
        <v>300</v>
      </c>
      <c r="W41" s="299">
        <f t="shared" si="11"/>
        <v>42.857142857142854</v>
      </c>
      <c r="X41" s="299">
        <f t="shared" si="12"/>
        <v>35.294117647058826</v>
      </c>
      <c r="Y41" s="299">
        <f t="shared" si="13"/>
        <v>31.578947368421051</v>
      </c>
      <c r="Z41" s="299">
        <f t="shared" si="14"/>
        <v>28.571428571428573</v>
      </c>
      <c r="AA41" s="85"/>
    </row>
    <row r="42" spans="1:27" ht="15.75" customHeight="1">
      <c r="A42" s="90" t="str">
        <f>'Budget with Assumptions'!A42</f>
        <v>Student Testing &amp; Assessment</v>
      </c>
      <c r="B42" s="640"/>
      <c r="C42" s="511"/>
      <c r="D42" s="850">
        <f>'Budget with Assumptions'!J42</f>
        <v>0</v>
      </c>
      <c r="E42" s="264"/>
      <c r="F42" s="850">
        <f>'Budget with Assumptions'!L42</f>
        <v>0</v>
      </c>
      <c r="G42" s="264"/>
      <c r="H42" s="850">
        <f>'Budget with Assumptions'!N42</f>
        <v>0</v>
      </c>
      <c r="I42" s="264"/>
      <c r="J42" s="850">
        <f>'Budget with Assumptions'!P42</f>
        <v>0</v>
      </c>
      <c r="K42" s="411"/>
      <c r="L42" s="850">
        <f>'Budget with Assumptions'!R42</f>
        <v>0</v>
      </c>
      <c r="M42" s="495"/>
      <c r="N42" s="850">
        <f>'Budget with Assumptions'!T42</f>
        <v>0</v>
      </c>
      <c r="O42" s="809"/>
      <c r="P42" s="103">
        <f t="shared" si="5"/>
        <v>0</v>
      </c>
      <c r="Q42" s="103">
        <f t="shared" si="6"/>
        <v>0</v>
      </c>
      <c r="R42" s="103">
        <f t="shared" si="7"/>
        <v>0</v>
      </c>
      <c r="S42" s="103">
        <f t="shared" si="8"/>
        <v>0</v>
      </c>
      <c r="T42" s="103">
        <f t="shared" si="9"/>
        <v>0</v>
      </c>
      <c r="U42" s="809"/>
      <c r="V42" s="299">
        <f t="shared" si="10"/>
        <v>0</v>
      </c>
      <c r="W42" s="299">
        <f t="shared" si="11"/>
        <v>0</v>
      </c>
      <c r="X42" s="299">
        <f t="shared" si="12"/>
        <v>0</v>
      </c>
      <c r="Y42" s="299">
        <f t="shared" si="13"/>
        <v>0</v>
      </c>
      <c r="Z42" s="299">
        <f t="shared" si="14"/>
        <v>0</v>
      </c>
      <c r="AA42" s="85"/>
    </row>
    <row r="43" spans="1:27" ht="15.75" customHeight="1">
      <c r="A43" s="90" t="str">
        <f>'Budget with Assumptions'!A43</f>
        <v>Student Recruitment</v>
      </c>
      <c r="B43" s="640"/>
      <c r="C43" s="511"/>
      <c r="D43" s="850">
        <f>'Budget with Assumptions'!J43</f>
        <v>40000</v>
      </c>
      <c r="E43" s="264"/>
      <c r="F43" s="850">
        <f>'Budget with Assumptions'!L43</f>
        <v>10000</v>
      </c>
      <c r="G43" s="264"/>
      <c r="H43" s="850">
        <f>'Budget with Assumptions'!N43</f>
        <v>10000</v>
      </c>
      <c r="I43" s="264"/>
      <c r="J43" s="850">
        <f>'Budget with Assumptions'!P43</f>
        <v>5000</v>
      </c>
      <c r="K43" s="411"/>
      <c r="L43" s="850">
        <f>'Budget with Assumptions'!R43</f>
        <v>5000</v>
      </c>
      <c r="M43" s="495"/>
      <c r="N43" s="850">
        <f>'Budget with Assumptions'!T43</f>
        <v>5000</v>
      </c>
      <c r="O43" s="809"/>
      <c r="P43" s="103">
        <f t="shared" si="5"/>
        <v>2.6026656944495722E-3</v>
      </c>
      <c r="Q43" s="103">
        <f t="shared" si="6"/>
        <v>2.1297140688485445E-3</v>
      </c>
      <c r="R43" s="103">
        <f t="shared" si="7"/>
        <v>9.2607332464388536E-4</v>
      </c>
      <c r="S43" s="103">
        <f t="shared" si="8"/>
        <v>8.5960763090360971E-4</v>
      </c>
      <c r="T43" s="103">
        <f t="shared" si="9"/>
        <v>7.7163875122655476E-4</v>
      </c>
      <c r="U43" s="809"/>
      <c r="V43" s="299">
        <f t="shared" si="10"/>
        <v>22.222222222222221</v>
      </c>
      <c r="W43" s="299">
        <f t="shared" si="11"/>
        <v>19.047619047619047</v>
      </c>
      <c r="X43" s="299">
        <f t="shared" si="12"/>
        <v>8.4033613445378155</v>
      </c>
      <c r="Y43" s="299">
        <f t="shared" si="13"/>
        <v>7.518796992481203</v>
      </c>
      <c r="Z43" s="299">
        <f t="shared" si="14"/>
        <v>6.8027210884353737</v>
      </c>
      <c r="AA43" s="85"/>
    </row>
    <row r="44" spans="1:27" ht="15.75" customHeight="1">
      <c r="A44" s="90" t="str">
        <f>'Budget with Assumptions'!A44</f>
        <v>Instructional Equipment (non-computer)</v>
      </c>
      <c r="B44" s="640"/>
      <c r="C44" s="511"/>
      <c r="D44" s="850">
        <f>'Budget with Assumptions'!J44</f>
        <v>0</v>
      </c>
      <c r="E44" s="264"/>
      <c r="F44" s="850">
        <f>'Budget with Assumptions'!L44</f>
        <v>5400</v>
      </c>
      <c r="G44" s="264"/>
      <c r="H44" s="850">
        <f>'Budget with Assumptions'!N44</f>
        <v>900</v>
      </c>
      <c r="I44" s="264"/>
      <c r="J44" s="850">
        <f>'Budget with Assumptions'!P44</f>
        <v>900</v>
      </c>
      <c r="K44" s="411"/>
      <c r="L44" s="850">
        <f>'Budget with Assumptions'!R44</f>
        <v>900</v>
      </c>
      <c r="M44" s="495"/>
      <c r="N44" s="850">
        <f>'Budget with Assumptions'!T44</f>
        <v>900</v>
      </c>
      <c r="O44" s="809"/>
      <c r="P44" s="103">
        <f t="shared" si="5"/>
        <v>1.405439475002769E-3</v>
      </c>
      <c r="Q44" s="103">
        <f t="shared" si="6"/>
        <v>1.9167426619636901E-4</v>
      </c>
      <c r="R44" s="103">
        <f t="shared" si="7"/>
        <v>1.6669319843589937E-4</v>
      </c>
      <c r="S44" s="103">
        <f t="shared" si="8"/>
        <v>1.5472937356264977E-4</v>
      </c>
      <c r="T44" s="103">
        <f t="shared" si="9"/>
        <v>1.3889497522077984E-4</v>
      </c>
      <c r="U44" s="809"/>
      <c r="V44" s="299">
        <f t="shared" si="10"/>
        <v>12</v>
      </c>
      <c r="W44" s="299">
        <f t="shared" si="11"/>
        <v>1.7142857142857142</v>
      </c>
      <c r="X44" s="299">
        <f t="shared" si="12"/>
        <v>1.5126050420168067</v>
      </c>
      <c r="Y44" s="299">
        <f t="shared" si="13"/>
        <v>1.3533834586466165</v>
      </c>
      <c r="Z44" s="299">
        <f t="shared" si="14"/>
        <v>1.2244897959183674</v>
      </c>
      <c r="AA44" s="85"/>
    </row>
    <row r="45" spans="1:27" ht="15.75" customHeight="1">
      <c r="A45" s="90" t="str">
        <f>'Budget with Assumptions'!A45</f>
        <v>Technology Equipment (e.g., computers, LAN, software, etc.)</v>
      </c>
      <c r="B45" s="640"/>
      <c r="C45" s="511"/>
      <c r="D45" s="850">
        <f>'Budget with Assumptions'!J45</f>
        <v>29000</v>
      </c>
      <c r="E45" s="264"/>
      <c r="F45" s="850">
        <f>'Budget with Assumptions'!L45</f>
        <v>0</v>
      </c>
      <c r="G45" s="264"/>
      <c r="H45" s="850">
        <f>'Budget with Assumptions'!N45</f>
        <v>29000</v>
      </c>
      <c r="I45" s="264"/>
      <c r="J45" s="850">
        <f>'Budget with Assumptions'!P45</f>
        <v>0</v>
      </c>
      <c r="K45" s="411"/>
      <c r="L45" s="850">
        <f>'Budget with Assumptions'!R45</f>
        <v>0</v>
      </c>
      <c r="M45" s="495"/>
      <c r="N45" s="850">
        <f>'Budget with Assumptions'!T45</f>
        <v>0</v>
      </c>
      <c r="O45" s="809"/>
      <c r="P45" s="103">
        <f t="shared" si="5"/>
        <v>0</v>
      </c>
      <c r="Q45" s="103">
        <f t="shared" si="6"/>
        <v>6.1761707996607794E-3</v>
      </c>
      <c r="R45" s="103">
        <f t="shared" si="7"/>
        <v>0</v>
      </c>
      <c r="S45" s="103">
        <f t="shared" si="8"/>
        <v>0</v>
      </c>
      <c r="T45" s="103">
        <f t="shared" si="9"/>
        <v>0</v>
      </c>
      <c r="U45" s="809"/>
      <c r="V45" s="299">
        <f t="shared" si="10"/>
        <v>0</v>
      </c>
      <c r="W45" s="299">
        <f t="shared" si="11"/>
        <v>55.238095238095241</v>
      </c>
      <c r="X45" s="299">
        <f t="shared" si="12"/>
        <v>0</v>
      </c>
      <c r="Y45" s="299">
        <f t="shared" si="13"/>
        <v>0</v>
      </c>
      <c r="Z45" s="299">
        <f t="shared" si="14"/>
        <v>0</v>
      </c>
      <c r="AA45" s="85"/>
    </row>
    <row r="46" spans="1:27" ht="15.75" customHeight="1">
      <c r="A46" s="90" t="str">
        <f>'Budget with Assumptions'!A46</f>
        <v>Furniture</v>
      </c>
      <c r="B46" s="640"/>
      <c r="C46" s="511"/>
      <c r="D46" s="850">
        <f>'Budget with Assumptions'!J46</f>
        <v>20000</v>
      </c>
      <c r="E46" s="264"/>
      <c r="F46" s="850">
        <f>'Budget with Assumptions'!L46</f>
        <v>10000</v>
      </c>
      <c r="G46" s="264"/>
      <c r="H46" s="850">
        <f>'Budget with Assumptions'!N46</f>
        <v>30000</v>
      </c>
      <c r="I46" s="264"/>
      <c r="J46" s="850">
        <f>'Budget with Assumptions'!P46</f>
        <v>30000</v>
      </c>
      <c r="K46" s="411"/>
      <c r="L46" s="850">
        <f>'Budget with Assumptions'!R46</f>
        <v>30000</v>
      </c>
      <c r="M46" s="495"/>
      <c r="N46" s="850">
        <f>'Budget with Assumptions'!T46</f>
        <v>30000</v>
      </c>
      <c r="O46" s="809"/>
      <c r="P46" s="103">
        <f t="shared" si="5"/>
        <v>2.6026656944495722E-3</v>
      </c>
      <c r="Q46" s="103">
        <f t="shared" si="6"/>
        <v>6.3891422065456335E-3</v>
      </c>
      <c r="R46" s="103">
        <f t="shared" si="7"/>
        <v>5.5564399478633128E-3</v>
      </c>
      <c r="S46" s="103">
        <f t="shared" si="8"/>
        <v>5.1576457854216589E-3</v>
      </c>
      <c r="T46" s="103">
        <f t="shared" si="9"/>
        <v>4.6298325073593286E-3</v>
      </c>
      <c r="U46" s="809"/>
      <c r="V46" s="299">
        <f t="shared" si="10"/>
        <v>22.222222222222221</v>
      </c>
      <c r="W46" s="299">
        <f t="shared" si="11"/>
        <v>57.142857142857146</v>
      </c>
      <c r="X46" s="299">
        <f t="shared" si="12"/>
        <v>50.420168067226889</v>
      </c>
      <c r="Y46" s="299">
        <f t="shared" si="13"/>
        <v>45.112781954887218</v>
      </c>
      <c r="Z46" s="299">
        <f t="shared" si="14"/>
        <v>40.816326530612244</v>
      </c>
      <c r="AA46" s="85"/>
    </row>
    <row r="47" spans="1:27" ht="15.75" customHeight="1">
      <c r="A47" s="90" t="str">
        <f>'Budget with Assumptions'!A47</f>
        <v>Technology Contracted Services</v>
      </c>
      <c r="B47" s="640"/>
      <c r="C47" s="511"/>
      <c r="D47" s="850">
        <f>'Budget with Assumptions'!J47</f>
        <v>0</v>
      </c>
      <c r="E47" s="264"/>
      <c r="F47" s="850">
        <f>'Budget with Assumptions'!L47</f>
        <v>0</v>
      </c>
      <c r="G47" s="264"/>
      <c r="H47" s="850">
        <f>'Budget with Assumptions'!N47</f>
        <v>0</v>
      </c>
      <c r="I47" s="264"/>
      <c r="J47" s="850">
        <f>'Budget with Assumptions'!P47</f>
        <v>0</v>
      </c>
      <c r="K47" s="411"/>
      <c r="L47" s="850">
        <f>'Budget with Assumptions'!R47</f>
        <v>0</v>
      </c>
      <c r="M47" s="495"/>
      <c r="N47" s="850">
        <f>'Budget with Assumptions'!T47</f>
        <v>0</v>
      </c>
      <c r="O47" s="809"/>
      <c r="P47" s="103">
        <f t="shared" si="5"/>
        <v>0</v>
      </c>
      <c r="Q47" s="103">
        <f t="shared" si="6"/>
        <v>0</v>
      </c>
      <c r="R47" s="103">
        <f t="shared" si="7"/>
        <v>0</v>
      </c>
      <c r="S47" s="103">
        <f t="shared" si="8"/>
        <v>0</v>
      </c>
      <c r="T47" s="103">
        <f t="shared" si="9"/>
        <v>0</v>
      </c>
      <c r="U47" s="809"/>
      <c r="V47" s="299">
        <f t="shared" si="10"/>
        <v>0</v>
      </c>
      <c r="W47" s="299">
        <f t="shared" si="11"/>
        <v>0</v>
      </c>
      <c r="X47" s="299">
        <f t="shared" si="12"/>
        <v>0</v>
      </c>
      <c r="Y47" s="299">
        <f t="shared" si="13"/>
        <v>0</v>
      </c>
      <c r="Z47" s="299">
        <f t="shared" si="14"/>
        <v>0</v>
      </c>
      <c r="AA47" s="85"/>
    </row>
    <row r="48" spans="1:27" ht="15.75" customHeight="1">
      <c r="A48" s="90" t="str">
        <f>'Budget with Assumptions'!A48</f>
        <v>Technology Leases</v>
      </c>
      <c r="B48" s="640"/>
      <c r="C48" s="511"/>
      <c r="D48" s="850">
        <f>'Budget with Assumptions'!J48</f>
        <v>0</v>
      </c>
      <c r="E48" s="264"/>
      <c r="F48" s="850">
        <f>'Budget with Assumptions'!L48</f>
        <v>0</v>
      </c>
      <c r="G48" s="264"/>
      <c r="H48" s="850">
        <f>'Budget with Assumptions'!N48</f>
        <v>0</v>
      </c>
      <c r="I48" s="264"/>
      <c r="J48" s="850">
        <f>'Budget with Assumptions'!P48</f>
        <v>0</v>
      </c>
      <c r="K48" s="411"/>
      <c r="L48" s="850">
        <f>'Budget with Assumptions'!R48</f>
        <v>0</v>
      </c>
      <c r="M48" s="495"/>
      <c r="N48" s="850">
        <f>'Budget with Assumptions'!T48</f>
        <v>0</v>
      </c>
      <c r="O48" s="809"/>
      <c r="P48" s="103">
        <f t="shared" si="5"/>
        <v>0</v>
      </c>
      <c r="Q48" s="103">
        <f t="shared" si="6"/>
        <v>0</v>
      </c>
      <c r="R48" s="103">
        <f t="shared" si="7"/>
        <v>0</v>
      </c>
      <c r="S48" s="103">
        <f t="shared" si="8"/>
        <v>0</v>
      </c>
      <c r="T48" s="103">
        <f t="shared" si="9"/>
        <v>0</v>
      </c>
      <c r="U48" s="809"/>
      <c r="V48" s="299">
        <f t="shared" si="10"/>
        <v>0</v>
      </c>
      <c r="W48" s="299">
        <f t="shared" si="11"/>
        <v>0</v>
      </c>
      <c r="X48" s="299">
        <f t="shared" si="12"/>
        <v>0</v>
      </c>
      <c r="Y48" s="299">
        <f t="shared" si="13"/>
        <v>0</v>
      </c>
      <c r="Z48" s="299">
        <f t="shared" si="14"/>
        <v>0</v>
      </c>
      <c r="AA48" s="85"/>
    </row>
    <row r="49" spans="1:27" ht="15.75" customHeight="1">
      <c r="A49" s="90" t="str">
        <f>'Budget with Assumptions'!A49</f>
        <v>Extracurricular Expenses</v>
      </c>
      <c r="B49" s="640"/>
      <c r="C49" s="511"/>
      <c r="D49" s="850">
        <f>'Budget with Assumptions'!J49</f>
        <v>0</v>
      </c>
      <c r="E49" s="264"/>
      <c r="F49" s="850">
        <f>'Budget with Assumptions'!L49</f>
        <v>31500</v>
      </c>
      <c r="G49" s="264"/>
      <c r="H49" s="850">
        <f>'Budget with Assumptions'!N49</f>
        <v>36750</v>
      </c>
      <c r="I49" s="264"/>
      <c r="J49" s="850">
        <f>'Budget with Assumptions'!P49</f>
        <v>41650</v>
      </c>
      <c r="K49" s="411"/>
      <c r="L49" s="850">
        <f>'Budget with Assumptions'!R49</f>
        <v>46550</v>
      </c>
      <c r="M49" s="495"/>
      <c r="N49" s="850">
        <f>'Budget with Assumptions'!T49</f>
        <v>51450</v>
      </c>
      <c r="O49" s="809"/>
      <c r="P49" s="103">
        <f t="shared" si="5"/>
        <v>8.1983969375161517E-3</v>
      </c>
      <c r="Q49" s="103">
        <f t="shared" si="6"/>
        <v>7.8266992030184019E-3</v>
      </c>
      <c r="R49" s="103">
        <f t="shared" si="7"/>
        <v>7.7141907942835652E-3</v>
      </c>
      <c r="S49" s="103">
        <f t="shared" si="8"/>
        <v>8.0029470437126063E-3</v>
      </c>
      <c r="T49" s="103">
        <f t="shared" si="9"/>
        <v>7.9401627501212487E-3</v>
      </c>
      <c r="U49" s="809"/>
      <c r="V49" s="299">
        <f t="shared" si="10"/>
        <v>70</v>
      </c>
      <c r="W49" s="299">
        <f t="shared" si="11"/>
        <v>70</v>
      </c>
      <c r="X49" s="299">
        <f t="shared" si="12"/>
        <v>70</v>
      </c>
      <c r="Y49" s="299">
        <f t="shared" si="13"/>
        <v>70</v>
      </c>
      <c r="Z49" s="299">
        <f t="shared" si="14"/>
        <v>70</v>
      </c>
      <c r="AA49" s="85"/>
    </row>
    <row r="50" spans="1:27" ht="15.75" customHeight="1">
      <c r="A50" s="90" t="str">
        <f>'Budget with Assumptions'!A50</f>
        <v>Misc. Outside Services (i.e., Consultants, non-employee compensation)</v>
      </c>
      <c r="B50" s="640"/>
      <c r="C50" s="511"/>
      <c r="D50" s="850">
        <f>'Budget with Assumptions'!J50</f>
        <v>0</v>
      </c>
      <c r="E50" s="264"/>
      <c r="F50" s="850">
        <f>'Budget with Assumptions'!L50</f>
        <v>0</v>
      </c>
      <c r="G50" s="264"/>
      <c r="H50" s="850">
        <f>'Budget with Assumptions'!N50</f>
        <v>0</v>
      </c>
      <c r="I50" s="264"/>
      <c r="J50" s="850">
        <f>'Budget with Assumptions'!P50</f>
        <v>0</v>
      </c>
      <c r="K50" s="411"/>
      <c r="L50" s="850">
        <f>'Budget with Assumptions'!R50</f>
        <v>0</v>
      </c>
      <c r="M50" s="495"/>
      <c r="N50" s="850">
        <f>'Budget with Assumptions'!T50</f>
        <v>0</v>
      </c>
      <c r="O50" s="809"/>
      <c r="P50" s="103">
        <f t="shared" si="5"/>
        <v>0</v>
      </c>
      <c r="Q50" s="103">
        <f t="shared" si="6"/>
        <v>0</v>
      </c>
      <c r="R50" s="103">
        <f t="shared" si="7"/>
        <v>0</v>
      </c>
      <c r="S50" s="103">
        <f t="shared" si="8"/>
        <v>0</v>
      </c>
      <c r="T50" s="103">
        <f t="shared" si="9"/>
        <v>0</v>
      </c>
      <c r="U50" s="809"/>
      <c r="V50" s="299">
        <f t="shared" si="10"/>
        <v>0</v>
      </c>
      <c r="W50" s="299">
        <f t="shared" si="11"/>
        <v>0</v>
      </c>
      <c r="X50" s="299">
        <f t="shared" si="12"/>
        <v>0</v>
      </c>
      <c r="Y50" s="299">
        <f t="shared" si="13"/>
        <v>0</v>
      </c>
      <c r="Z50" s="299">
        <f t="shared" si="14"/>
        <v>0</v>
      </c>
      <c r="AA50" s="85"/>
    </row>
    <row r="51" spans="1:27" ht="31.5" customHeight="1">
      <c r="A51" s="21" t="str">
        <f>'Budget with Assumptions'!A51</f>
        <v>Special Education Contracted Services (teaching and clinicians) that are 100% reimbursable under CPS's policy</v>
      </c>
      <c r="B51" s="640"/>
      <c r="C51" s="511"/>
      <c r="D51" s="850">
        <f>'Budget with Assumptions'!J51</f>
        <v>0</v>
      </c>
      <c r="E51" s="264"/>
      <c r="F51" s="850">
        <f>'Budget with Assumptions'!L51</f>
        <v>0</v>
      </c>
      <c r="G51" s="264"/>
      <c r="H51" s="850">
        <f>'Budget with Assumptions'!N51</f>
        <v>0</v>
      </c>
      <c r="I51" s="264"/>
      <c r="J51" s="850">
        <f>'Budget with Assumptions'!P51</f>
        <v>0</v>
      </c>
      <c r="K51" s="411"/>
      <c r="L51" s="850">
        <f>'Budget with Assumptions'!R51</f>
        <v>0</v>
      </c>
      <c r="M51" s="495"/>
      <c r="N51" s="850">
        <f>'Budget with Assumptions'!T51</f>
        <v>0</v>
      </c>
      <c r="O51" s="809"/>
      <c r="P51" s="103">
        <f t="shared" si="5"/>
        <v>0</v>
      </c>
      <c r="Q51" s="103">
        <f t="shared" si="6"/>
        <v>0</v>
      </c>
      <c r="R51" s="103">
        <f t="shared" si="7"/>
        <v>0</v>
      </c>
      <c r="S51" s="103">
        <f t="shared" si="8"/>
        <v>0</v>
      </c>
      <c r="T51" s="103">
        <f t="shared" si="9"/>
        <v>0</v>
      </c>
      <c r="U51" s="809"/>
      <c r="V51" s="299">
        <f t="shared" si="10"/>
        <v>0</v>
      </c>
      <c r="W51" s="299">
        <f t="shared" si="11"/>
        <v>0</v>
      </c>
      <c r="X51" s="299">
        <f t="shared" si="12"/>
        <v>0</v>
      </c>
      <c r="Y51" s="299">
        <f t="shared" si="13"/>
        <v>0</v>
      </c>
      <c r="Z51" s="299">
        <f t="shared" si="14"/>
        <v>0</v>
      </c>
      <c r="AA51" s="85"/>
    </row>
    <row r="52" spans="1:27" ht="15.75" customHeight="1">
      <c r="A52" s="90" t="str">
        <f>'Budget with Assumptions'!A52</f>
        <v>Special Education Expenses that will NOT be reimbursed by CPS</v>
      </c>
      <c r="B52" s="640"/>
      <c r="C52" s="511"/>
      <c r="D52" s="850">
        <f>'Budget with Assumptions'!J52</f>
        <v>0</v>
      </c>
      <c r="E52" s="264"/>
      <c r="F52" s="850">
        <f>'Budget with Assumptions'!L52</f>
        <v>0</v>
      </c>
      <c r="G52" s="264"/>
      <c r="H52" s="850">
        <f>'Budget with Assumptions'!N52</f>
        <v>0</v>
      </c>
      <c r="I52" s="264"/>
      <c r="J52" s="850">
        <f>'Budget with Assumptions'!P52</f>
        <v>0</v>
      </c>
      <c r="K52" s="411"/>
      <c r="L52" s="850">
        <f>'Budget with Assumptions'!R52</f>
        <v>0</v>
      </c>
      <c r="M52" s="495"/>
      <c r="N52" s="850">
        <f>'Budget with Assumptions'!T52</f>
        <v>0</v>
      </c>
      <c r="O52" s="809"/>
      <c r="P52" s="103">
        <f t="shared" si="5"/>
        <v>0</v>
      </c>
      <c r="Q52" s="103">
        <f t="shared" si="6"/>
        <v>0</v>
      </c>
      <c r="R52" s="103">
        <f t="shared" si="7"/>
        <v>0</v>
      </c>
      <c r="S52" s="103">
        <f t="shared" si="8"/>
        <v>0</v>
      </c>
      <c r="T52" s="103">
        <f t="shared" si="9"/>
        <v>0</v>
      </c>
      <c r="U52" s="809"/>
      <c r="V52" s="299">
        <f t="shared" si="10"/>
        <v>0</v>
      </c>
      <c r="W52" s="299">
        <f t="shared" si="11"/>
        <v>0</v>
      </c>
      <c r="X52" s="299">
        <f t="shared" si="12"/>
        <v>0</v>
      </c>
      <c r="Y52" s="299">
        <f t="shared" si="13"/>
        <v>0</v>
      </c>
      <c r="Z52" s="299">
        <f t="shared" si="14"/>
        <v>0</v>
      </c>
      <c r="AA52" s="85"/>
    </row>
    <row r="53" spans="1:27" ht="15.75" customHeight="1">
      <c r="A53" s="90" t="str">
        <f>'Budget with Assumptions'!A53</f>
        <v>Contracted Substitute Teachers</v>
      </c>
      <c r="B53" s="640"/>
      <c r="C53" s="511"/>
      <c r="D53" s="850">
        <f>'Budget with Assumptions'!J53</f>
        <v>0</v>
      </c>
      <c r="E53" s="264"/>
      <c r="F53" s="850">
        <f>'Budget with Assumptions'!L53</f>
        <v>0</v>
      </c>
      <c r="G53" s="264"/>
      <c r="H53" s="850">
        <f>'Budget with Assumptions'!N53</f>
        <v>0</v>
      </c>
      <c r="I53" s="264"/>
      <c r="J53" s="850">
        <f>'Budget with Assumptions'!P53</f>
        <v>0</v>
      </c>
      <c r="K53" s="411"/>
      <c r="L53" s="850">
        <f>'Budget with Assumptions'!R53</f>
        <v>0</v>
      </c>
      <c r="M53" s="495"/>
      <c r="N53" s="850">
        <f>'Budget with Assumptions'!T53</f>
        <v>0</v>
      </c>
      <c r="O53" s="809"/>
      <c r="P53" s="103">
        <f t="shared" si="5"/>
        <v>0</v>
      </c>
      <c r="Q53" s="103">
        <f t="shared" si="6"/>
        <v>0</v>
      </c>
      <c r="R53" s="103">
        <f t="shared" si="7"/>
        <v>0</v>
      </c>
      <c r="S53" s="103">
        <f t="shared" si="8"/>
        <v>0</v>
      </c>
      <c r="T53" s="103">
        <f t="shared" si="9"/>
        <v>0</v>
      </c>
      <c r="U53" s="809"/>
      <c r="V53" s="299">
        <f t="shared" si="10"/>
        <v>0</v>
      </c>
      <c r="W53" s="299">
        <f t="shared" si="11"/>
        <v>0</v>
      </c>
      <c r="X53" s="299">
        <f t="shared" si="12"/>
        <v>0</v>
      </c>
      <c r="Y53" s="299">
        <f t="shared" si="13"/>
        <v>0</v>
      </c>
      <c r="Z53" s="299">
        <f t="shared" si="14"/>
        <v>0</v>
      </c>
      <c r="AA53" s="85"/>
    </row>
    <row r="54" spans="1:27" ht="15.75" customHeight="1">
      <c r="A54" s="90" t="str">
        <f>'Budget with Assumptions'!A54</f>
        <v>Library, periodicals,etc</v>
      </c>
      <c r="B54" s="640"/>
      <c r="C54" s="511"/>
      <c r="D54" s="850">
        <f>'Budget with Assumptions'!J54</f>
        <v>0</v>
      </c>
      <c r="E54" s="264"/>
      <c r="F54" s="850">
        <f>'Budget with Assumptions'!L54</f>
        <v>4750</v>
      </c>
      <c r="G54" s="264"/>
      <c r="H54" s="850">
        <f>'Budget with Assumptions'!N54</f>
        <v>5650</v>
      </c>
      <c r="I54" s="264"/>
      <c r="J54" s="850">
        <f>'Budget with Assumptions'!P54</f>
        <v>6350</v>
      </c>
      <c r="K54" s="411"/>
      <c r="L54" s="850">
        <f>'Budget with Assumptions'!R54</f>
        <v>6900</v>
      </c>
      <c r="M54" s="495"/>
      <c r="N54" s="850">
        <f>'Budget with Assumptions'!T54</f>
        <v>7800</v>
      </c>
      <c r="O54" s="809"/>
      <c r="P54" s="103">
        <f t="shared" si="5"/>
        <v>1.2362662048635469E-3</v>
      </c>
      <c r="Q54" s="103">
        <f t="shared" si="6"/>
        <v>1.2032884488994277E-3</v>
      </c>
      <c r="R54" s="103">
        <f t="shared" si="7"/>
        <v>1.1761131222977346E-3</v>
      </c>
      <c r="S54" s="103">
        <f t="shared" si="8"/>
        <v>1.1862585306469814E-3</v>
      </c>
      <c r="T54" s="103">
        <f t="shared" si="9"/>
        <v>1.2037564519134254E-3</v>
      </c>
      <c r="U54" s="809"/>
      <c r="V54" s="299">
        <f t="shared" si="10"/>
        <v>10.555555555555555</v>
      </c>
      <c r="W54" s="299">
        <f t="shared" si="11"/>
        <v>10.761904761904763</v>
      </c>
      <c r="X54" s="299">
        <f t="shared" si="12"/>
        <v>10.672268907563025</v>
      </c>
      <c r="Y54" s="299">
        <f t="shared" si="13"/>
        <v>10.375939849624061</v>
      </c>
      <c r="Z54" s="299">
        <f t="shared" si="14"/>
        <v>10.612244897959183</v>
      </c>
      <c r="AA54" s="85"/>
    </row>
    <row r="55" spans="1:27" ht="15.75" customHeight="1">
      <c r="A55" s="90" t="str">
        <f>'Budget with Assumptions'!A55</f>
        <v>Ipad cart</v>
      </c>
      <c r="B55" s="640"/>
      <c r="C55" s="511"/>
      <c r="D55" s="850">
        <f>'Budget with Assumptions'!J55</f>
        <v>0</v>
      </c>
      <c r="E55" s="264"/>
      <c r="F55" s="850">
        <f>'Budget with Assumptions'!L55</f>
        <v>12800</v>
      </c>
      <c r="G55" s="264"/>
      <c r="H55" s="850">
        <f>'Budget with Assumptions'!N55</f>
        <v>0</v>
      </c>
      <c r="I55" s="264"/>
      <c r="J55" s="850">
        <f>'Budget with Assumptions'!P55</f>
        <v>0</v>
      </c>
      <c r="K55" s="411"/>
      <c r="L55" s="850">
        <f>'Budget with Assumptions'!R55</f>
        <v>0</v>
      </c>
      <c r="M55" s="495"/>
      <c r="N55" s="850">
        <f>'Budget with Assumptions'!T55</f>
        <v>0</v>
      </c>
      <c r="O55" s="809"/>
      <c r="P55" s="103">
        <f t="shared" si="5"/>
        <v>3.3314120888954524E-3</v>
      </c>
      <c r="Q55" s="103">
        <f t="shared" si="6"/>
        <v>0</v>
      </c>
      <c r="R55" s="103">
        <f t="shared" si="7"/>
        <v>0</v>
      </c>
      <c r="S55" s="103">
        <f t="shared" si="8"/>
        <v>0</v>
      </c>
      <c r="T55" s="103">
        <f t="shared" si="9"/>
        <v>0</v>
      </c>
      <c r="U55" s="809"/>
      <c r="V55" s="299">
        <f t="shared" si="10"/>
        <v>28.444444444444443</v>
      </c>
      <c r="W55" s="299">
        <f t="shared" si="11"/>
        <v>0</v>
      </c>
      <c r="X55" s="299">
        <f t="shared" si="12"/>
        <v>0</v>
      </c>
      <c r="Y55" s="299">
        <f t="shared" si="13"/>
        <v>0</v>
      </c>
      <c r="Z55" s="299">
        <f t="shared" si="14"/>
        <v>0</v>
      </c>
      <c r="AA55" s="85"/>
    </row>
    <row r="56" spans="1:27" ht="15.75" customHeight="1">
      <c r="A56" s="90" t="str">
        <f>'Budget with Assumptions'!A56</f>
        <v>Art Room</v>
      </c>
      <c r="B56" s="640"/>
      <c r="C56" s="511"/>
      <c r="D56" s="850">
        <f>'Budget with Assumptions'!J56</f>
        <v>10000</v>
      </c>
      <c r="E56" s="264"/>
      <c r="F56" s="850">
        <f>'Budget with Assumptions'!L56</f>
        <v>0</v>
      </c>
      <c r="G56" s="264"/>
      <c r="H56" s="850">
        <f>'Budget with Assumptions'!N56</f>
        <v>0</v>
      </c>
      <c r="I56" s="264"/>
      <c r="J56" s="850">
        <f>'Budget with Assumptions'!P56</f>
        <v>0</v>
      </c>
      <c r="K56" s="411"/>
      <c r="L56" s="850">
        <f>'Budget with Assumptions'!R56</f>
        <v>0</v>
      </c>
      <c r="M56" s="495"/>
      <c r="N56" s="850">
        <f>'Budget with Assumptions'!T56</f>
        <v>0</v>
      </c>
      <c r="O56" s="809"/>
      <c r="P56" s="103">
        <f t="shared" si="5"/>
        <v>0</v>
      </c>
      <c r="Q56" s="103">
        <f t="shared" si="6"/>
        <v>0</v>
      </c>
      <c r="R56" s="103">
        <f t="shared" si="7"/>
        <v>0</v>
      </c>
      <c r="S56" s="103">
        <f t="shared" si="8"/>
        <v>0</v>
      </c>
      <c r="T56" s="103">
        <f t="shared" si="9"/>
        <v>0</v>
      </c>
      <c r="U56" s="809"/>
      <c r="V56" s="299">
        <f t="shared" si="10"/>
        <v>0</v>
      </c>
      <c r="W56" s="299">
        <f t="shared" si="11"/>
        <v>0</v>
      </c>
      <c r="X56" s="299">
        <f t="shared" si="12"/>
        <v>0</v>
      </c>
      <c r="Y56" s="299">
        <f t="shared" si="13"/>
        <v>0</v>
      </c>
      <c r="Z56" s="299">
        <f t="shared" si="14"/>
        <v>0</v>
      </c>
      <c r="AA56" s="85"/>
    </row>
    <row r="57" spans="1:27" ht="15.75" customHeight="1">
      <c r="A57" s="90" t="str">
        <f>'Budget with Assumptions'!A57</f>
        <v>Library</v>
      </c>
      <c r="B57" s="640"/>
      <c r="C57" s="511"/>
      <c r="D57" s="850">
        <f>'Budget with Assumptions'!J57</f>
        <v>0</v>
      </c>
      <c r="E57" s="264"/>
      <c r="F57" s="850">
        <f>'Budget with Assumptions'!L57</f>
        <v>20000</v>
      </c>
      <c r="G57" s="264"/>
      <c r="H57" s="850">
        <f>'Budget with Assumptions'!N57</f>
        <v>0</v>
      </c>
      <c r="I57" s="264"/>
      <c r="J57" s="850">
        <f>'Budget with Assumptions'!P57</f>
        <v>0</v>
      </c>
      <c r="K57" s="411"/>
      <c r="L57" s="850">
        <f>'Budget with Assumptions'!R57</f>
        <v>0</v>
      </c>
      <c r="M57" s="495"/>
      <c r="N57" s="850">
        <f>'Budget with Assumptions'!T57</f>
        <v>0</v>
      </c>
      <c r="O57" s="809"/>
      <c r="P57" s="103">
        <f t="shared" si="5"/>
        <v>5.2053313888991443E-3</v>
      </c>
      <c r="Q57" s="103">
        <f t="shared" si="6"/>
        <v>0</v>
      </c>
      <c r="R57" s="103">
        <f t="shared" si="7"/>
        <v>0</v>
      </c>
      <c r="S57" s="103">
        <f t="shared" si="8"/>
        <v>0</v>
      </c>
      <c r="T57" s="103">
        <f t="shared" si="9"/>
        <v>0</v>
      </c>
      <c r="U57" s="809"/>
      <c r="V57" s="299">
        <f t="shared" si="10"/>
        <v>44.444444444444443</v>
      </c>
      <c r="W57" s="299">
        <f t="shared" si="11"/>
        <v>0</v>
      </c>
      <c r="X57" s="299">
        <f t="shared" si="12"/>
        <v>0</v>
      </c>
      <c r="Y57" s="299">
        <f t="shared" si="13"/>
        <v>0</v>
      </c>
      <c r="Z57" s="299">
        <f t="shared" si="14"/>
        <v>0</v>
      </c>
      <c r="AA57" s="85"/>
    </row>
    <row r="58" spans="1:27" ht="15.75" customHeight="1">
      <c r="A58" s="90" t="str">
        <f>'Budget with Assumptions'!A58</f>
        <v>Transportation  Cost</v>
      </c>
      <c r="B58" s="640"/>
      <c r="C58" s="511"/>
      <c r="D58" s="850">
        <f>'Budget with Assumptions'!J58</f>
        <v>0</v>
      </c>
      <c r="E58" s="264"/>
      <c r="F58" s="850">
        <f>'Budget with Assumptions'!L58</f>
        <v>200000</v>
      </c>
      <c r="G58" s="264"/>
      <c r="H58" s="850">
        <f>'Budget with Assumptions'!N58</f>
        <v>250000</v>
      </c>
      <c r="I58" s="264"/>
      <c r="J58" s="850">
        <f>'Budget with Assumptions'!P58</f>
        <v>280000</v>
      </c>
      <c r="K58" s="411"/>
      <c r="L58" s="850">
        <f>'Budget with Assumptions'!R58</f>
        <v>280000</v>
      </c>
      <c r="M58" s="495"/>
      <c r="N58" s="850">
        <f>'Budget with Assumptions'!T58</f>
        <v>310000</v>
      </c>
      <c r="O58" s="809"/>
      <c r="P58" s="103">
        <f t="shared" si="5"/>
        <v>5.2053313888991447E-2</v>
      </c>
      <c r="Q58" s="103">
        <f t="shared" si="6"/>
        <v>5.324285172121361E-2</v>
      </c>
      <c r="R58" s="103">
        <f t="shared" si="7"/>
        <v>5.1860106180057583E-2</v>
      </c>
      <c r="S58" s="103">
        <f t="shared" si="8"/>
        <v>4.8138027330602143E-2</v>
      </c>
      <c r="T58" s="103">
        <f t="shared" si="9"/>
        <v>4.7841602576046395E-2</v>
      </c>
      <c r="U58" s="809"/>
      <c r="V58" s="299">
        <f t="shared" si="10"/>
        <v>444.44444444444446</v>
      </c>
      <c r="W58" s="299">
        <f t="shared" si="11"/>
        <v>476.1904761904762</v>
      </c>
      <c r="X58" s="299">
        <f t="shared" si="12"/>
        <v>470.58823529411762</v>
      </c>
      <c r="Y58" s="299">
        <f t="shared" si="13"/>
        <v>421.05263157894734</v>
      </c>
      <c r="Z58" s="299">
        <f t="shared" si="14"/>
        <v>421.76870748299319</v>
      </c>
      <c r="AA58" s="85"/>
    </row>
    <row r="59" spans="1:27" ht="15.75" customHeight="1">
      <c r="A59" s="90">
        <f>'Budget with Assumptions'!A59</f>
        <v>0</v>
      </c>
      <c r="B59" s="640"/>
      <c r="C59" s="511"/>
      <c r="D59" s="850">
        <f>'Budget with Assumptions'!J59</f>
        <v>0</v>
      </c>
      <c r="E59" s="264"/>
      <c r="F59" s="850">
        <f>'Budget with Assumptions'!L59</f>
        <v>0</v>
      </c>
      <c r="G59" s="264"/>
      <c r="H59" s="850">
        <f>'Budget with Assumptions'!N59</f>
        <v>0</v>
      </c>
      <c r="I59" s="264"/>
      <c r="J59" s="850">
        <f>'Budget with Assumptions'!P59</f>
        <v>0</v>
      </c>
      <c r="K59" s="411"/>
      <c r="L59" s="850">
        <f>'Budget with Assumptions'!R59</f>
        <v>0</v>
      </c>
      <c r="M59" s="495"/>
      <c r="N59" s="850">
        <f>'Budget with Assumptions'!T59</f>
        <v>0</v>
      </c>
      <c r="O59" s="809"/>
      <c r="P59" s="103">
        <f t="shared" si="5"/>
        <v>0</v>
      </c>
      <c r="Q59" s="103">
        <f t="shared" si="6"/>
        <v>0</v>
      </c>
      <c r="R59" s="103">
        <f t="shared" si="7"/>
        <v>0</v>
      </c>
      <c r="S59" s="103">
        <f t="shared" si="8"/>
        <v>0</v>
      </c>
      <c r="T59" s="103">
        <f t="shared" si="9"/>
        <v>0</v>
      </c>
      <c r="U59" s="809"/>
      <c r="V59" s="299">
        <f t="shared" si="10"/>
        <v>0</v>
      </c>
      <c r="W59" s="299">
        <f t="shared" si="11"/>
        <v>0</v>
      </c>
      <c r="X59" s="299">
        <f t="shared" si="12"/>
        <v>0</v>
      </c>
      <c r="Y59" s="299">
        <f t="shared" si="13"/>
        <v>0</v>
      </c>
      <c r="Z59" s="299">
        <f t="shared" si="14"/>
        <v>0</v>
      </c>
      <c r="AA59" s="85"/>
    </row>
    <row r="60" spans="1:27" ht="15.75" customHeight="1">
      <c r="A60" s="90">
        <f>'Budget with Assumptions'!A60</f>
        <v>0</v>
      </c>
      <c r="B60" s="640"/>
      <c r="C60" s="511"/>
      <c r="D60" s="850">
        <f>'Budget with Assumptions'!J60</f>
        <v>0</v>
      </c>
      <c r="E60" s="264"/>
      <c r="F60" s="850">
        <f>'Budget with Assumptions'!L60</f>
        <v>0</v>
      </c>
      <c r="G60" s="264"/>
      <c r="H60" s="850">
        <f>'Budget with Assumptions'!N60</f>
        <v>0</v>
      </c>
      <c r="I60" s="264"/>
      <c r="J60" s="850">
        <f>'Budget with Assumptions'!P60</f>
        <v>0</v>
      </c>
      <c r="K60" s="411"/>
      <c r="L60" s="850">
        <f>'Budget with Assumptions'!R60</f>
        <v>0</v>
      </c>
      <c r="M60" s="495"/>
      <c r="N60" s="850">
        <f>'Budget with Assumptions'!T60</f>
        <v>0</v>
      </c>
      <c r="O60" s="809"/>
      <c r="P60" s="103">
        <f t="shared" si="5"/>
        <v>0</v>
      </c>
      <c r="Q60" s="103">
        <f t="shared" si="6"/>
        <v>0</v>
      </c>
      <c r="R60" s="103">
        <f t="shared" si="7"/>
        <v>0</v>
      </c>
      <c r="S60" s="103">
        <f t="shared" si="8"/>
        <v>0</v>
      </c>
      <c r="T60" s="103">
        <f t="shared" si="9"/>
        <v>0</v>
      </c>
      <c r="U60" s="809"/>
      <c r="V60" s="299">
        <f t="shared" si="10"/>
        <v>0</v>
      </c>
      <c r="W60" s="299">
        <f t="shared" si="11"/>
        <v>0</v>
      </c>
      <c r="X60" s="299">
        <f t="shared" si="12"/>
        <v>0</v>
      </c>
      <c r="Y60" s="299">
        <f t="shared" si="13"/>
        <v>0</v>
      </c>
      <c r="Z60" s="299">
        <f t="shared" si="14"/>
        <v>0</v>
      </c>
      <c r="AA60" s="85"/>
    </row>
    <row r="61" spans="1:27" ht="15.75" customHeight="1">
      <c r="A61" s="90">
        <f>'Budget with Assumptions'!A61</f>
        <v>0</v>
      </c>
      <c r="B61" s="640"/>
      <c r="C61" s="511"/>
      <c r="D61" s="850">
        <f>'Budget with Assumptions'!J61</f>
        <v>0</v>
      </c>
      <c r="E61" s="264"/>
      <c r="F61" s="850">
        <f>'Budget with Assumptions'!L61</f>
        <v>0</v>
      </c>
      <c r="G61" s="264"/>
      <c r="H61" s="850">
        <f>'Budget with Assumptions'!N61</f>
        <v>0</v>
      </c>
      <c r="I61" s="264"/>
      <c r="J61" s="850">
        <f>'Budget with Assumptions'!P61</f>
        <v>0</v>
      </c>
      <c r="K61" s="411"/>
      <c r="L61" s="850">
        <f>'Budget with Assumptions'!R61</f>
        <v>0</v>
      </c>
      <c r="M61" s="495"/>
      <c r="N61" s="850">
        <f>'Budget with Assumptions'!T61</f>
        <v>0</v>
      </c>
      <c r="O61" s="809"/>
      <c r="P61" s="103">
        <f t="shared" si="5"/>
        <v>0</v>
      </c>
      <c r="Q61" s="103">
        <f t="shared" si="6"/>
        <v>0</v>
      </c>
      <c r="R61" s="103">
        <f t="shared" si="7"/>
        <v>0</v>
      </c>
      <c r="S61" s="103">
        <f t="shared" si="8"/>
        <v>0</v>
      </c>
      <c r="T61" s="103">
        <f t="shared" si="9"/>
        <v>0</v>
      </c>
      <c r="U61" s="809"/>
      <c r="V61" s="299">
        <f t="shared" si="10"/>
        <v>0</v>
      </c>
      <c r="W61" s="299">
        <f t="shared" si="11"/>
        <v>0</v>
      </c>
      <c r="X61" s="299">
        <f t="shared" si="12"/>
        <v>0</v>
      </c>
      <c r="Y61" s="299">
        <f t="shared" si="13"/>
        <v>0</v>
      </c>
      <c r="Z61" s="299">
        <f t="shared" si="14"/>
        <v>0</v>
      </c>
      <c r="AA61" s="85"/>
    </row>
    <row r="62" spans="1:27" ht="15.75" customHeight="1">
      <c r="A62" s="90">
        <f>'Budget with Assumptions'!A62</f>
        <v>0</v>
      </c>
      <c r="B62" s="640"/>
      <c r="C62" s="511"/>
      <c r="D62" s="850">
        <f>'Budget with Assumptions'!J62</f>
        <v>0</v>
      </c>
      <c r="E62" s="264"/>
      <c r="F62" s="850">
        <f>'Budget with Assumptions'!L62</f>
        <v>0</v>
      </c>
      <c r="G62" s="264"/>
      <c r="H62" s="850">
        <f>'Budget with Assumptions'!N62</f>
        <v>0</v>
      </c>
      <c r="I62" s="264"/>
      <c r="J62" s="850">
        <f>'Budget with Assumptions'!P62</f>
        <v>0</v>
      </c>
      <c r="K62" s="411"/>
      <c r="L62" s="850">
        <f>'Budget with Assumptions'!R62</f>
        <v>0</v>
      </c>
      <c r="M62" s="495"/>
      <c r="N62" s="850">
        <f>'Budget with Assumptions'!T62</f>
        <v>0</v>
      </c>
      <c r="O62" s="809"/>
      <c r="P62" s="103">
        <f t="shared" si="5"/>
        <v>0</v>
      </c>
      <c r="Q62" s="103">
        <f t="shared" si="6"/>
        <v>0</v>
      </c>
      <c r="R62" s="103">
        <f t="shared" si="7"/>
        <v>0</v>
      </c>
      <c r="S62" s="103">
        <f t="shared" si="8"/>
        <v>0</v>
      </c>
      <c r="T62" s="103">
        <f t="shared" si="9"/>
        <v>0</v>
      </c>
      <c r="U62" s="809"/>
      <c r="V62" s="299">
        <f t="shared" si="10"/>
        <v>0</v>
      </c>
      <c r="W62" s="299">
        <f t="shared" si="11"/>
        <v>0</v>
      </c>
      <c r="X62" s="299">
        <f t="shared" si="12"/>
        <v>0</v>
      </c>
      <c r="Y62" s="299">
        <f t="shared" si="13"/>
        <v>0</v>
      </c>
      <c r="Z62" s="299">
        <f t="shared" si="14"/>
        <v>0</v>
      </c>
      <c r="AA62" s="85"/>
    </row>
    <row r="63" spans="1:27" ht="16.5" customHeight="1">
      <c r="A63" s="331"/>
      <c r="B63" s="466"/>
      <c r="C63" s="466"/>
      <c r="D63" s="748"/>
      <c r="E63" s="151"/>
      <c r="F63" s="748"/>
      <c r="G63" s="151"/>
      <c r="H63" s="748"/>
      <c r="I63" s="151"/>
      <c r="J63" s="748"/>
      <c r="L63" s="748"/>
      <c r="N63" s="748"/>
      <c r="P63" s="522"/>
      <c r="Q63" s="522"/>
      <c r="R63" s="522"/>
      <c r="S63" s="522"/>
      <c r="T63" s="522"/>
      <c r="V63" s="748"/>
      <c r="W63" s="748"/>
      <c r="X63" s="748"/>
      <c r="Y63" s="748"/>
      <c r="Z63" s="748"/>
    </row>
    <row r="64" spans="1:27" ht="16.5" customHeight="1">
      <c r="A64" s="169" t="str">
        <f>'Budget with Assumptions'!H64</f>
        <v>Total Direct Student Costs</v>
      </c>
      <c r="B64" s="683"/>
      <c r="C64" s="389"/>
      <c r="D64" s="610">
        <f>SUM(D40:D62)</f>
        <v>99000</v>
      </c>
      <c r="E64" s="300"/>
      <c r="F64" s="610">
        <f>SUM(F40:F62)</f>
        <v>474450</v>
      </c>
      <c r="G64" s="300"/>
      <c r="H64" s="610">
        <f>SUM(H40:H62)</f>
        <v>437300</v>
      </c>
      <c r="I64" s="300"/>
      <c r="J64" s="610">
        <f>SUM(J40:J62)</f>
        <v>444400</v>
      </c>
      <c r="K64" s="302"/>
      <c r="L64" s="610">
        <f>SUM(L40:L62)</f>
        <v>456850</v>
      </c>
      <c r="M64" s="154"/>
      <c r="N64" s="610">
        <f>SUM(N40:N62)</f>
        <v>499650</v>
      </c>
      <c r="O64" s="550"/>
      <c r="P64" s="791">
        <f>SUM(P40:P62)</f>
        <v>0.12348347387315994</v>
      </c>
      <c r="Q64" s="791">
        <f>SUM(Q40:Q62)</f>
        <v>9.3132396230746844E-2</v>
      </c>
      <c r="R64" s="791">
        <f>SUM(R40:R62)</f>
        <v>8.2309397094348535E-2</v>
      </c>
      <c r="S64" s="791">
        <f>SUM(S40:S62)</f>
        <v>7.854234923566282E-2</v>
      </c>
      <c r="T64" s="791">
        <f>SUM(T40:T62)</f>
        <v>7.7109860410069619E-2</v>
      </c>
      <c r="U64" s="550"/>
      <c r="V64" s="176">
        <f>SUM(V40:V62)</f>
        <v>1054.3333333333335</v>
      </c>
      <c r="W64" s="176">
        <f>SUM(W40:W62)</f>
        <v>832.95238095238096</v>
      </c>
      <c r="X64" s="176">
        <f>SUM(X40:X62)</f>
        <v>746.89075630252103</v>
      </c>
      <c r="Y64" s="176">
        <f>SUM(Y40:Y62)</f>
        <v>686.99248120300751</v>
      </c>
      <c r="Z64" s="176">
        <f>SUM(Z40:Z62)</f>
        <v>679.79591836734699</v>
      </c>
      <c r="AA64" s="676"/>
    </row>
    <row r="65" spans="1:28" ht="15.75" customHeight="1">
      <c r="A65" s="779"/>
      <c r="B65" s="509"/>
      <c r="C65" s="509"/>
      <c r="D65" s="391"/>
      <c r="E65" s="151"/>
      <c r="F65" s="391"/>
      <c r="G65" s="151"/>
      <c r="H65" s="391"/>
      <c r="I65" s="151"/>
      <c r="J65" s="391"/>
      <c r="L65" s="391"/>
      <c r="N65" s="391"/>
      <c r="P65" s="183"/>
      <c r="Q65" s="183"/>
      <c r="R65" s="183"/>
      <c r="S65" s="183"/>
      <c r="T65" s="183"/>
      <c r="V65" s="391"/>
      <c r="W65" s="391"/>
      <c r="X65" s="391"/>
      <c r="Y65" s="391"/>
      <c r="Z65" s="391"/>
    </row>
    <row r="66" spans="1:28" ht="15.75" customHeight="1">
      <c r="A66" s="223"/>
      <c r="B66" s="509"/>
      <c r="C66" s="509"/>
      <c r="D66" s="617"/>
      <c r="E66" s="399"/>
      <c r="F66" s="617"/>
      <c r="G66" s="399"/>
      <c r="H66" s="617"/>
      <c r="I66" s="399"/>
      <c r="J66" s="617"/>
      <c r="K66" s="617"/>
      <c r="L66" s="617"/>
      <c r="M66" s="60"/>
      <c r="N66" s="617"/>
      <c r="O66" s="518"/>
      <c r="P66" s="489"/>
      <c r="Q66" s="489"/>
      <c r="R66" s="489"/>
      <c r="S66" s="489"/>
      <c r="T66" s="489"/>
      <c r="U66" s="518"/>
      <c r="V66" s="214"/>
      <c r="W66" s="214"/>
      <c r="X66" s="214"/>
      <c r="Y66" s="214"/>
      <c r="Z66" s="214"/>
      <c r="AA66" s="518"/>
      <c r="AB66" s="518"/>
    </row>
    <row r="67" spans="1:28" ht="16.5" customHeight="1">
      <c r="A67" s="673"/>
      <c r="B67" s="65"/>
      <c r="C67" s="65"/>
      <c r="D67" s="732"/>
      <c r="E67" s="408"/>
      <c r="F67" s="732"/>
      <c r="G67" s="408"/>
      <c r="H67" s="732"/>
      <c r="I67" s="408"/>
      <c r="J67" s="732"/>
      <c r="K67" s="732"/>
      <c r="L67" s="767"/>
      <c r="M67" s="402"/>
      <c r="N67" s="767"/>
      <c r="O67" s="518"/>
      <c r="P67" s="345"/>
      <c r="Q67" s="345"/>
      <c r="R67" s="345"/>
      <c r="S67" s="345"/>
      <c r="T67" s="345"/>
      <c r="U67" s="518"/>
      <c r="V67" s="518"/>
      <c r="W67" s="518"/>
      <c r="X67" s="518"/>
      <c r="Y67" s="518"/>
      <c r="Z67" s="518"/>
      <c r="AA67" s="518"/>
      <c r="AB67" s="518"/>
    </row>
    <row r="68" spans="1:28" ht="18.75" customHeight="1">
      <c r="A68" s="634" t="s">
        <v>156</v>
      </c>
      <c r="B68" s="613"/>
      <c r="C68" s="65"/>
      <c r="D68" s="431"/>
      <c r="E68" s="65"/>
      <c r="F68" s="431"/>
      <c r="G68" s="65"/>
      <c r="H68" s="431"/>
      <c r="I68" s="65"/>
      <c r="J68" s="431"/>
      <c r="K68" s="732"/>
      <c r="L68" s="189"/>
      <c r="M68" s="402"/>
      <c r="N68" s="189"/>
      <c r="P68" s="422"/>
      <c r="Q68" s="422"/>
      <c r="R68" s="422"/>
      <c r="S68" s="422"/>
      <c r="T68" s="422"/>
      <c r="V68" s="478"/>
      <c r="W68" s="478"/>
      <c r="X68" s="478"/>
      <c r="Y68" s="478"/>
      <c r="Z68" s="478"/>
    </row>
    <row r="69" spans="1:28" ht="15.75" customHeight="1">
      <c r="A69" s="255" t="str">
        <f>'Budget with Assumptions'!A69</f>
        <v>Salaries</v>
      </c>
      <c r="B69" s="737"/>
      <c r="C69" s="804"/>
      <c r="D69" s="850">
        <f>'Budget with Assumptions'!J69</f>
        <v>50160</v>
      </c>
      <c r="E69" s="264"/>
      <c r="F69" s="850">
        <f>'Budget with Assumptions'!L69</f>
        <v>1905900</v>
      </c>
      <c r="G69" s="515"/>
      <c r="H69" s="850">
        <f>'Budget with Assumptions'!N69</f>
        <v>2250500</v>
      </c>
      <c r="I69" s="515"/>
      <c r="J69" s="850">
        <f>'Budget with Assumptions'!P69</f>
        <v>2612700</v>
      </c>
      <c r="K69" s="411"/>
      <c r="L69" s="850">
        <f>'Budget with Assumptions'!R69</f>
        <v>2859150</v>
      </c>
      <c r="M69" s="495"/>
      <c r="N69" s="850">
        <f>'Budget with Assumptions'!T69</f>
        <v>3257000</v>
      </c>
      <c r="O69" s="809"/>
      <c r="P69" s="103">
        <f t="shared" ref="P69:P90" si="15">F69/$F$159</f>
        <v>0.49604205470514395</v>
      </c>
      <c r="Q69" s="103">
        <f t="shared" ref="Q69:Q90" si="16">H69/$H$159</f>
        <v>0.47929215119436497</v>
      </c>
      <c r="R69" s="103">
        <f t="shared" ref="R69:R90" si="17">J69/$J$159</f>
        <v>0.48391035505941588</v>
      </c>
      <c r="S69" s="103">
        <f t="shared" ref="S69:S90" si="18">L69/$L$159</f>
        <v>0.49154943157961117</v>
      </c>
      <c r="T69" s="103">
        <f t="shared" ref="T69:T90" si="19">N69/$N$159</f>
        <v>0.50264548254897778</v>
      </c>
      <c r="U69" s="809"/>
      <c r="V69" s="299">
        <f t="shared" ref="V69:V90" si="20">F69/$F$178</f>
        <v>4235.333333333333</v>
      </c>
      <c r="W69" s="299">
        <f t="shared" ref="W69:W90" si="21">H69/$H$178</f>
        <v>4286.666666666667</v>
      </c>
      <c r="X69" s="299">
        <f t="shared" ref="X69:X90" si="22">J69/$J$178</f>
        <v>4391.09243697479</v>
      </c>
      <c r="Y69" s="299">
        <f t="shared" ref="Y69:Y90" si="23">L69/$L$178</f>
        <v>4299.4736842105267</v>
      </c>
      <c r="Z69" s="299">
        <f t="shared" ref="Z69:Z90" si="24">N69/$N$178</f>
        <v>4431.2925170068029</v>
      </c>
      <c r="AA69" s="85"/>
    </row>
    <row r="70" spans="1:28" ht="15.75" customHeight="1">
      <c r="A70" s="90" t="str">
        <f>'Budget with Assumptions'!A70</f>
        <v>School's Share of Employer Contribution (normal cost) to the CTPF</v>
      </c>
      <c r="B70" s="40"/>
      <c r="C70" s="333"/>
      <c r="D70" s="850">
        <f>'Budget with Assumptions'!J70</f>
        <v>0</v>
      </c>
      <c r="E70" s="264"/>
      <c r="F70" s="850">
        <f>'Budget with Assumptions'!L70</f>
        <v>129108</v>
      </c>
      <c r="G70" s="515"/>
      <c r="H70" s="850">
        <f>'Budget with Assumptions'!N70</f>
        <v>155820</v>
      </c>
      <c r="I70" s="515"/>
      <c r="J70" s="850">
        <f>'Budget with Assumptions'!P70</f>
        <v>173204</v>
      </c>
      <c r="K70" s="411"/>
      <c r="L70" s="850">
        <f>'Budget with Assumptions'!R70</f>
        <v>186878</v>
      </c>
      <c r="M70" s="495"/>
      <c r="N70" s="850">
        <f>'Budget with Assumptions'!T70</f>
        <v>209880</v>
      </c>
      <c r="O70" s="809"/>
      <c r="P70" s="103">
        <f t="shared" si="15"/>
        <v>3.3602496247899537E-2</v>
      </c>
      <c r="Q70" s="103">
        <f t="shared" si="16"/>
        <v>3.318520462079802E-2</v>
      </c>
      <c r="R70" s="103">
        <f t="shared" si="17"/>
        <v>3.2079920824323906E-2</v>
      </c>
      <c r="S70" s="103">
        <f t="shared" si="18"/>
        <v>3.2128350969600955E-2</v>
      </c>
      <c r="T70" s="103">
        <f t="shared" si="19"/>
        <v>3.2390308221485864E-2</v>
      </c>
      <c r="U70" s="809"/>
      <c r="V70" s="299">
        <f t="shared" si="20"/>
        <v>286.90666666666669</v>
      </c>
      <c r="W70" s="299">
        <f t="shared" si="21"/>
        <v>296.8</v>
      </c>
      <c r="X70" s="299">
        <f t="shared" si="22"/>
        <v>291.09915966386552</v>
      </c>
      <c r="Y70" s="299">
        <f t="shared" si="23"/>
        <v>281.01954887218045</v>
      </c>
      <c r="Z70" s="299">
        <f t="shared" si="24"/>
        <v>285.55102040816325</v>
      </c>
      <c r="AA70" s="85"/>
    </row>
    <row r="71" spans="1:28" ht="15.75" customHeight="1">
      <c r="A71" s="90" t="str">
        <f>'Budget with Assumptions'!A71</f>
        <v>Pension-CTPF(Charter School's Share of 9% of Employee w/h)</v>
      </c>
      <c r="B71" s="40"/>
      <c r="C71" s="333"/>
      <c r="D71" s="850">
        <f>'Budget with Assumptions'!J71</f>
        <v>0</v>
      </c>
      <c r="E71" s="264"/>
      <c r="F71" s="850">
        <f>'Budget with Assumptions'!L71</f>
        <v>28380</v>
      </c>
      <c r="G71" s="515"/>
      <c r="H71" s="850">
        <f>'Budget with Assumptions'!N71</f>
        <v>33420</v>
      </c>
      <c r="I71" s="515"/>
      <c r="J71" s="850">
        <f>'Budget with Assumptions'!P71</f>
        <v>37900</v>
      </c>
      <c r="K71" s="411"/>
      <c r="L71" s="850">
        <f>'Budget with Assumptions'!R71</f>
        <v>40900</v>
      </c>
      <c r="M71" s="495"/>
      <c r="N71" s="850">
        <f>'Budget with Assumptions'!T71</f>
        <v>46440</v>
      </c>
      <c r="O71" s="809"/>
      <c r="P71" s="103">
        <f t="shared" si="15"/>
        <v>7.3863652408478857E-3</v>
      </c>
      <c r="Q71" s="103">
        <f t="shared" si="16"/>
        <v>7.1175044180918356E-3</v>
      </c>
      <c r="R71" s="103">
        <f t="shared" si="17"/>
        <v>7.0196358008006512E-3</v>
      </c>
      <c r="S71" s="103">
        <f t="shared" si="18"/>
        <v>7.0315904207915274E-3</v>
      </c>
      <c r="T71" s="103">
        <f t="shared" si="19"/>
        <v>7.1669807213922401E-3</v>
      </c>
      <c r="U71" s="809"/>
      <c r="V71" s="299">
        <f t="shared" si="20"/>
        <v>63.06666666666667</v>
      </c>
      <c r="W71" s="299">
        <f t="shared" si="21"/>
        <v>63.657142857142858</v>
      </c>
      <c r="X71" s="299">
        <f t="shared" si="22"/>
        <v>63.69747899159664</v>
      </c>
      <c r="Y71" s="299">
        <f t="shared" si="23"/>
        <v>61.503759398496243</v>
      </c>
      <c r="Z71" s="299">
        <f t="shared" si="24"/>
        <v>63.183673469387756</v>
      </c>
      <c r="AA71" s="85"/>
    </row>
    <row r="72" spans="1:28" ht="15.75" customHeight="1">
      <c r="A72" s="90" t="str">
        <f>'Budget with Assumptions'!A72</f>
        <v>403b</v>
      </c>
      <c r="B72" s="40"/>
      <c r="C72" s="333"/>
      <c r="D72" s="850">
        <f>'Budget with Assumptions'!J72</f>
        <v>3511.2000000000003</v>
      </c>
      <c r="E72" s="264"/>
      <c r="F72" s="850">
        <f>'Budget with Assumptions'!L72</f>
        <v>29820.000000000004</v>
      </c>
      <c r="G72" s="515"/>
      <c r="H72" s="850">
        <f>'Budget with Assumptions'!N72</f>
        <v>35420</v>
      </c>
      <c r="I72" s="515"/>
      <c r="J72" s="850">
        <f>'Budget with Assumptions'!P72</f>
        <v>44520.000000000007</v>
      </c>
      <c r="K72" s="411"/>
      <c r="L72" s="850">
        <f>'Budget with Assumptions'!R72</f>
        <v>50820.000000000007</v>
      </c>
      <c r="M72" s="495"/>
      <c r="N72" s="850">
        <f>'Budget with Assumptions'!T72</f>
        <v>58520.000000000007</v>
      </c>
      <c r="O72" s="809"/>
      <c r="P72" s="103">
        <f t="shared" si="15"/>
        <v>7.7611491008486256E-3</v>
      </c>
      <c r="Q72" s="103">
        <f t="shared" si="16"/>
        <v>7.5434472318615447E-3</v>
      </c>
      <c r="R72" s="103">
        <f t="shared" si="17"/>
        <v>8.2457568826291572E-3</v>
      </c>
      <c r="S72" s="103">
        <f t="shared" si="18"/>
        <v>8.7370519605042916E-3</v>
      </c>
      <c r="T72" s="103">
        <f t="shared" si="19"/>
        <v>9.031259944355597E-3</v>
      </c>
      <c r="U72" s="809"/>
      <c r="V72" s="299">
        <f t="shared" si="20"/>
        <v>66.26666666666668</v>
      </c>
      <c r="W72" s="299">
        <f t="shared" si="21"/>
        <v>67.466666666666669</v>
      </c>
      <c r="X72" s="299">
        <f t="shared" si="22"/>
        <v>74.823529411764724</v>
      </c>
      <c r="Y72" s="299">
        <f t="shared" si="23"/>
        <v>76.421052631578959</v>
      </c>
      <c r="Z72" s="299">
        <f t="shared" si="24"/>
        <v>79.619047619047635</v>
      </c>
      <c r="AA72" s="85"/>
    </row>
    <row r="73" spans="1:28" ht="15.75" customHeight="1">
      <c r="A73" s="90" t="str">
        <f>'Budget with Assumptions'!A73</f>
        <v>FICA (employer's share)</v>
      </c>
      <c r="B73" s="40"/>
      <c r="C73" s="333"/>
      <c r="D73" s="850">
        <f>'Budget with Assumptions'!J73</f>
        <v>3109.92</v>
      </c>
      <c r="E73" s="264"/>
      <c r="F73" s="850">
        <f>'Budget with Assumptions'!L73</f>
        <v>26412</v>
      </c>
      <c r="G73" s="515"/>
      <c r="H73" s="850">
        <f>'Budget with Assumptions'!N73</f>
        <v>31372</v>
      </c>
      <c r="I73" s="515"/>
      <c r="J73" s="850">
        <f>'Budget with Assumptions'!P73</f>
        <v>39432</v>
      </c>
      <c r="K73" s="411"/>
      <c r="L73" s="850">
        <f>'Budget with Assumptions'!R73</f>
        <v>45012</v>
      </c>
      <c r="M73" s="495"/>
      <c r="N73" s="850">
        <f>'Budget with Assumptions'!T73</f>
        <v>51832</v>
      </c>
      <c r="O73" s="809"/>
      <c r="P73" s="103">
        <f t="shared" si="15"/>
        <v>6.8741606321802099E-3</v>
      </c>
      <c r="Q73" s="103">
        <f t="shared" si="16"/>
        <v>6.6813389767916538E-3</v>
      </c>
      <c r="R73" s="103">
        <f t="shared" si="17"/>
        <v>7.3033846674715377E-3</v>
      </c>
      <c r="S73" s="103">
        <f t="shared" si="18"/>
        <v>7.7385317364466561E-3</v>
      </c>
      <c r="T73" s="103">
        <f t="shared" si="19"/>
        <v>7.9991159507149575E-3</v>
      </c>
      <c r="U73" s="809"/>
      <c r="V73" s="299">
        <f t="shared" si="20"/>
        <v>58.693333333333335</v>
      </c>
      <c r="W73" s="299">
        <f t="shared" si="21"/>
        <v>59.756190476190476</v>
      </c>
      <c r="X73" s="299">
        <f t="shared" si="22"/>
        <v>66.272268907563031</v>
      </c>
      <c r="Y73" s="299">
        <f t="shared" si="23"/>
        <v>67.687218045112786</v>
      </c>
      <c r="Z73" s="299">
        <f t="shared" si="24"/>
        <v>70.519727891156464</v>
      </c>
      <c r="AA73" s="85"/>
    </row>
    <row r="74" spans="1:28" ht="15.75" customHeight="1">
      <c r="A74" s="90" t="str">
        <f>'Budget with Assumptions'!A74</f>
        <v>Medicare (employer's share)</v>
      </c>
      <c r="B74" s="40"/>
      <c r="C74" s="333"/>
      <c r="D74" s="850">
        <f>'Budget with Assumptions'!J74</f>
        <v>727.32</v>
      </c>
      <c r="E74" s="264"/>
      <c r="F74" s="850">
        <f>'Budget with Assumptions'!L74</f>
        <v>27635.550000000003</v>
      </c>
      <c r="G74" s="515"/>
      <c r="H74" s="850">
        <f>'Budget with Assumptions'!N74</f>
        <v>32632.25</v>
      </c>
      <c r="I74" s="515"/>
      <c r="J74" s="850">
        <f>'Budget with Assumptions'!P74</f>
        <v>37884.15</v>
      </c>
      <c r="K74" s="411"/>
      <c r="L74" s="850">
        <f>'Budget with Assumptions'!R74</f>
        <v>41457.675000000003</v>
      </c>
      <c r="M74" s="495"/>
      <c r="N74" s="850">
        <f>'Budget with Assumptions'!T74</f>
        <v>47226.5</v>
      </c>
      <c r="O74" s="809"/>
      <c r="P74" s="103">
        <f t="shared" si="15"/>
        <v>7.1926097932245884E-3</v>
      </c>
      <c r="Q74" s="103">
        <f t="shared" si="16"/>
        <v>6.9497361923182921E-3</v>
      </c>
      <c r="R74" s="103">
        <f t="shared" si="17"/>
        <v>7.0167001483615304E-3</v>
      </c>
      <c r="S74" s="103">
        <f t="shared" si="18"/>
        <v>7.1274667579043624E-3</v>
      </c>
      <c r="T74" s="103">
        <f t="shared" si="19"/>
        <v>7.2883594969601773E-3</v>
      </c>
      <c r="U74" s="809"/>
      <c r="V74" s="299">
        <f t="shared" si="20"/>
        <v>61.412333333333336</v>
      </c>
      <c r="W74" s="299">
        <f t="shared" si="21"/>
        <v>62.156666666666666</v>
      </c>
      <c r="X74" s="299">
        <f t="shared" si="22"/>
        <v>63.670840336134454</v>
      </c>
      <c r="Y74" s="299">
        <f t="shared" si="23"/>
        <v>62.342368421052633</v>
      </c>
      <c r="Z74" s="299">
        <f t="shared" si="24"/>
        <v>64.253741496598636</v>
      </c>
      <c r="AA74" s="85"/>
    </row>
    <row r="75" spans="1:28" ht="15.75" customHeight="1">
      <c r="A75" s="90" t="str">
        <f>'Budget with Assumptions'!A75</f>
        <v>Health/Dental/Life Insurance</v>
      </c>
      <c r="B75" s="40"/>
      <c r="C75" s="333"/>
      <c r="D75" s="850">
        <f>'Budget with Assumptions'!J75</f>
        <v>0</v>
      </c>
      <c r="E75" s="264"/>
      <c r="F75" s="850">
        <f>'Budget with Assumptions'!L75</f>
        <v>285885</v>
      </c>
      <c r="G75" s="515"/>
      <c r="H75" s="850">
        <f>'Budget with Assumptions'!N75</f>
        <v>347702.25</v>
      </c>
      <c r="I75" s="515"/>
      <c r="J75" s="850">
        <f>'Budget with Assumptions'!P75</f>
        <v>415772.01449999999</v>
      </c>
      <c r="K75" s="411"/>
      <c r="L75" s="850">
        <f>'Budget with Assumptions'!R75</f>
        <v>468640.56030750001</v>
      </c>
      <c r="M75" s="495"/>
      <c r="N75" s="850">
        <f>'Budget with Assumptions'!T75</f>
        <v>549867.32912549993</v>
      </c>
      <c r="O75" s="809"/>
      <c r="P75" s="103">
        <f t="shared" si="15"/>
        <v>7.4406308205771599E-2</v>
      </c>
      <c r="Q75" s="103">
        <f t="shared" si="16"/>
        <v>7.4050637359529381E-2</v>
      </c>
      <c r="R75" s="103">
        <f t="shared" si="17"/>
        <v>7.7007074352380148E-2</v>
      </c>
      <c r="S75" s="103">
        <f t="shared" si="18"/>
        <v>8.0569400358254065E-2</v>
      </c>
      <c r="T75" s="103">
        <f t="shared" si="19"/>
        <v>8.4859787837336345E-2</v>
      </c>
      <c r="U75" s="809"/>
      <c r="V75" s="299">
        <f t="shared" si="20"/>
        <v>635.29999999999995</v>
      </c>
      <c r="W75" s="299">
        <f t="shared" si="21"/>
        <v>662.29</v>
      </c>
      <c r="X75" s="299">
        <f t="shared" si="22"/>
        <v>698.77649495798323</v>
      </c>
      <c r="Y75" s="299">
        <f t="shared" si="23"/>
        <v>704.72264707894738</v>
      </c>
      <c r="Z75" s="299">
        <f t="shared" si="24"/>
        <v>748.11881513673461</v>
      </c>
      <c r="AA75" s="85"/>
    </row>
    <row r="76" spans="1:28" ht="15.75" customHeight="1">
      <c r="A76" s="90" t="str">
        <f>'Budget with Assumptions'!A76</f>
        <v>Workers Compensation</v>
      </c>
      <c r="B76" s="40"/>
      <c r="C76" s="333"/>
      <c r="D76" s="850">
        <f>'Budget with Assumptions'!J76</f>
        <v>0</v>
      </c>
      <c r="E76" s="264"/>
      <c r="F76" s="850">
        <f>'Budget with Assumptions'!L76</f>
        <v>0</v>
      </c>
      <c r="G76" s="264"/>
      <c r="H76" s="850">
        <f>'Budget with Assumptions'!N76</f>
        <v>0</v>
      </c>
      <c r="I76" s="515"/>
      <c r="J76" s="850">
        <f>'Budget with Assumptions'!P76</f>
        <v>0</v>
      </c>
      <c r="K76" s="411"/>
      <c r="L76" s="850">
        <f>'Budget with Assumptions'!R76</f>
        <v>0</v>
      </c>
      <c r="M76" s="495"/>
      <c r="N76" s="850">
        <f>'Budget with Assumptions'!T76</f>
        <v>0</v>
      </c>
      <c r="O76" s="809"/>
      <c r="P76" s="103">
        <f t="shared" si="15"/>
        <v>0</v>
      </c>
      <c r="Q76" s="103">
        <f t="shared" si="16"/>
        <v>0</v>
      </c>
      <c r="R76" s="103">
        <f t="shared" si="17"/>
        <v>0</v>
      </c>
      <c r="S76" s="103">
        <f t="shared" si="18"/>
        <v>0</v>
      </c>
      <c r="T76" s="103">
        <f t="shared" si="19"/>
        <v>0</v>
      </c>
      <c r="U76" s="809"/>
      <c r="V76" s="299">
        <f t="shared" si="20"/>
        <v>0</v>
      </c>
      <c r="W76" s="299">
        <f t="shared" si="21"/>
        <v>0</v>
      </c>
      <c r="X76" s="299">
        <f t="shared" si="22"/>
        <v>0</v>
      </c>
      <c r="Y76" s="299">
        <f t="shared" si="23"/>
        <v>0</v>
      </c>
      <c r="Z76" s="299">
        <f t="shared" si="24"/>
        <v>0</v>
      </c>
      <c r="AA76" s="85"/>
    </row>
    <row r="77" spans="1:28" ht="15.75" customHeight="1">
      <c r="A77" s="90" t="str">
        <f>'Budget with Assumptions'!A77</f>
        <v>State Unemployment Taxes</v>
      </c>
      <c r="B77" s="40"/>
      <c r="C77" s="333"/>
      <c r="D77" s="850">
        <f>'Budget with Assumptions'!J77</f>
        <v>0</v>
      </c>
      <c r="E77" s="264"/>
      <c r="F77" s="850">
        <f>'Budget with Assumptions'!L77</f>
        <v>152472</v>
      </c>
      <c r="G77" s="264"/>
      <c r="H77" s="850">
        <f>'Budget with Assumptions'!N77</f>
        <v>185441.2</v>
      </c>
      <c r="I77" s="264"/>
      <c r="J77" s="850">
        <f>'Budget with Assumptions'!P77</f>
        <v>221745.07439999998</v>
      </c>
      <c r="K77" s="411"/>
      <c r="L77" s="850">
        <f>'Budget with Assumptions'!R77</f>
        <v>249941.63216400001</v>
      </c>
      <c r="M77" s="495"/>
      <c r="N77" s="850">
        <f>'Budget with Assumptions'!T77</f>
        <v>293262.5755336</v>
      </c>
      <c r="O77" s="809"/>
      <c r="P77" s="103">
        <f t="shared" si="15"/>
        <v>3.9683364376411519E-2</v>
      </c>
      <c r="Q77" s="103">
        <f t="shared" si="16"/>
        <v>3.9493673258415671E-2</v>
      </c>
      <c r="R77" s="103">
        <f t="shared" si="17"/>
        <v>4.107043965460274E-2</v>
      </c>
      <c r="S77" s="103">
        <f t="shared" si="18"/>
        <v>4.29703468577355E-2</v>
      </c>
      <c r="T77" s="103">
        <f t="shared" si="19"/>
        <v>4.5258553513246057E-2</v>
      </c>
      <c r="U77" s="809"/>
      <c r="V77" s="299">
        <f t="shared" si="20"/>
        <v>338.82666666666665</v>
      </c>
      <c r="W77" s="299">
        <f t="shared" si="21"/>
        <v>353.22133333333335</v>
      </c>
      <c r="X77" s="299">
        <f t="shared" si="22"/>
        <v>372.68079731092433</v>
      </c>
      <c r="Y77" s="299">
        <f t="shared" si="23"/>
        <v>375.85207844210527</v>
      </c>
      <c r="Z77" s="299">
        <f t="shared" si="24"/>
        <v>398.99670140625852</v>
      </c>
      <c r="AA77" s="85"/>
    </row>
    <row r="78" spans="1:28" ht="15.75" customHeight="1">
      <c r="A78" s="90" t="str">
        <f>'Budget with Assumptions'!A78</f>
        <v>Disability Insurance</v>
      </c>
      <c r="B78" s="40"/>
      <c r="C78" s="333"/>
      <c r="D78" s="850">
        <f>'Budget with Assumptions'!J78</f>
        <v>0</v>
      </c>
      <c r="E78" s="264"/>
      <c r="F78" s="850">
        <f>'Budget with Assumptions'!L78</f>
        <v>38118</v>
      </c>
      <c r="G78" s="264"/>
      <c r="H78" s="850">
        <f>'Budget with Assumptions'!N78</f>
        <v>46360.3</v>
      </c>
      <c r="I78" s="264"/>
      <c r="J78" s="850">
        <f>'Budget with Assumptions'!P78</f>
        <v>55436.268599999996</v>
      </c>
      <c r="K78" s="411"/>
      <c r="L78" s="850">
        <f>'Budget with Assumptions'!R78</f>
        <v>62485.408041000002</v>
      </c>
      <c r="M78" s="495"/>
      <c r="N78" s="850">
        <f>'Budget with Assumptions'!T78</f>
        <v>73315.6438834</v>
      </c>
      <c r="O78" s="809"/>
      <c r="P78" s="103">
        <f t="shared" si="15"/>
        <v>9.9208410941028797E-3</v>
      </c>
      <c r="Q78" s="103">
        <f t="shared" si="16"/>
        <v>9.8734183146039177E-3</v>
      </c>
      <c r="R78" s="103">
        <f t="shared" si="17"/>
        <v>1.0267609913650685E-2</v>
      </c>
      <c r="S78" s="103">
        <f t="shared" si="18"/>
        <v>1.0742586714433875E-2</v>
      </c>
      <c r="T78" s="103">
        <f t="shared" si="19"/>
        <v>1.1314638378311514E-2</v>
      </c>
      <c r="U78" s="809"/>
      <c r="V78" s="299">
        <f t="shared" si="20"/>
        <v>84.706666666666663</v>
      </c>
      <c r="W78" s="299">
        <f t="shared" si="21"/>
        <v>88.305333333333337</v>
      </c>
      <c r="X78" s="299">
        <f t="shared" si="22"/>
        <v>93.170199327731083</v>
      </c>
      <c r="Y78" s="299">
        <f t="shared" si="23"/>
        <v>93.963019610526317</v>
      </c>
      <c r="Z78" s="299">
        <f t="shared" si="24"/>
        <v>99.749175351564631</v>
      </c>
      <c r="AA78" s="85"/>
    </row>
    <row r="79" spans="1:28" ht="15.75" customHeight="1">
      <c r="A79" s="90">
        <f>'Budget with Assumptions'!A79</f>
        <v>0</v>
      </c>
      <c r="B79" s="40"/>
      <c r="C79" s="333"/>
      <c r="D79" s="850">
        <f>'Budget with Assumptions'!J79</f>
        <v>0</v>
      </c>
      <c r="E79" s="264"/>
      <c r="F79" s="850">
        <f>'Budget with Assumptions'!L79</f>
        <v>0</v>
      </c>
      <c r="G79" s="264"/>
      <c r="H79" s="850">
        <f>'Budget with Assumptions'!N79</f>
        <v>0</v>
      </c>
      <c r="I79" s="264"/>
      <c r="J79" s="850">
        <f>'Budget with Assumptions'!P79</f>
        <v>0</v>
      </c>
      <c r="K79" s="411"/>
      <c r="L79" s="850">
        <f>'Budget with Assumptions'!R79</f>
        <v>0</v>
      </c>
      <c r="M79" s="495"/>
      <c r="N79" s="850">
        <f>'Budget with Assumptions'!T79</f>
        <v>0</v>
      </c>
      <c r="O79" s="809"/>
      <c r="P79" s="103">
        <f t="shared" si="15"/>
        <v>0</v>
      </c>
      <c r="Q79" s="103">
        <f t="shared" si="16"/>
        <v>0</v>
      </c>
      <c r="R79" s="103">
        <f t="shared" si="17"/>
        <v>0</v>
      </c>
      <c r="S79" s="103">
        <f t="shared" si="18"/>
        <v>0</v>
      </c>
      <c r="T79" s="103">
        <f t="shared" si="19"/>
        <v>0</v>
      </c>
      <c r="U79" s="809"/>
      <c r="V79" s="299">
        <f t="shared" si="20"/>
        <v>0</v>
      </c>
      <c r="W79" s="299">
        <f t="shared" si="21"/>
        <v>0</v>
      </c>
      <c r="X79" s="299">
        <f t="shared" si="22"/>
        <v>0</v>
      </c>
      <c r="Y79" s="299">
        <f t="shared" si="23"/>
        <v>0</v>
      </c>
      <c r="Z79" s="299">
        <f t="shared" si="24"/>
        <v>0</v>
      </c>
      <c r="AA79" s="85"/>
    </row>
    <row r="80" spans="1:28" ht="15.75" customHeight="1">
      <c r="A80" s="90">
        <f>'Budget with Assumptions'!A80</f>
        <v>0</v>
      </c>
      <c r="B80" s="40"/>
      <c r="C80" s="333"/>
      <c r="D80" s="850">
        <f>'Budget with Assumptions'!J80</f>
        <v>0</v>
      </c>
      <c r="E80" s="809"/>
      <c r="F80" s="850">
        <f>'Budget with Assumptions'!L80</f>
        <v>0</v>
      </c>
      <c r="G80" s="809"/>
      <c r="H80" s="850">
        <f>'Budget with Assumptions'!N80</f>
        <v>0</v>
      </c>
      <c r="I80" s="809"/>
      <c r="J80" s="850">
        <f>'Budget with Assumptions'!P80</f>
        <v>0</v>
      </c>
      <c r="K80" s="96"/>
      <c r="L80" s="850">
        <f>'Budget with Assumptions'!R80</f>
        <v>0</v>
      </c>
      <c r="M80" s="96"/>
      <c r="N80" s="850">
        <f>'Budget with Assumptions'!T80</f>
        <v>0</v>
      </c>
      <c r="O80" s="809"/>
      <c r="P80" s="103">
        <f t="shared" si="15"/>
        <v>0</v>
      </c>
      <c r="Q80" s="103">
        <f t="shared" si="16"/>
        <v>0</v>
      </c>
      <c r="R80" s="103">
        <f t="shared" si="17"/>
        <v>0</v>
      </c>
      <c r="S80" s="103">
        <f t="shared" si="18"/>
        <v>0</v>
      </c>
      <c r="T80" s="103">
        <f t="shared" si="19"/>
        <v>0</v>
      </c>
      <c r="U80" s="809"/>
      <c r="V80" s="299">
        <f t="shared" si="20"/>
        <v>0</v>
      </c>
      <c r="W80" s="299">
        <f t="shared" si="21"/>
        <v>0</v>
      </c>
      <c r="X80" s="299">
        <f t="shared" si="22"/>
        <v>0</v>
      </c>
      <c r="Y80" s="299">
        <f t="shared" si="23"/>
        <v>0</v>
      </c>
      <c r="Z80" s="299">
        <f t="shared" si="24"/>
        <v>0</v>
      </c>
      <c r="AA80" s="85"/>
    </row>
    <row r="81" spans="1:27" ht="15.75" customHeight="1">
      <c r="A81" s="90">
        <f>'Budget with Assumptions'!A81</f>
        <v>0</v>
      </c>
      <c r="B81" s="85"/>
      <c r="C81" s="493"/>
      <c r="D81" s="850">
        <f>'Budget with Assumptions'!J81</f>
        <v>0</v>
      </c>
      <c r="E81" s="264"/>
      <c r="F81" s="850">
        <f>'Budget with Assumptions'!L81</f>
        <v>0</v>
      </c>
      <c r="G81" s="264"/>
      <c r="H81" s="850">
        <f>'Budget with Assumptions'!N81</f>
        <v>0</v>
      </c>
      <c r="I81" s="264"/>
      <c r="J81" s="850">
        <f>'Budget with Assumptions'!P81</f>
        <v>0</v>
      </c>
      <c r="K81" s="411"/>
      <c r="L81" s="850">
        <f>'Budget with Assumptions'!R81</f>
        <v>0</v>
      </c>
      <c r="M81" s="495"/>
      <c r="N81" s="850">
        <f>'Budget with Assumptions'!T81</f>
        <v>0</v>
      </c>
      <c r="O81" s="809"/>
      <c r="P81" s="103">
        <f t="shared" si="15"/>
        <v>0</v>
      </c>
      <c r="Q81" s="103">
        <f t="shared" si="16"/>
        <v>0</v>
      </c>
      <c r="R81" s="103">
        <f t="shared" si="17"/>
        <v>0</v>
      </c>
      <c r="S81" s="103">
        <f t="shared" si="18"/>
        <v>0</v>
      </c>
      <c r="T81" s="103">
        <f t="shared" si="19"/>
        <v>0</v>
      </c>
      <c r="U81" s="809"/>
      <c r="V81" s="299">
        <f t="shared" si="20"/>
        <v>0</v>
      </c>
      <c r="W81" s="299">
        <f t="shared" si="21"/>
        <v>0</v>
      </c>
      <c r="X81" s="299">
        <f t="shared" si="22"/>
        <v>0</v>
      </c>
      <c r="Y81" s="299">
        <f t="shared" si="23"/>
        <v>0</v>
      </c>
      <c r="Z81" s="299">
        <f t="shared" si="24"/>
        <v>0</v>
      </c>
      <c r="AA81" s="85"/>
    </row>
    <row r="82" spans="1:27" ht="15.75" customHeight="1">
      <c r="A82" s="42" t="str">
        <f>'Budget with Assumptions'!A82</f>
        <v>Employee Related Expenses (non-wage and non-benefit)</v>
      </c>
      <c r="B82" s="40"/>
      <c r="C82" s="333"/>
      <c r="D82" s="850">
        <f>'Budget with Assumptions'!J82</f>
        <v>0</v>
      </c>
      <c r="E82" s="264"/>
      <c r="F82" s="850">
        <f>'Budget with Assumptions'!L82</f>
        <v>0</v>
      </c>
      <c r="G82" s="264"/>
      <c r="H82" s="850">
        <f>'Budget with Assumptions'!N82</f>
        <v>0</v>
      </c>
      <c r="I82" s="264"/>
      <c r="J82" s="850">
        <f>'Budget with Assumptions'!P82</f>
        <v>0</v>
      </c>
      <c r="K82" s="411"/>
      <c r="L82" s="850">
        <f>'Budget with Assumptions'!R82</f>
        <v>0</v>
      </c>
      <c r="M82" s="495"/>
      <c r="N82" s="850">
        <f>'Budget with Assumptions'!T82</f>
        <v>0</v>
      </c>
      <c r="O82" s="809"/>
      <c r="P82" s="103">
        <f t="shared" si="15"/>
        <v>0</v>
      </c>
      <c r="Q82" s="103">
        <f t="shared" si="16"/>
        <v>0</v>
      </c>
      <c r="R82" s="103">
        <f t="shared" si="17"/>
        <v>0</v>
      </c>
      <c r="S82" s="103">
        <f t="shared" si="18"/>
        <v>0</v>
      </c>
      <c r="T82" s="103">
        <f t="shared" si="19"/>
        <v>0</v>
      </c>
      <c r="U82" s="809"/>
      <c r="V82" s="299">
        <f t="shared" si="20"/>
        <v>0</v>
      </c>
      <c r="W82" s="299">
        <f t="shared" si="21"/>
        <v>0</v>
      </c>
      <c r="X82" s="299">
        <f t="shared" si="22"/>
        <v>0</v>
      </c>
      <c r="Y82" s="299">
        <f t="shared" si="23"/>
        <v>0</v>
      </c>
      <c r="Z82" s="299">
        <f t="shared" si="24"/>
        <v>0</v>
      </c>
      <c r="AA82" s="85"/>
    </row>
    <row r="83" spans="1:27" ht="15.75" customHeight="1">
      <c r="A83" s="90" t="str">
        <f>'Budget with Assumptions'!A83</f>
        <v>Staff Recruitment</v>
      </c>
      <c r="B83" s="40"/>
      <c r="C83" s="333"/>
      <c r="D83" s="850">
        <f>'Budget with Assumptions'!J83</f>
        <v>4452</v>
      </c>
      <c r="E83" s="264"/>
      <c r="F83" s="850">
        <f>'Budget with Assumptions'!L83</f>
        <v>4000</v>
      </c>
      <c r="G83" s="264"/>
      <c r="H83" s="850">
        <f>'Budget with Assumptions'!N83</f>
        <v>4000</v>
      </c>
      <c r="I83" s="264"/>
      <c r="J83" s="850">
        <f>'Budget with Assumptions'!P83</f>
        <v>4000</v>
      </c>
      <c r="K83" s="411"/>
      <c r="L83" s="850">
        <f>'Budget with Assumptions'!R83</f>
        <v>4000</v>
      </c>
      <c r="M83" s="495"/>
      <c r="N83" s="850">
        <f>'Budget with Assumptions'!T83</f>
        <v>4000</v>
      </c>
      <c r="O83" s="809"/>
      <c r="P83" s="103">
        <f t="shared" si="15"/>
        <v>1.0410662777798289E-3</v>
      </c>
      <c r="Q83" s="103">
        <f t="shared" si="16"/>
        <v>8.5188562753941782E-4</v>
      </c>
      <c r="R83" s="103">
        <f t="shared" si="17"/>
        <v>7.4085865971510833E-4</v>
      </c>
      <c r="S83" s="103">
        <f t="shared" si="18"/>
        <v>6.8768610472288777E-4</v>
      </c>
      <c r="T83" s="103">
        <f t="shared" si="19"/>
        <v>6.1731100098124379E-4</v>
      </c>
      <c r="U83" s="809"/>
      <c r="V83" s="299">
        <f t="shared" si="20"/>
        <v>8.8888888888888893</v>
      </c>
      <c r="W83" s="299">
        <f t="shared" si="21"/>
        <v>7.6190476190476186</v>
      </c>
      <c r="X83" s="299">
        <f t="shared" si="22"/>
        <v>6.7226890756302522</v>
      </c>
      <c r="Y83" s="299">
        <f t="shared" si="23"/>
        <v>6.0150375939849621</v>
      </c>
      <c r="Z83" s="299">
        <f t="shared" si="24"/>
        <v>5.4421768707482991</v>
      </c>
      <c r="AA83" s="85"/>
    </row>
    <row r="84" spans="1:27" ht="15.75" customHeight="1">
      <c r="A84" s="90" t="str">
        <f>'Budget with Assumptions'!A84</f>
        <v>Professional Development</v>
      </c>
      <c r="B84" s="40"/>
      <c r="C84" s="333"/>
      <c r="D84" s="850">
        <f>'Budget with Assumptions'!J84</f>
        <v>0</v>
      </c>
      <c r="E84" s="264"/>
      <c r="F84" s="850">
        <f>'Budget with Assumptions'!L84</f>
        <v>31000</v>
      </c>
      <c r="G84" s="264"/>
      <c r="H84" s="850">
        <f>'Budget with Assumptions'!N84</f>
        <v>37000</v>
      </c>
      <c r="I84" s="264"/>
      <c r="J84" s="850">
        <f>'Budget with Assumptions'!P84</f>
        <v>43000</v>
      </c>
      <c r="K84" s="411"/>
      <c r="L84" s="850">
        <f>'Budget with Assumptions'!R84</f>
        <v>47000</v>
      </c>
      <c r="M84" s="495"/>
      <c r="N84" s="850">
        <f>'Budget with Assumptions'!T84</f>
        <v>50000</v>
      </c>
      <c r="O84" s="809"/>
      <c r="P84" s="103">
        <f t="shared" si="15"/>
        <v>8.0682636527936741E-3</v>
      </c>
      <c r="Q84" s="103">
        <f t="shared" si="16"/>
        <v>7.8799420547396148E-3</v>
      </c>
      <c r="R84" s="103">
        <f t="shared" si="17"/>
        <v>7.964230591937415E-3</v>
      </c>
      <c r="S84" s="103">
        <f t="shared" si="18"/>
        <v>8.0803117304939324E-3</v>
      </c>
      <c r="T84" s="103">
        <f t="shared" si="19"/>
        <v>7.7163875122655476E-3</v>
      </c>
      <c r="U84" s="809"/>
      <c r="V84" s="299">
        <f t="shared" si="20"/>
        <v>68.888888888888886</v>
      </c>
      <c r="W84" s="299">
        <f t="shared" si="21"/>
        <v>70.476190476190482</v>
      </c>
      <c r="X84" s="299">
        <f t="shared" si="22"/>
        <v>72.268907563025209</v>
      </c>
      <c r="Y84" s="299">
        <f t="shared" si="23"/>
        <v>70.676691729323309</v>
      </c>
      <c r="Z84" s="299">
        <f t="shared" si="24"/>
        <v>68.027210884353735</v>
      </c>
      <c r="AA84" s="85"/>
    </row>
    <row r="85" spans="1:27" ht="15.75" customHeight="1">
      <c r="A85" s="90" t="str">
        <f>'Budget with Assumptions'!A85</f>
        <v>Staff Appreciation</v>
      </c>
      <c r="B85" s="40"/>
      <c r="C85" s="333"/>
      <c r="D85" s="850">
        <f>'Budget with Assumptions'!J85</f>
        <v>0</v>
      </c>
      <c r="E85" s="264"/>
      <c r="F85" s="850">
        <f>'Budget with Assumptions'!L85</f>
        <v>0</v>
      </c>
      <c r="G85" s="264"/>
      <c r="H85" s="850">
        <f>'Budget with Assumptions'!N85</f>
        <v>0</v>
      </c>
      <c r="I85" s="264"/>
      <c r="J85" s="850">
        <f>'Budget with Assumptions'!P85</f>
        <v>0</v>
      </c>
      <c r="K85" s="411"/>
      <c r="L85" s="850">
        <f>'Budget with Assumptions'!R85</f>
        <v>0</v>
      </c>
      <c r="M85" s="495"/>
      <c r="N85" s="850">
        <f>'Budget with Assumptions'!T85</f>
        <v>0</v>
      </c>
      <c r="O85" s="809"/>
      <c r="P85" s="103">
        <f t="shared" si="15"/>
        <v>0</v>
      </c>
      <c r="Q85" s="103">
        <f t="shared" si="16"/>
        <v>0</v>
      </c>
      <c r="R85" s="103">
        <f t="shared" si="17"/>
        <v>0</v>
      </c>
      <c r="S85" s="103">
        <f t="shared" si="18"/>
        <v>0</v>
      </c>
      <c r="T85" s="103">
        <f t="shared" si="19"/>
        <v>0</v>
      </c>
      <c r="U85" s="809"/>
      <c r="V85" s="299">
        <f t="shared" si="20"/>
        <v>0</v>
      </c>
      <c r="W85" s="299">
        <f t="shared" si="21"/>
        <v>0</v>
      </c>
      <c r="X85" s="299">
        <f t="shared" si="22"/>
        <v>0</v>
      </c>
      <c r="Y85" s="299">
        <f t="shared" si="23"/>
        <v>0</v>
      </c>
      <c r="Z85" s="299">
        <f t="shared" si="24"/>
        <v>0</v>
      </c>
      <c r="AA85" s="85"/>
    </row>
    <row r="86" spans="1:27" ht="15.75" customHeight="1">
      <c r="A86" s="90" t="str">
        <f>'Budget with Assumptions'!A86</f>
        <v>Substitute Teachers (Contractual)</v>
      </c>
      <c r="B86" s="40"/>
      <c r="C86" s="333"/>
      <c r="D86" s="850">
        <f>'Budget with Assumptions'!J86</f>
        <v>0</v>
      </c>
      <c r="E86" s="264"/>
      <c r="F86" s="850">
        <f>'Budget with Assumptions'!L86</f>
        <v>17820</v>
      </c>
      <c r="G86" s="264"/>
      <c r="H86" s="850">
        <f>'Budget with Assumptions'!N86</f>
        <v>19680</v>
      </c>
      <c r="I86" s="264"/>
      <c r="J86" s="850">
        <f>'Budget with Assumptions'!P86</f>
        <v>23520</v>
      </c>
      <c r="K86" s="411"/>
      <c r="L86" s="850">
        <f>'Budget with Assumptions'!R86</f>
        <v>26880</v>
      </c>
      <c r="M86" s="495"/>
      <c r="N86" s="850">
        <f>'Budget with Assumptions'!T86</f>
        <v>28800</v>
      </c>
      <c r="O86" s="809"/>
      <c r="P86" s="103">
        <f t="shared" si="15"/>
        <v>4.6379502675091373E-3</v>
      </c>
      <c r="Q86" s="103">
        <f t="shared" si="16"/>
        <v>4.191277287493936E-3</v>
      </c>
      <c r="R86" s="103">
        <f t="shared" si="17"/>
        <v>4.3562489191248371E-3</v>
      </c>
      <c r="S86" s="103">
        <f t="shared" si="18"/>
        <v>4.6212506237378057E-3</v>
      </c>
      <c r="T86" s="103">
        <f t="shared" si="19"/>
        <v>4.4446392070649548E-3</v>
      </c>
      <c r="U86" s="809"/>
      <c r="V86" s="299">
        <f t="shared" si="20"/>
        <v>39.6</v>
      </c>
      <c r="W86" s="299">
        <f t="shared" si="21"/>
        <v>37.485714285714288</v>
      </c>
      <c r="X86" s="299">
        <f t="shared" si="22"/>
        <v>39.529411764705884</v>
      </c>
      <c r="Y86" s="299">
        <f t="shared" si="23"/>
        <v>40.421052631578945</v>
      </c>
      <c r="Z86" s="299">
        <f t="shared" si="24"/>
        <v>39.183673469387756</v>
      </c>
      <c r="AA86" s="85"/>
    </row>
    <row r="87" spans="1:27" ht="15.75" customHeight="1">
      <c r="A87" s="90" t="str">
        <f>'Budget with Assumptions'!A87</f>
        <v>Classroom design and consumables</v>
      </c>
      <c r="B87" s="40"/>
      <c r="C87" s="333"/>
      <c r="D87" s="850">
        <f>'Budget with Assumptions'!J87</f>
        <v>0</v>
      </c>
      <c r="E87" s="264"/>
      <c r="F87" s="850">
        <f>'Budget with Assumptions'!L87</f>
        <v>7750</v>
      </c>
      <c r="G87" s="264"/>
      <c r="H87" s="850">
        <f>'Budget with Assumptions'!N87</f>
        <v>9250</v>
      </c>
      <c r="I87" s="264"/>
      <c r="J87" s="850">
        <f>'Budget with Assumptions'!P87</f>
        <v>10750</v>
      </c>
      <c r="K87" s="411"/>
      <c r="L87" s="850">
        <f>'Budget with Assumptions'!R87</f>
        <v>11750</v>
      </c>
      <c r="M87" s="495"/>
      <c r="N87" s="850">
        <f>'Budget with Assumptions'!T87</f>
        <v>12500</v>
      </c>
      <c r="O87" s="809"/>
      <c r="P87" s="103">
        <f t="shared" si="15"/>
        <v>2.0170659131984185E-3</v>
      </c>
      <c r="Q87" s="103">
        <f t="shared" si="16"/>
        <v>1.9699855136849037E-3</v>
      </c>
      <c r="R87" s="103">
        <f t="shared" si="17"/>
        <v>1.9910576479843537E-3</v>
      </c>
      <c r="S87" s="103">
        <f t="shared" si="18"/>
        <v>2.0200779326234831E-3</v>
      </c>
      <c r="T87" s="103">
        <f t="shared" si="19"/>
        <v>1.9290968780663869E-3</v>
      </c>
      <c r="U87" s="809"/>
      <c r="V87" s="299">
        <f t="shared" si="20"/>
        <v>17.222222222222221</v>
      </c>
      <c r="W87" s="299">
        <f t="shared" si="21"/>
        <v>17.61904761904762</v>
      </c>
      <c r="X87" s="299">
        <f t="shared" si="22"/>
        <v>18.067226890756302</v>
      </c>
      <c r="Y87" s="299">
        <f t="shared" si="23"/>
        <v>17.669172932330827</v>
      </c>
      <c r="Z87" s="299">
        <f t="shared" si="24"/>
        <v>17.006802721088434</v>
      </c>
      <c r="AA87" s="85"/>
    </row>
    <row r="88" spans="1:27" ht="15.75" customHeight="1">
      <c r="A88" s="90" t="str">
        <f>'Budget with Assumptions'!A88</f>
        <v>Professional Development &amp; Travel - Principal</v>
      </c>
      <c r="B88" s="40"/>
      <c r="C88" s="333"/>
      <c r="D88" s="850">
        <f>'Budget with Assumptions'!J88</f>
        <v>8000</v>
      </c>
      <c r="E88" s="264"/>
      <c r="F88" s="850">
        <f>'Budget with Assumptions'!L88</f>
        <v>5000</v>
      </c>
      <c r="G88" s="264"/>
      <c r="H88" s="850">
        <f>'Budget with Assumptions'!N88</f>
        <v>5000</v>
      </c>
      <c r="I88" s="264"/>
      <c r="J88" s="850">
        <f>'Budget with Assumptions'!P88</f>
        <v>5000</v>
      </c>
      <c r="K88" s="411"/>
      <c r="L88" s="850">
        <f>'Budget with Assumptions'!R88</f>
        <v>5000</v>
      </c>
      <c r="M88" s="495"/>
      <c r="N88" s="850">
        <f>'Budget with Assumptions'!T88</f>
        <v>5000</v>
      </c>
      <c r="O88" s="809"/>
      <c r="P88" s="103">
        <f t="shared" si="15"/>
        <v>1.3013328472247861E-3</v>
      </c>
      <c r="Q88" s="103">
        <f t="shared" si="16"/>
        <v>1.0648570344242722E-3</v>
      </c>
      <c r="R88" s="103">
        <f t="shared" si="17"/>
        <v>9.2607332464388536E-4</v>
      </c>
      <c r="S88" s="103">
        <f t="shared" si="18"/>
        <v>8.5960763090360971E-4</v>
      </c>
      <c r="T88" s="103">
        <f t="shared" si="19"/>
        <v>7.7163875122655476E-4</v>
      </c>
      <c r="U88" s="809"/>
      <c r="V88" s="299">
        <f t="shared" si="20"/>
        <v>11.111111111111111</v>
      </c>
      <c r="W88" s="299">
        <f t="shared" si="21"/>
        <v>9.5238095238095237</v>
      </c>
      <c r="X88" s="299">
        <f t="shared" si="22"/>
        <v>8.4033613445378155</v>
      </c>
      <c r="Y88" s="299">
        <f t="shared" si="23"/>
        <v>7.518796992481203</v>
      </c>
      <c r="Z88" s="299">
        <f t="shared" si="24"/>
        <v>6.8027210884353737</v>
      </c>
      <c r="AA88" s="85"/>
    </row>
    <row r="89" spans="1:27" ht="15.75" customHeight="1">
      <c r="A89" s="90">
        <f>'Budget with Assumptions'!A89</f>
        <v>0</v>
      </c>
      <c r="B89" s="40"/>
      <c r="C89" s="333"/>
      <c r="D89" s="850">
        <f>'Budget with Assumptions'!J89</f>
        <v>0</v>
      </c>
      <c r="E89" s="264"/>
      <c r="F89" s="850">
        <f>'Budget with Assumptions'!L89</f>
        <v>0</v>
      </c>
      <c r="G89" s="264"/>
      <c r="H89" s="850">
        <f>'Budget with Assumptions'!N89</f>
        <v>0</v>
      </c>
      <c r="I89" s="264"/>
      <c r="J89" s="850">
        <f>'Budget with Assumptions'!P89</f>
        <v>0</v>
      </c>
      <c r="K89" s="411"/>
      <c r="L89" s="850">
        <f>'Budget with Assumptions'!R89</f>
        <v>0</v>
      </c>
      <c r="M89" s="495"/>
      <c r="N89" s="850">
        <f>'Budget with Assumptions'!T89</f>
        <v>0</v>
      </c>
      <c r="O89" s="809"/>
      <c r="P89" s="103">
        <f t="shared" si="15"/>
        <v>0</v>
      </c>
      <c r="Q89" s="103">
        <f t="shared" si="16"/>
        <v>0</v>
      </c>
      <c r="R89" s="103">
        <f t="shared" si="17"/>
        <v>0</v>
      </c>
      <c r="S89" s="103">
        <f t="shared" si="18"/>
        <v>0</v>
      </c>
      <c r="T89" s="103">
        <f t="shared" si="19"/>
        <v>0</v>
      </c>
      <c r="U89" s="809"/>
      <c r="V89" s="299">
        <f t="shared" si="20"/>
        <v>0</v>
      </c>
      <c r="W89" s="299">
        <f t="shared" si="21"/>
        <v>0</v>
      </c>
      <c r="X89" s="299">
        <f t="shared" si="22"/>
        <v>0</v>
      </c>
      <c r="Y89" s="299">
        <f t="shared" si="23"/>
        <v>0</v>
      </c>
      <c r="Z89" s="299">
        <f t="shared" si="24"/>
        <v>0</v>
      </c>
      <c r="AA89" s="85"/>
    </row>
    <row r="90" spans="1:27" ht="15.75" customHeight="1">
      <c r="A90" s="90">
        <f>'Budget with Assumptions'!A90</f>
        <v>0</v>
      </c>
      <c r="B90" s="40"/>
      <c r="C90" s="333"/>
      <c r="D90" s="850">
        <f>'Budget with Assumptions'!J90</f>
        <v>0</v>
      </c>
      <c r="E90" s="264"/>
      <c r="F90" s="850">
        <f>'Budget with Assumptions'!L90</f>
        <v>0</v>
      </c>
      <c r="G90" s="264"/>
      <c r="H90" s="850">
        <f>'Budget with Assumptions'!N90</f>
        <v>0</v>
      </c>
      <c r="I90" s="264"/>
      <c r="J90" s="850">
        <f>'Budget with Assumptions'!P90</f>
        <v>0</v>
      </c>
      <c r="K90" s="411"/>
      <c r="L90" s="850">
        <f>'Budget with Assumptions'!R90</f>
        <v>0</v>
      </c>
      <c r="M90" s="495"/>
      <c r="N90" s="850">
        <f>'Budget with Assumptions'!T90</f>
        <v>0</v>
      </c>
      <c r="O90" s="809"/>
      <c r="P90" s="103">
        <f t="shared" si="15"/>
        <v>0</v>
      </c>
      <c r="Q90" s="103">
        <f t="shared" si="16"/>
        <v>0</v>
      </c>
      <c r="R90" s="103">
        <f t="shared" si="17"/>
        <v>0</v>
      </c>
      <c r="S90" s="103">
        <f t="shared" si="18"/>
        <v>0</v>
      </c>
      <c r="T90" s="103">
        <f t="shared" si="19"/>
        <v>0</v>
      </c>
      <c r="U90" s="809"/>
      <c r="V90" s="299">
        <f t="shared" si="20"/>
        <v>0</v>
      </c>
      <c r="W90" s="299">
        <f t="shared" si="21"/>
        <v>0</v>
      </c>
      <c r="X90" s="299">
        <f t="shared" si="22"/>
        <v>0</v>
      </c>
      <c r="Y90" s="299">
        <f t="shared" si="23"/>
        <v>0</v>
      </c>
      <c r="Z90" s="299">
        <f t="shared" si="24"/>
        <v>0</v>
      </c>
      <c r="AA90" s="85"/>
    </row>
    <row r="91" spans="1:27" ht="16.5" customHeight="1">
      <c r="A91" s="748"/>
      <c r="B91" s="65"/>
      <c r="C91" s="65"/>
      <c r="D91" s="321"/>
      <c r="E91" s="65"/>
      <c r="F91" s="321"/>
      <c r="G91" s="65"/>
      <c r="H91" s="321"/>
      <c r="I91" s="65"/>
      <c r="J91" s="321"/>
      <c r="K91" s="732"/>
      <c r="L91" s="423"/>
      <c r="M91" s="402"/>
      <c r="N91" s="423"/>
      <c r="P91" s="522"/>
      <c r="Q91" s="522"/>
      <c r="R91" s="522"/>
      <c r="S91" s="522"/>
      <c r="T91" s="522"/>
      <c r="V91" s="748"/>
      <c r="W91" s="748"/>
      <c r="X91" s="748"/>
      <c r="Y91" s="748"/>
      <c r="Z91" s="748"/>
    </row>
    <row r="92" spans="1:27" ht="16.5" customHeight="1">
      <c r="A92" s="293" t="str">
        <f>'Budget with Assumptions'!H92</f>
        <v>Total Personnel Costs</v>
      </c>
      <c r="B92" s="683"/>
      <c r="C92" s="389"/>
      <c r="D92" s="610">
        <f>SUM(D69:D90)</f>
        <v>69960.44</v>
      </c>
      <c r="E92" s="300"/>
      <c r="F92" s="610">
        <f>SUM(F69:F90)</f>
        <v>2689300.55</v>
      </c>
      <c r="G92" s="300"/>
      <c r="H92" s="610">
        <f>SUM(H69:H90)</f>
        <v>3193598</v>
      </c>
      <c r="I92" s="300"/>
      <c r="J92" s="610">
        <f>SUM(J69:J90)</f>
        <v>3724863.5074999998</v>
      </c>
      <c r="K92" s="302"/>
      <c r="L92" s="610">
        <f>SUM(L69:L90)</f>
        <v>4099915.2755124997</v>
      </c>
      <c r="M92" s="154"/>
      <c r="N92" s="610">
        <f>SUM(N69:N90)</f>
        <v>4687644.0485424995</v>
      </c>
      <c r="O92" s="550"/>
      <c r="P92" s="379">
        <f>SUM(P69:P90)</f>
        <v>0.69993502835493637</v>
      </c>
      <c r="Q92" s="379">
        <f>SUM(Q69:Q90)</f>
        <v>0.68014505908465739</v>
      </c>
      <c r="R92" s="379">
        <f>SUM(R69:R90)</f>
        <v>0.68989934644704187</v>
      </c>
      <c r="S92" s="379">
        <f>SUM(S69:S90)</f>
        <v>0.70486369137776428</v>
      </c>
      <c r="T92" s="379">
        <f>SUM(T69:T90)</f>
        <v>0.72343355996238534</v>
      </c>
      <c r="U92" s="550"/>
      <c r="V92" s="490">
        <f>SUM(V69:V90)</f>
        <v>5976.2234444444457</v>
      </c>
      <c r="W92" s="490">
        <f>SUM(W69:W90)</f>
        <v>6083.0438095238105</v>
      </c>
      <c r="X92" s="490">
        <f>SUM(X69:X90)</f>
        <v>6260.2748025210085</v>
      </c>
      <c r="Y92" s="490">
        <f>SUM(Y69:Y90)</f>
        <v>6165.2861285902263</v>
      </c>
      <c r="Z92" s="490">
        <f>SUM(Z69:Z90)</f>
        <v>6377.7470048197274</v>
      </c>
      <c r="AA92" s="676"/>
    </row>
    <row r="93" spans="1:27" ht="16.5" customHeight="1">
      <c r="A93" s="194"/>
      <c r="B93" s="509"/>
      <c r="C93" s="509"/>
      <c r="D93" s="391"/>
      <c r="E93" s="151"/>
      <c r="F93" s="391"/>
      <c r="G93" s="151"/>
      <c r="H93" s="391"/>
      <c r="I93" s="151"/>
      <c r="J93" s="391"/>
      <c r="L93" s="391"/>
      <c r="N93" s="391"/>
      <c r="P93" s="183"/>
      <c r="Q93" s="183"/>
      <c r="R93" s="183"/>
      <c r="S93" s="183"/>
      <c r="T93" s="183"/>
      <c r="V93" s="391"/>
      <c r="W93" s="391"/>
      <c r="X93" s="391"/>
      <c r="Y93" s="391"/>
      <c r="Z93" s="391"/>
    </row>
    <row r="94" spans="1:27" ht="18.75" customHeight="1">
      <c r="A94" s="634" t="s">
        <v>61</v>
      </c>
      <c r="B94" s="613"/>
      <c r="C94" s="65"/>
      <c r="D94" s="431"/>
      <c r="E94" s="65"/>
      <c r="F94" s="431"/>
      <c r="G94" s="65"/>
      <c r="H94" s="431"/>
      <c r="I94" s="65"/>
      <c r="J94" s="431"/>
      <c r="K94" s="732"/>
      <c r="L94" s="189"/>
      <c r="M94" s="402"/>
      <c r="N94" s="189"/>
      <c r="P94" s="422"/>
      <c r="Q94" s="422"/>
      <c r="R94" s="422"/>
      <c r="S94" s="422"/>
      <c r="T94" s="422"/>
      <c r="V94" s="478"/>
      <c r="W94" s="478"/>
      <c r="X94" s="478"/>
      <c r="Y94" s="478"/>
      <c r="Z94" s="478"/>
    </row>
    <row r="95" spans="1:27" ht="15.75" customHeight="1">
      <c r="A95" s="255" t="str">
        <f>'Budget with Assumptions'!A95</f>
        <v>Office Supplies</v>
      </c>
      <c r="B95" s="737"/>
      <c r="C95" s="804"/>
      <c r="D95" s="850">
        <f>'Budget with Assumptions'!J95</f>
        <v>20000</v>
      </c>
      <c r="E95" s="264"/>
      <c r="F95" s="850">
        <f>'Budget with Assumptions'!L95</f>
        <v>0</v>
      </c>
      <c r="G95" s="264"/>
      <c r="H95" s="850">
        <f>'Budget with Assumptions'!N95</f>
        <v>14000</v>
      </c>
      <c r="I95" s="264"/>
      <c r="J95" s="850">
        <f>'Budget with Assumptions'!P95</f>
        <v>15000</v>
      </c>
      <c r="K95" s="411"/>
      <c r="L95" s="850">
        <f>'Budget with Assumptions'!R95</f>
        <v>16000</v>
      </c>
      <c r="M95" s="495"/>
      <c r="N95" s="850">
        <f>'Budget with Assumptions'!T95</f>
        <v>17000</v>
      </c>
      <c r="O95" s="809"/>
      <c r="P95" s="103">
        <f t="shared" ref="P95:P114" si="25">F95/$F$159</f>
        <v>0</v>
      </c>
      <c r="Q95" s="103">
        <f t="shared" ref="Q95:Q114" si="26">H95/$H$159</f>
        <v>2.9815996963879622E-3</v>
      </c>
      <c r="R95" s="103">
        <f t="shared" ref="R95:R114" si="27">J95/$J$159</f>
        <v>2.7782199739316564E-3</v>
      </c>
      <c r="S95" s="103">
        <f t="shared" ref="S95:S114" si="28">L95/$L$159</f>
        <v>2.7507444188915511E-3</v>
      </c>
      <c r="T95" s="103">
        <f t="shared" ref="T95:T114" si="29">N95/$N$159</f>
        <v>2.623571754170286E-3</v>
      </c>
      <c r="U95" s="809"/>
      <c r="V95" s="299">
        <f t="shared" ref="V95:V114" si="30">F95/$F$178</f>
        <v>0</v>
      </c>
      <c r="W95" s="299">
        <f t="shared" ref="W95:W114" si="31">H95/$H$178</f>
        <v>26.666666666666668</v>
      </c>
      <c r="X95" s="299">
        <f t="shared" ref="X95:X114" si="32">J95/$J$178</f>
        <v>25.210084033613445</v>
      </c>
      <c r="Y95" s="299">
        <f t="shared" ref="Y95:Y114" si="33">L95/$L$178</f>
        <v>24.060150375939848</v>
      </c>
      <c r="Z95" s="299">
        <f t="shared" ref="Z95:Z114" si="34">N95/$N$178</f>
        <v>23.129251700680271</v>
      </c>
      <c r="AA95" s="85"/>
    </row>
    <row r="96" spans="1:27" ht="15.75" customHeight="1">
      <c r="A96" s="90" t="str">
        <f>'Budget with Assumptions'!A96</f>
        <v>Furniture</v>
      </c>
      <c r="B96" s="640"/>
      <c r="C96" s="511"/>
      <c r="D96" s="850">
        <f>'Budget with Assumptions'!J96</f>
        <v>12500</v>
      </c>
      <c r="E96" s="264"/>
      <c r="F96" s="850">
        <f>'Budget with Assumptions'!L96</f>
        <v>0</v>
      </c>
      <c r="G96" s="264"/>
      <c r="H96" s="850">
        <f>'Budget with Assumptions'!N96</f>
        <v>3000</v>
      </c>
      <c r="I96" s="264"/>
      <c r="J96" s="850">
        <f>'Budget with Assumptions'!P96</f>
        <v>3000</v>
      </c>
      <c r="K96" s="411"/>
      <c r="L96" s="850">
        <f>'Budget with Assumptions'!R96</f>
        <v>1500</v>
      </c>
      <c r="M96" s="495"/>
      <c r="N96" s="850">
        <f>'Budget with Assumptions'!T96</f>
        <v>1500</v>
      </c>
      <c r="O96" s="809"/>
      <c r="P96" s="103">
        <f t="shared" si="25"/>
        <v>0</v>
      </c>
      <c r="Q96" s="103">
        <f t="shared" si="26"/>
        <v>6.3891422065456339E-4</v>
      </c>
      <c r="R96" s="103">
        <f t="shared" si="27"/>
        <v>5.556439947863312E-4</v>
      </c>
      <c r="S96" s="103">
        <f t="shared" si="28"/>
        <v>2.5788228927108291E-4</v>
      </c>
      <c r="T96" s="103">
        <f t="shared" si="29"/>
        <v>2.3149162536796641E-4</v>
      </c>
      <c r="U96" s="809"/>
      <c r="V96" s="299">
        <f t="shared" si="30"/>
        <v>0</v>
      </c>
      <c r="W96" s="299">
        <f t="shared" si="31"/>
        <v>5.7142857142857144</v>
      </c>
      <c r="X96" s="299">
        <f t="shared" si="32"/>
        <v>5.0420168067226889</v>
      </c>
      <c r="Y96" s="299">
        <f t="shared" si="33"/>
        <v>2.255639097744361</v>
      </c>
      <c r="Z96" s="299">
        <f t="shared" si="34"/>
        <v>2.0408163265306123</v>
      </c>
      <c r="AA96" s="85"/>
    </row>
    <row r="97" spans="1:27" ht="15.75" customHeight="1">
      <c r="A97" s="90" t="str">
        <f>'Budget with Assumptions'!A97</f>
        <v>Telecommunications and Internet</v>
      </c>
      <c r="B97" s="640"/>
      <c r="C97" s="511"/>
      <c r="D97" s="850">
        <f>'Budget with Assumptions'!J97</f>
        <v>4000</v>
      </c>
      <c r="E97" s="264"/>
      <c r="F97" s="850">
        <f>'Budget with Assumptions'!L97</f>
        <v>10000</v>
      </c>
      <c r="G97" s="264"/>
      <c r="H97" s="850">
        <f>'Budget with Assumptions'!N97</f>
        <v>10000</v>
      </c>
      <c r="I97" s="264"/>
      <c r="J97" s="850">
        <f>'Budget with Assumptions'!P97</f>
        <v>10000</v>
      </c>
      <c r="K97" s="411"/>
      <c r="L97" s="850">
        <f>'Budget with Assumptions'!R97</f>
        <v>10000</v>
      </c>
      <c r="M97" s="495"/>
      <c r="N97" s="850">
        <f>'Budget with Assumptions'!T97</f>
        <v>10000</v>
      </c>
      <c r="O97" s="809"/>
      <c r="P97" s="103">
        <f t="shared" si="25"/>
        <v>2.6026656944495722E-3</v>
      </c>
      <c r="Q97" s="103">
        <f t="shared" si="26"/>
        <v>2.1297140688485445E-3</v>
      </c>
      <c r="R97" s="103">
        <f t="shared" si="27"/>
        <v>1.8521466492877707E-3</v>
      </c>
      <c r="S97" s="103">
        <f t="shared" si="28"/>
        <v>1.7192152618072194E-3</v>
      </c>
      <c r="T97" s="103">
        <f t="shared" si="29"/>
        <v>1.5432775024531095E-3</v>
      </c>
      <c r="U97" s="809"/>
      <c r="V97" s="299">
        <f t="shared" si="30"/>
        <v>22.222222222222221</v>
      </c>
      <c r="W97" s="299">
        <f t="shared" si="31"/>
        <v>19.047619047619047</v>
      </c>
      <c r="X97" s="299">
        <f t="shared" si="32"/>
        <v>16.806722689075631</v>
      </c>
      <c r="Y97" s="299">
        <f t="shared" si="33"/>
        <v>15.037593984962406</v>
      </c>
      <c r="Z97" s="299">
        <f t="shared" si="34"/>
        <v>13.605442176870747</v>
      </c>
      <c r="AA97" s="85"/>
    </row>
    <row r="98" spans="1:27" ht="15.75" customHeight="1">
      <c r="A98" s="90" t="str">
        <f>'Budget with Assumptions'!A98</f>
        <v>Administrative Equipment</v>
      </c>
      <c r="B98" s="640"/>
      <c r="C98" s="511"/>
      <c r="D98" s="850">
        <f>'Budget with Assumptions'!J98</f>
        <v>5000</v>
      </c>
      <c r="E98" s="264"/>
      <c r="F98" s="850">
        <f>'Budget with Assumptions'!L98</f>
        <v>0</v>
      </c>
      <c r="G98" s="264"/>
      <c r="H98" s="850">
        <f>'Budget with Assumptions'!N98</f>
        <v>1500</v>
      </c>
      <c r="I98" s="264"/>
      <c r="J98" s="850">
        <f>'Budget with Assumptions'!P98</f>
        <v>1500</v>
      </c>
      <c r="K98" s="411"/>
      <c r="L98" s="850">
        <f>'Budget with Assumptions'!R98</f>
        <v>750</v>
      </c>
      <c r="M98" s="495"/>
      <c r="N98" s="850">
        <f>'Budget with Assumptions'!T98</f>
        <v>750</v>
      </c>
      <c r="O98" s="809"/>
      <c r="P98" s="103">
        <f t="shared" si="25"/>
        <v>0</v>
      </c>
      <c r="Q98" s="103">
        <f t="shared" si="26"/>
        <v>3.1945711032728169E-4</v>
      </c>
      <c r="R98" s="103">
        <f t="shared" si="27"/>
        <v>2.778219973931656E-4</v>
      </c>
      <c r="S98" s="103">
        <f t="shared" si="28"/>
        <v>1.2894114463554146E-4</v>
      </c>
      <c r="T98" s="103">
        <f t="shared" si="29"/>
        <v>1.157458126839832E-4</v>
      </c>
      <c r="U98" s="809"/>
      <c r="V98" s="299">
        <f t="shared" si="30"/>
        <v>0</v>
      </c>
      <c r="W98" s="299">
        <f t="shared" si="31"/>
        <v>2.8571428571428572</v>
      </c>
      <c r="X98" s="299">
        <f t="shared" si="32"/>
        <v>2.5210084033613445</v>
      </c>
      <c r="Y98" s="299">
        <f t="shared" si="33"/>
        <v>1.1278195488721805</v>
      </c>
      <c r="Z98" s="299">
        <f t="shared" si="34"/>
        <v>1.0204081632653061</v>
      </c>
      <c r="AA98" s="85"/>
    </row>
    <row r="99" spans="1:27" ht="15.75" customHeight="1">
      <c r="A99" s="90" t="str">
        <f>'Budget with Assumptions'!A99</f>
        <v>Accounting &amp; Audit (Contractual)</v>
      </c>
      <c r="B99" s="640"/>
      <c r="C99" s="511"/>
      <c r="D99" s="850">
        <f>'Budget with Assumptions'!J99</f>
        <v>0</v>
      </c>
      <c r="E99" s="264"/>
      <c r="F99" s="850">
        <f>'Budget with Assumptions'!L99</f>
        <v>12000</v>
      </c>
      <c r="G99" s="264"/>
      <c r="H99" s="850">
        <f>'Budget with Assumptions'!N99</f>
        <v>12000</v>
      </c>
      <c r="I99" s="264"/>
      <c r="J99" s="850">
        <f>'Budget with Assumptions'!P99</f>
        <v>12000</v>
      </c>
      <c r="K99" s="411"/>
      <c r="L99" s="850">
        <f>'Budget with Assumptions'!R99</f>
        <v>12000</v>
      </c>
      <c r="M99" s="495"/>
      <c r="N99" s="850">
        <f>'Budget with Assumptions'!T99</f>
        <v>12000</v>
      </c>
      <c r="O99" s="809"/>
      <c r="P99" s="103">
        <f t="shared" si="25"/>
        <v>3.1231988333394866E-3</v>
      </c>
      <c r="Q99" s="103">
        <f t="shared" si="26"/>
        <v>2.5556568826182536E-3</v>
      </c>
      <c r="R99" s="103">
        <f t="shared" si="27"/>
        <v>2.2225759791453248E-3</v>
      </c>
      <c r="S99" s="103">
        <f t="shared" si="28"/>
        <v>2.0630583141686633E-3</v>
      </c>
      <c r="T99" s="103">
        <f t="shared" si="29"/>
        <v>1.8519330029437312E-3</v>
      </c>
      <c r="U99" s="809"/>
      <c r="V99" s="299">
        <f t="shared" si="30"/>
        <v>26.666666666666668</v>
      </c>
      <c r="W99" s="299">
        <f t="shared" si="31"/>
        <v>22.857142857142858</v>
      </c>
      <c r="X99" s="299">
        <f t="shared" si="32"/>
        <v>20.168067226890756</v>
      </c>
      <c r="Y99" s="299">
        <f t="shared" si="33"/>
        <v>18.045112781954888</v>
      </c>
      <c r="Z99" s="299">
        <f t="shared" si="34"/>
        <v>16.326530612244898</v>
      </c>
      <c r="AA99" s="85"/>
    </row>
    <row r="100" spans="1:27" ht="15.75" customHeight="1">
      <c r="A100" s="90" t="str">
        <f>'Budget with Assumptions'!A100</f>
        <v>Legal (Contractual)</v>
      </c>
      <c r="B100" s="640"/>
      <c r="C100" s="511"/>
      <c r="D100" s="850">
        <f>'Budget with Assumptions'!J100</f>
        <v>0</v>
      </c>
      <c r="E100" s="264"/>
      <c r="F100" s="850">
        <f>'Budget with Assumptions'!L100</f>
        <v>4000</v>
      </c>
      <c r="G100" s="264"/>
      <c r="H100" s="850">
        <f>'Budget with Assumptions'!N100</f>
        <v>4000</v>
      </c>
      <c r="I100" s="264"/>
      <c r="J100" s="850">
        <f>'Budget with Assumptions'!P100</f>
        <v>4000</v>
      </c>
      <c r="K100" s="411"/>
      <c r="L100" s="850">
        <f>'Budget with Assumptions'!R100</f>
        <v>4000</v>
      </c>
      <c r="M100" s="495"/>
      <c r="N100" s="850">
        <f>'Budget with Assumptions'!T100</f>
        <v>4000</v>
      </c>
      <c r="O100" s="809"/>
      <c r="P100" s="103">
        <f t="shared" si="25"/>
        <v>1.0410662777798289E-3</v>
      </c>
      <c r="Q100" s="103">
        <f t="shared" si="26"/>
        <v>8.5188562753941782E-4</v>
      </c>
      <c r="R100" s="103">
        <f t="shared" si="27"/>
        <v>7.4085865971510833E-4</v>
      </c>
      <c r="S100" s="103">
        <f t="shared" si="28"/>
        <v>6.8768610472288777E-4</v>
      </c>
      <c r="T100" s="103">
        <f t="shared" si="29"/>
        <v>6.1731100098124379E-4</v>
      </c>
      <c r="U100" s="809"/>
      <c r="V100" s="299">
        <f t="shared" si="30"/>
        <v>8.8888888888888893</v>
      </c>
      <c r="W100" s="299">
        <f t="shared" si="31"/>
        <v>7.6190476190476186</v>
      </c>
      <c r="X100" s="299">
        <f t="shared" si="32"/>
        <v>6.7226890756302522</v>
      </c>
      <c r="Y100" s="299">
        <f t="shared" si="33"/>
        <v>6.0150375939849621</v>
      </c>
      <c r="Z100" s="299">
        <f t="shared" si="34"/>
        <v>5.4421768707482991</v>
      </c>
      <c r="AA100" s="85"/>
    </row>
    <row r="101" spans="1:27" ht="15.75" customHeight="1">
      <c r="A101" s="90" t="str">
        <f>'Budget with Assumptions'!A101</f>
        <v>Payroll Services (Contractual)</v>
      </c>
      <c r="B101" s="640"/>
      <c r="C101" s="511"/>
      <c r="D101" s="850">
        <f>'Budget with Assumptions'!J101</f>
        <v>0</v>
      </c>
      <c r="E101" s="264"/>
      <c r="F101" s="850">
        <f>'Budget with Assumptions'!L101</f>
        <v>0</v>
      </c>
      <c r="G101" s="264"/>
      <c r="H101" s="850">
        <f>'Budget with Assumptions'!N101</f>
        <v>0</v>
      </c>
      <c r="I101" s="264"/>
      <c r="J101" s="850">
        <f>'Budget with Assumptions'!P101</f>
        <v>0</v>
      </c>
      <c r="K101" s="411"/>
      <c r="L101" s="850">
        <f>'Budget with Assumptions'!R101</f>
        <v>0</v>
      </c>
      <c r="M101" s="495"/>
      <c r="N101" s="850">
        <f>'Budget with Assumptions'!T101</f>
        <v>0</v>
      </c>
      <c r="O101" s="809"/>
      <c r="P101" s="103">
        <f t="shared" si="25"/>
        <v>0</v>
      </c>
      <c r="Q101" s="103">
        <f t="shared" si="26"/>
        <v>0</v>
      </c>
      <c r="R101" s="103">
        <f t="shared" si="27"/>
        <v>0</v>
      </c>
      <c r="S101" s="103">
        <f t="shared" si="28"/>
        <v>0</v>
      </c>
      <c r="T101" s="103">
        <f t="shared" si="29"/>
        <v>0</v>
      </c>
      <c r="U101" s="809"/>
      <c r="V101" s="299">
        <f t="shared" si="30"/>
        <v>0</v>
      </c>
      <c r="W101" s="299">
        <f t="shared" si="31"/>
        <v>0</v>
      </c>
      <c r="X101" s="299">
        <f t="shared" si="32"/>
        <v>0</v>
      </c>
      <c r="Y101" s="299">
        <f t="shared" si="33"/>
        <v>0</v>
      </c>
      <c r="Z101" s="299">
        <f t="shared" si="34"/>
        <v>0</v>
      </c>
      <c r="AA101" s="85"/>
    </row>
    <row r="102" spans="1:27" ht="15.75" customHeight="1">
      <c r="A102" s="90" t="str">
        <f>'Budget with Assumptions'!A102</f>
        <v>Printing &amp; Copying</v>
      </c>
      <c r="B102" s="640"/>
      <c r="C102" s="511"/>
      <c r="D102" s="850">
        <f>'Budget with Assumptions'!J102</f>
        <v>3000</v>
      </c>
      <c r="E102" s="264"/>
      <c r="F102" s="850">
        <f>'Budget with Assumptions'!L102</f>
        <v>11000</v>
      </c>
      <c r="G102" s="264"/>
      <c r="H102" s="850">
        <f>'Budget with Assumptions'!N102</f>
        <v>12000</v>
      </c>
      <c r="I102" s="264"/>
      <c r="J102" s="850">
        <f>'Budget with Assumptions'!P102</f>
        <v>13000</v>
      </c>
      <c r="K102" s="411"/>
      <c r="L102" s="850">
        <f>'Budget with Assumptions'!R102</f>
        <v>14000</v>
      </c>
      <c r="M102" s="495"/>
      <c r="N102" s="850">
        <f>'Budget with Assumptions'!T102</f>
        <v>15000</v>
      </c>
      <c r="O102" s="809"/>
      <c r="P102" s="103">
        <f t="shared" si="25"/>
        <v>2.8629322638945294E-3</v>
      </c>
      <c r="Q102" s="103">
        <f t="shared" si="26"/>
        <v>2.5556568826182536E-3</v>
      </c>
      <c r="R102" s="103">
        <f t="shared" si="27"/>
        <v>2.4077906440741021E-3</v>
      </c>
      <c r="S102" s="103">
        <f t="shared" si="28"/>
        <v>2.4069013665301074E-3</v>
      </c>
      <c r="T102" s="103">
        <f t="shared" si="29"/>
        <v>2.3149162536796643E-3</v>
      </c>
      <c r="U102" s="809"/>
      <c r="V102" s="299">
        <f t="shared" si="30"/>
        <v>24.444444444444443</v>
      </c>
      <c r="W102" s="299">
        <f t="shared" si="31"/>
        <v>22.857142857142858</v>
      </c>
      <c r="X102" s="299">
        <f t="shared" si="32"/>
        <v>21.84873949579832</v>
      </c>
      <c r="Y102" s="299">
        <f t="shared" si="33"/>
        <v>21.05263157894737</v>
      </c>
      <c r="Z102" s="299">
        <f t="shared" si="34"/>
        <v>20.408163265306122</v>
      </c>
      <c r="AA102" s="85"/>
    </row>
    <row r="103" spans="1:27" ht="15.75" customHeight="1">
      <c r="A103" s="90" t="str">
        <f>'Budget with Assumptions'!A103</f>
        <v>Postage &amp; Shipping</v>
      </c>
      <c r="B103" s="640"/>
      <c r="C103" s="511"/>
      <c r="D103" s="850">
        <f>'Budget with Assumptions'!J103</f>
        <v>0</v>
      </c>
      <c r="E103" s="264"/>
      <c r="F103" s="850">
        <f>'Budget with Assumptions'!L103</f>
        <v>0</v>
      </c>
      <c r="G103" s="264"/>
      <c r="H103" s="850">
        <f>'Budget with Assumptions'!N103</f>
        <v>0</v>
      </c>
      <c r="I103" s="264"/>
      <c r="J103" s="850">
        <f>'Budget with Assumptions'!P103</f>
        <v>0</v>
      </c>
      <c r="K103" s="411"/>
      <c r="L103" s="850">
        <f>'Budget with Assumptions'!R103</f>
        <v>0</v>
      </c>
      <c r="M103" s="495"/>
      <c r="N103" s="850">
        <f>'Budget with Assumptions'!T103</f>
        <v>0</v>
      </c>
      <c r="O103" s="809"/>
      <c r="P103" s="103">
        <f t="shared" si="25"/>
        <v>0</v>
      </c>
      <c r="Q103" s="103">
        <f t="shared" si="26"/>
        <v>0</v>
      </c>
      <c r="R103" s="103">
        <f t="shared" si="27"/>
        <v>0</v>
      </c>
      <c r="S103" s="103">
        <f t="shared" si="28"/>
        <v>0</v>
      </c>
      <c r="T103" s="103">
        <f t="shared" si="29"/>
        <v>0</v>
      </c>
      <c r="U103" s="809"/>
      <c r="V103" s="299">
        <f t="shared" si="30"/>
        <v>0</v>
      </c>
      <c r="W103" s="299">
        <f t="shared" si="31"/>
        <v>0</v>
      </c>
      <c r="X103" s="299">
        <f t="shared" si="32"/>
        <v>0</v>
      </c>
      <c r="Y103" s="299">
        <f t="shared" si="33"/>
        <v>0</v>
      </c>
      <c r="Z103" s="299">
        <f t="shared" si="34"/>
        <v>0</v>
      </c>
      <c r="AA103" s="85"/>
    </row>
    <row r="104" spans="1:27" ht="15.75" customHeight="1">
      <c r="A104" s="90" t="str">
        <f>'Budget with Assumptions'!A104</f>
        <v>Other Contractual Services</v>
      </c>
      <c r="B104" s="640"/>
      <c r="C104" s="511"/>
      <c r="D104" s="850">
        <f>'Budget with Assumptions'!J104</f>
        <v>5000</v>
      </c>
      <c r="E104" s="264"/>
      <c r="F104" s="850">
        <f>'Budget with Assumptions'!L104</f>
        <v>6000</v>
      </c>
      <c r="G104" s="264"/>
      <c r="H104" s="850">
        <f>'Budget with Assumptions'!N104</f>
        <v>7000</v>
      </c>
      <c r="I104" s="264"/>
      <c r="J104" s="850">
        <f>'Budget with Assumptions'!P104</f>
        <v>8000</v>
      </c>
      <c r="K104" s="411"/>
      <c r="L104" s="850">
        <f>'Budget with Assumptions'!R104</f>
        <v>9000</v>
      </c>
      <c r="M104" s="495"/>
      <c r="N104" s="850">
        <f>'Budget with Assumptions'!T104</f>
        <v>10000</v>
      </c>
      <c r="O104" s="809"/>
      <c r="P104" s="103">
        <f t="shared" si="25"/>
        <v>1.5615994166697433E-3</v>
      </c>
      <c r="Q104" s="103">
        <f t="shared" si="26"/>
        <v>1.4907998481939811E-3</v>
      </c>
      <c r="R104" s="103">
        <f t="shared" si="27"/>
        <v>1.4817173194302167E-3</v>
      </c>
      <c r="S104" s="103">
        <f t="shared" si="28"/>
        <v>1.5472937356264976E-3</v>
      </c>
      <c r="T104" s="103">
        <f t="shared" si="29"/>
        <v>1.5432775024531095E-3</v>
      </c>
      <c r="U104" s="809"/>
      <c r="V104" s="299">
        <f t="shared" si="30"/>
        <v>13.333333333333334</v>
      </c>
      <c r="W104" s="299">
        <f t="shared" si="31"/>
        <v>13.333333333333334</v>
      </c>
      <c r="X104" s="299">
        <f t="shared" si="32"/>
        <v>13.445378151260504</v>
      </c>
      <c r="Y104" s="299">
        <f t="shared" si="33"/>
        <v>13.533834586466165</v>
      </c>
      <c r="Z104" s="299">
        <f t="shared" si="34"/>
        <v>13.605442176870747</v>
      </c>
      <c r="AA104" s="85"/>
    </row>
    <row r="105" spans="1:27" ht="15.75" customHeight="1">
      <c r="A105" s="90" t="str">
        <f>'Budget with Assumptions'!A105</f>
        <v>Travel</v>
      </c>
      <c r="B105" s="640"/>
      <c r="C105" s="511"/>
      <c r="D105" s="850">
        <f>'Budget with Assumptions'!J105</f>
        <v>0</v>
      </c>
      <c r="E105" s="264"/>
      <c r="F105" s="850">
        <f>'Budget with Assumptions'!L105</f>
        <v>2000</v>
      </c>
      <c r="G105" s="264"/>
      <c r="H105" s="850">
        <f>'Budget with Assumptions'!N105</f>
        <v>2000</v>
      </c>
      <c r="I105" s="264"/>
      <c r="J105" s="850">
        <f>'Budget with Assumptions'!P105</f>
        <v>2000</v>
      </c>
      <c r="K105" s="411"/>
      <c r="L105" s="850">
        <f>'Budget with Assumptions'!R105</f>
        <v>2000</v>
      </c>
      <c r="M105" s="495"/>
      <c r="N105" s="850">
        <f>'Budget with Assumptions'!T105</f>
        <v>2000</v>
      </c>
      <c r="O105" s="809"/>
      <c r="P105" s="103">
        <f t="shared" si="25"/>
        <v>5.2053313888991443E-4</v>
      </c>
      <c r="Q105" s="103">
        <f t="shared" si="26"/>
        <v>4.2594281376970891E-4</v>
      </c>
      <c r="R105" s="103">
        <f t="shared" si="27"/>
        <v>3.7042932985755417E-4</v>
      </c>
      <c r="S105" s="103">
        <f t="shared" si="28"/>
        <v>3.4384305236144388E-4</v>
      </c>
      <c r="T105" s="103">
        <f t="shared" si="29"/>
        <v>3.0865550049062189E-4</v>
      </c>
      <c r="U105" s="809"/>
      <c r="V105" s="299">
        <f t="shared" si="30"/>
        <v>4.4444444444444446</v>
      </c>
      <c r="W105" s="299">
        <f t="shared" si="31"/>
        <v>3.8095238095238093</v>
      </c>
      <c r="X105" s="299">
        <f t="shared" si="32"/>
        <v>3.3613445378151261</v>
      </c>
      <c r="Y105" s="299">
        <f t="shared" si="33"/>
        <v>3.007518796992481</v>
      </c>
      <c r="Z105" s="299">
        <f t="shared" si="34"/>
        <v>2.7210884353741496</v>
      </c>
      <c r="AA105" s="85"/>
    </row>
    <row r="106" spans="1:27" ht="15.75" customHeight="1">
      <c r="A106" s="90">
        <f>'Budget with Assumptions'!A106</f>
        <v>0</v>
      </c>
      <c r="B106" s="640"/>
      <c r="C106" s="511"/>
      <c r="D106" s="850">
        <f>'Budget with Assumptions'!J106</f>
        <v>0</v>
      </c>
      <c r="E106" s="264"/>
      <c r="F106" s="850">
        <f>'Budget with Assumptions'!L106</f>
        <v>0</v>
      </c>
      <c r="G106" s="264"/>
      <c r="H106" s="850">
        <f>'Budget with Assumptions'!N106</f>
        <v>0</v>
      </c>
      <c r="I106" s="264"/>
      <c r="J106" s="850">
        <f>'Budget with Assumptions'!P106</f>
        <v>0</v>
      </c>
      <c r="K106" s="411"/>
      <c r="L106" s="850">
        <f>'Budget with Assumptions'!R106</f>
        <v>0</v>
      </c>
      <c r="M106" s="495"/>
      <c r="N106" s="850">
        <f>'Budget with Assumptions'!T106</f>
        <v>0</v>
      </c>
      <c r="O106" s="809"/>
      <c r="P106" s="103">
        <f t="shared" si="25"/>
        <v>0</v>
      </c>
      <c r="Q106" s="103">
        <f t="shared" si="26"/>
        <v>0</v>
      </c>
      <c r="R106" s="103">
        <f t="shared" si="27"/>
        <v>0</v>
      </c>
      <c r="S106" s="103">
        <f t="shared" si="28"/>
        <v>0</v>
      </c>
      <c r="T106" s="103">
        <f t="shared" si="29"/>
        <v>0</v>
      </c>
      <c r="U106" s="809"/>
      <c r="V106" s="299">
        <f t="shared" si="30"/>
        <v>0</v>
      </c>
      <c r="W106" s="299">
        <f t="shared" si="31"/>
        <v>0</v>
      </c>
      <c r="X106" s="299">
        <f t="shared" si="32"/>
        <v>0</v>
      </c>
      <c r="Y106" s="299">
        <f t="shared" si="33"/>
        <v>0</v>
      </c>
      <c r="Z106" s="299">
        <f t="shared" si="34"/>
        <v>0</v>
      </c>
      <c r="AA106" s="85"/>
    </row>
    <row r="107" spans="1:27" ht="15.75" customHeight="1">
      <c r="A107" s="90">
        <f>'Budget with Assumptions'!A107</f>
        <v>0</v>
      </c>
      <c r="B107" s="640"/>
      <c r="C107" s="511"/>
      <c r="D107" s="850">
        <f>'Budget with Assumptions'!J107</f>
        <v>0</v>
      </c>
      <c r="E107" s="264"/>
      <c r="F107" s="850">
        <f>'Budget with Assumptions'!L107</f>
        <v>0</v>
      </c>
      <c r="G107" s="264"/>
      <c r="H107" s="850">
        <f>'Budget with Assumptions'!N107</f>
        <v>0</v>
      </c>
      <c r="I107" s="264"/>
      <c r="J107" s="850">
        <f>'Budget with Assumptions'!P107</f>
        <v>0</v>
      </c>
      <c r="K107" s="411"/>
      <c r="L107" s="850">
        <f>'Budget with Assumptions'!R107</f>
        <v>0</v>
      </c>
      <c r="M107" s="495"/>
      <c r="N107" s="850">
        <f>'Budget with Assumptions'!T107</f>
        <v>0</v>
      </c>
      <c r="O107" s="809"/>
      <c r="P107" s="103">
        <f t="shared" si="25"/>
        <v>0</v>
      </c>
      <c r="Q107" s="103">
        <f t="shared" si="26"/>
        <v>0</v>
      </c>
      <c r="R107" s="103">
        <f t="shared" si="27"/>
        <v>0</v>
      </c>
      <c r="S107" s="103">
        <f t="shared" si="28"/>
        <v>0</v>
      </c>
      <c r="T107" s="103">
        <f t="shared" si="29"/>
        <v>0</v>
      </c>
      <c r="U107" s="809"/>
      <c r="V107" s="299">
        <f t="shared" si="30"/>
        <v>0</v>
      </c>
      <c r="W107" s="299">
        <f t="shared" si="31"/>
        <v>0</v>
      </c>
      <c r="X107" s="299">
        <f t="shared" si="32"/>
        <v>0</v>
      </c>
      <c r="Y107" s="299">
        <f t="shared" si="33"/>
        <v>0</v>
      </c>
      <c r="Z107" s="299">
        <f t="shared" si="34"/>
        <v>0</v>
      </c>
      <c r="AA107" s="85"/>
    </row>
    <row r="108" spans="1:27" ht="15.75" customHeight="1">
      <c r="A108" s="90">
        <f>'Budget with Assumptions'!A108</f>
        <v>0</v>
      </c>
      <c r="B108" s="640"/>
      <c r="C108" s="511"/>
      <c r="D108" s="850">
        <f>'Budget with Assumptions'!J108</f>
        <v>0</v>
      </c>
      <c r="E108" s="264"/>
      <c r="F108" s="850">
        <f>'Budget with Assumptions'!L108</f>
        <v>0</v>
      </c>
      <c r="G108" s="264"/>
      <c r="H108" s="850">
        <f>'Budget with Assumptions'!N108</f>
        <v>0</v>
      </c>
      <c r="I108" s="264"/>
      <c r="J108" s="850">
        <f>'Budget with Assumptions'!P108</f>
        <v>0</v>
      </c>
      <c r="K108" s="411"/>
      <c r="L108" s="850">
        <f>'Budget with Assumptions'!R108</f>
        <v>0</v>
      </c>
      <c r="M108" s="495"/>
      <c r="N108" s="850">
        <f>'Budget with Assumptions'!T108</f>
        <v>0</v>
      </c>
      <c r="O108" s="809"/>
      <c r="P108" s="103">
        <f t="shared" si="25"/>
        <v>0</v>
      </c>
      <c r="Q108" s="103">
        <f t="shared" si="26"/>
        <v>0</v>
      </c>
      <c r="R108" s="103">
        <f t="shared" si="27"/>
        <v>0</v>
      </c>
      <c r="S108" s="103">
        <f t="shared" si="28"/>
        <v>0</v>
      </c>
      <c r="T108" s="103">
        <f t="shared" si="29"/>
        <v>0</v>
      </c>
      <c r="U108" s="809"/>
      <c r="V108" s="299">
        <f t="shared" si="30"/>
        <v>0</v>
      </c>
      <c r="W108" s="299">
        <f t="shared" si="31"/>
        <v>0</v>
      </c>
      <c r="X108" s="299">
        <f t="shared" si="32"/>
        <v>0</v>
      </c>
      <c r="Y108" s="299">
        <f t="shared" si="33"/>
        <v>0</v>
      </c>
      <c r="Z108" s="299">
        <f t="shared" si="34"/>
        <v>0</v>
      </c>
      <c r="AA108" s="85"/>
    </row>
    <row r="109" spans="1:27" ht="15.75" customHeight="1">
      <c r="A109" s="90">
        <f>'Budget with Assumptions'!A109</f>
        <v>0</v>
      </c>
      <c r="B109" s="640"/>
      <c r="C109" s="511"/>
      <c r="D109" s="850">
        <f>'Budget with Assumptions'!J109</f>
        <v>0</v>
      </c>
      <c r="E109" s="264"/>
      <c r="F109" s="850">
        <f>'Budget with Assumptions'!L109</f>
        <v>0</v>
      </c>
      <c r="G109" s="264"/>
      <c r="H109" s="850">
        <f>'Budget with Assumptions'!N109</f>
        <v>0</v>
      </c>
      <c r="I109" s="264"/>
      <c r="J109" s="850">
        <f>'Budget with Assumptions'!P109</f>
        <v>0</v>
      </c>
      <c r="K109" s="411"/>
      <c r="L109" s="850">
        <f>'Budget with Assumptions'!R109</f>
        <v>0</v>
      </c>
      <c r="M109" s="495"/>
      <c r="N109" s="850">
        <f>'Budget with Assumptions'!T109</f>
        <v>0</v>
      </c>
      <c r="O109" s="809"/>
      <c r="P109" s="103">
        <f t="shared" si="25"/>
        <v>0</v>
      </c>
      <c r="Q109" s="103">
        <f t="shared" si="26"/>
        <v>0</v>
      </c>
      <c r="R109" s="103">
        <f t="shared" si="27"/>
        <v>0</v>
      </c>
      <c r="S109" s="103">
        <f t="shared" si="28"/>
        <v>0</v>
      </c>
      <c r="T109" s="103">
        <f t="shared" si="29"/>
        <v>0</v>
      </c>
      <c r="U109" s="809"/>
      <c r="V109" s="299">
        <f t="shared" si="30"/>
        <v>0</v>
      </c>
      <c r="W109" s="299">
        <f t="shared" si="31"/>
        <v>0</v>
      </c>
      <c r="X109" s="299">
        <f t="shared" si="32"/>
        <v>0</v>
      </c>
      <c r="Y109" s="299">
        <f t="shared" si="33"/>
        <v>0</v>
      </c>
      <c r="Z109" s="299">
        <f t="shared" si="34"/>
        <v>0</v>
      </c>
      <c r="AA109" s="85"/>
    </row>
    <row r="110" spans="1:27" ht="15.75" customHeight="1">
      <c r="A110" s="90">
        <f>'Budget with Assumptions'!A110</f>
        <v>0</v>
      </c>
      <c r="B110" s="640"/>
      <c r="C110" s="511"/>
      <c r="D110" s="850">
        <f>'Budget with Assumptions'!J110</f>
        <v>0</v>
      </c>
      <c r="E110" s="264"/>
      <c r="F110" s="850">
        <f>'Budget with Assumptions'!L110</f>
        <v>0</v>
      </c>
      <c r="G110" s="264"/>
      <c r="H110" s="850">
        <f>'Budget with Assumptions'!N110</f>
        <v>0</v>
      </c>
      <c r="I110" s="264"/>
      <c r="J110" s="850">
        <f>'Budget with Assumptions'!P110</f>
        <v>0</v>
      </c>
      <c r="K110" s="411"/>
      <c r="L110" s="850">
        <f>'Budget with Assumptions'!R110</f>
        <v>0</v>
      </c>
      <c r="M110" s="495"/>
      <c r="N110" s="850">
        <f>'Budget with Assumptions'!T110</f>
        <v>0</v>
      </c>
      <c r="O110" s="809"/>
      <c r="P110" s="103">
        <f t="shared" si="25"/>
        <v>0</v>
      </c>
      <c r="Q110" s="103">
        <f t="shared" si="26"/>
        <v>0</v>
      </c>
      <c r="R110" s="103">
        <f t="shared" si="27"/>
        <v>0</v>
      </c>
      <c r="S110" s="103">
        <f t="shared" si="28"/>
        <v>0</v>
      </c>
      <c r="T110" s="103">
        <f t="shared" si="29"/>
        <v>0</v>
      </c>
      <c r="U110" s="809"/>
      <c r="V110" s="299">
        <f t="shared" si="30"/>
        <v>0</v>
      </c>
      <c r="W110" s="299">
        <f t="shared" si="31"/>
        <v>0</v>
      </c>
      <c r="X110" s="299">
        <f t="shared" si="32"/>
        <v>0</v>
      </c>
      <c r="Y110" s="299">
        <f t="shared" si="33"/>
        <v>0</v>
      </c>
      <c r="Z110" s="299">
        <f t="shared" si="34"/>
        <v>0</v>
      </c>
      <c r="AA110" s="85"/>
    </row>
    <row r="111" spans="1:27" ht="15.75" customHeight="1">
      <c r="A111" s="90">
        <f>'Budget with Assumptions'!A111</f>
        <v>0</v>
      </c>
      <c r="B111" s="640"/>
      <c r="C111" s="511"/>
      <c r="D111" s="850">
        <f>'Budget with Assumptions'!J111</f>
        <v>0</v>
      </c>
      <c r="E111" s="264"/>
      <c r="F111" s="850">
        <f>'Budget with Assumptions'!L111</f>
        <v>0</v>
      </c>
      <c r="G111" s="264"/>
      <c r="H111" s="850">
        <f>'Budget with Assumptions'!N111</f>
        <v>0</v>
      </c>
      <c r="I111" s="264"/>
      <c r="J111" s="850">
        <f>'Budget with Assumptions'!P111</f>
        <v>0</v>
      </c>
      <c r="K111" s="411"/>
      <c r="L111" s="850">
        <f>'Budget with Assumptions'!R111</f>
        <v>0</v>
      </c>
      <c r="M111" s="495"/>
      <c r="N111" s="850">
        <f>'Budget with Assumptions'!T111</f>
        <v>0</v>
      </c>
      <c r="O111" s="809"/>
      <c r="P111" s="103">
        <f t="shared" si="25"/>
        <v>0</v>
      </c>
      <c r="Q111" s="103">
        <f t="shared" si="26"/>
        <v>0</v>
      </c>
      <c r="R111" s="103">
        <f t="shared" si="27"/>
        <v>0</v>
      </c>
      <c r="S111" s="103">
        <f t="shared" si="28"/>
        <v>0</v>
      </c>
      <c r="T111" s="103">
        <f t="shared" si="29"/>
        <v>0</v>
      </c>
      <c r="U111" s="809"/>
      <c r="V111" s="299">
        <f t="shared" si="30"/>
        <v>0</v>
      </c>
      <c r="W111" s="299">
        <f t="shared" si="31"/>
        <v>0</v>
      </c>
      <c r="X111" s="299">
        <f t="shared" si="32"/>
        <v>0</v>
      </c>
      <c r="Y111" s="299">
        <f t="shared" si="33"/>
        <v>0</v>
      </c>
      <c r="Z111" s="299">
        <f t="shared" si="34"/>
        <v>0</v>
      </c>
      <c r="AA111" s="85"/>
    </row>
    <row r="112" spans="1:27" ht="15.75" customHeight="1">
      <c r="A112" s="90">
        <f>'Budget with Assumptions'!A112</f>
        <v>0</v>
      </c>
      <c r="B112" s="640"/>
      <c r="C112" s="511"/>
      <c r="D112" s="850">
        <f>'Budget with Assumptions'!J112</f>
        <v>0</v>
      </c>
      <c r="E112" s="264"/>
      <c r="F112" s="850">
        <f>'Budget with Assumptions'!L112</f>
        <v>0</v>
      </c>
      <c r="G112" s="264"/>
      <c r="H112" s="850">
        <f>'Budget with Assumptions'!N112</f>
        <v>0</v>
      </c>
      <c r="I112" s="264"/>
      <c r="J112" s="850">
        <f>'Budget with Assumptions'!P112</f>
        <v>0</v>
      </c>
      <c r="K112" s="411"/>
      <c r="L112" s="850">
        <f>'Budget with Assumptions'!R112</f>
        <v>0</v>
      </c>
      <c r="M112" s="495"/>
      <c r="N112" s="850">
        <f>'Budget with Assumptions'!T112</f>
        <v>0</v>
      </c>
      <c r="O112" s="809"/>
      <c r="P112" s="103">
        <f t="shared" si="25"/>
        <v>0</v>
      </c>
      <c r="Q112" s="103">
        <f t="shared" si="26"/>
        <v>0</v>
      </c>
      <c r="R112" s="103">
        <f t="shared" si="27"/>
        <v>0</v>
      </c>
      <c r="S112" s="103">
        <f t="shared" si="28"/>
        <v>0</v>
      </c>
      <c r="T112" s="103">
        <f t="shared" si="29"/>
        <v>0</v>
      </c>
      <c r="U112" s="809"/>
      <c r="V112" s="299">
        <f t="shared" si="30"/>
        <v>0</v>
      </c>
      <c r="W112" s="299">
        <f t="shared" si="31"/>
        <v>0</v>
      </c>
      <c r="X112" s="299">
        <f t="shared" si="32"/>
        <v>0</v>
      </c>
      <c r="Y112" s="299">
        <f t="shared" si="33"/>
        <v>0</v>
      </c>
      <c r="Z112" s="299">
        <f t="shared" si="34"/>
        <v>0</v>
      </c>
      <c r="AA112" s="85"/>
    </row>
    <row r="113" spans="1:27" ht="15.75" customHeight="1">
      <c r="A113" s="90">
        <f>'Budget with Assumptions'!A113</f>
        <v>0</v>
      </c>
      <c r="B113" s="640"/>
      <c r="C113" s="511"/>
      <c r="D113" s="850">
        <f>'Budget with Assumptions'!J113</f>
        <v>0</v>
      </c>
      <c r="E113" s="264"/>
      <c r="F113" s="850">
        <f>'Budget with Assumptions'!L113</f>
        <v>0</v>
      </c>
      <c r="G113" s="264"/>
      <c r="H113" s="850">
        <f>'Budget with Assumptions'!N113</f>
        <v>0</v>
      </c>
      <c r="I113" s="264"/>
      <c r="J113" s="850">
        <f>'Budget with Assumptions'!P113</f>
        <v>0</v>
      </c>
      <c r="K113" s="411"/>
      <c r="L113" s="850">
        <f>'Budget with Assumptions'!R113</f>
        <v>0</v>
      </c>
      <c r="M113" s="495"/>
      <c r="N113" s="850">
        <f>'Budget with Assumptions'!T113</f>
        <v>0</v>
      </c>
      <c r="O113" s="809"/>
      <c r="P113" s="103">
        <f t="shared" si="25"/>
        <v>0</v>
      </c>
      <c r="Q113" s="103">
        <f t="shared" si="26"/>
        <v>0</v>
      </c>
      <c r="R113" s="103">
        <f t="shared" si="27"/>
        <v>0</v>
      </c>
      <c r="S113" s="103">
        <f t="shared" si="28"/>
        <v>0</v>
      </c>
      <c r="T113" s="103">
        <f t="shared" si="29"/>
        <v>0</v>
      </c>
      <c r="U113" s="809"/>
      <c r="V113" s="299">
        <f t="shared" si="30"/>
        <v>0</v>
      </c>
      <c r="W113" s="299">
        <f t="shared" si="31"/>
        <v>0</v>
      </c>
      <c r="X113" s="299">
        <f t="shared" si="32"/>
        <v>0</v>
      </c>
      <c r="Y113" s="299">
        <f t="shared" si="33"/>
        <v>0</v>
      </c>
      <c r="Z113" s="299">
        <f t="shared" si="34"/>
        <v>0</v>
      </c>
      <c r="AA113" s="85"/>
    </row>
    <row r="114" spans="1:27" ht="15.75" customHeight="1">
      <c r="A114" s="90">
        <f>'Budget with Assumptions'!A114</f>
        <v>0</v>
      </c>
      <c r="B114" s="640"/>
      <c r="C114" s="511"/>
      <c r="D114" s="850">
        <f>'Budget with Assumptions'!J114</f>
        <v>0</v>
      </c>
      <c r="E114" s="264"/>
      <c r="F114" s="850">
        <f>'Budget with Assumptions'!L114</f>
        <v>0</v>
      </c>
      <c r="G114" s="264"/>
      <c r="H114" s="850">
        <f>'Budget with Assumptions'!N114</f>
        <v>0</v>
      </c>
      <c r="I114" s="264"/>
      <c r="J114" s="850">
        <f>'Budget with Assumptions'!P114</f>
        <v>0</v>
      </c>
      <c r="K114" s="411"/>
      <c r="L114" s="850">
        <f>'Budget with Assumptions'!R114</f>
        <v>0</v>
      </c>
      <c r="M114" s="495"/>
      <c r="N114" s="850">
        <f>'Budget with Assumptions'!T114</f>
        <v>0</v>
      </c>
      <c r="O114" s="809"/>
      <c r="P114" s="103">
        <f t="shared" si="25"/>
        <v>0</v>
      </c>
      <c r="Q114" s="103">
        <f t="shared" si="26"/>
        <v>0</v>
      </c>
      <c r="R114" s="103">
        <f t="shared" si="27"/>
        <v>0</v>
      </c>
      <c r="S114" s="103">
        <f t="shared" si="28"/>
        <v>0</v>
      </c>
      <c r="T114" s="103">
        <f t="shared" si="29"/>
        <v>0</v>
      </c>
      <c r="U114" s="809"/>
      <c r="V114" s="299">
        <f t="shared" si="30"/>
        <v>0</v>
      </c>
      <c r="W114" s="299">
        <f t="shared" si="31"/>
        <v>0</v>
      </c>
      <c r="X114" s="299">
        <f t="shared" si="32"/>
        <v>0</v>
      </c>
      <c r="Y114" s="299">
        <f t="shared" si="33"/>
        <v>0</v>
      </c>
      <c r="Z114" s="299">
        <f t="shared" si="34"/>
        <v>0</v>
      </c>
      <c r="AA114" s="85"/>
    </row>
    <row r="115" spans="1:27" ht="16.5" customHeight="1">
      <c r="A115" s="331"/>
      <c r="B115" s="466"/>
      <c r="C115" s="466"/>
      <c r="D115" s="321"/>
      <c r="E115" s="65"/>
      <c r="F115" s="321"/>
      <c r="G115" s="65"/>
      <c r="H115" s="321"/>
      <c r="I115" s="65"/>
      <c r="J115" s="321"/>
      <c r="K115" s="732"/>
      <c r="L115" s="423"/>
      <c r="M115" s="402"/>
      <c r="N115" s="423"/>
      <c r="P115" s="522"/>
      <c r="Q115" s="522"/>
      <c r="R115" s="522"/>
      <c r="S115" s="522"/>
      <c r="T115" s="522"/>
      <c r="V115" s="748"/>
      <c r="W115" s="748"/>
      <c r="X115" s="748"/>
      <c r="Y115" s="748"/>
      <c r="Z115" s="748"/>
    </row>
    <row r="116" spans="1:27" ht="16.5" customHeight="1">
      <c r="A116" s="293" t="str">
        <f>'Budget with Assumptions'!H116</f>
        <v>Total Office Administration</v>
      </c>
      <c r="B116" s="683"/>
      <c r="C116" s="389"/>
      <c r="D116" s="610">
        <f>SUM(D95:D114)</f>
        <v>49500</v>
      </c>
      <c r="E116" s="300"/>
      <c r="F116" s="610">
        <f>SUM(F95:F114)</f>
        <v>45000</v>
      </c>
      <c r="G116" s="300"/>
      <c r="H116" s="610">
        <f>SUM(H95:H114)</f>
        <v>65500</v>
      </c>
      <c r="I116" s="300"/>
      <c r="J116" s="610">
        <f>SUM(J95:J114)</f>
        <v>68500</v>
      </c>
      <c r="K116" s="302"/>
      <c r="L116" s="610">
        <f>SUM(L95:L114)</f>
        <v>69250</v>
      </c>
      <c r="M116" s="154"/>
      <c r="N116" s="610">
        <f>SUM(N95:N114)</f>
        <v>72250</v>
      </c>
      <c r="O116" s="550"/>
      <c r="P116" s="379">
        <f>SUM(P95:P114)</f>
        <v>1.1711995625023074E-2</v>
      </c>
      <c r="Q116" s="379">
        <f>SUM(Q95:Q114)</f>
        <v>1.3949627150957966E-2</v>
      </c>
      <c r="R116" s="379">
        <f>SUM(R95:R114)</f>
        <v>1.268720454762123E-2</v>
      </c>
      <c r="S116" s="379">
        <f>SUM(S95:S114)</f>
        <v>1.1905565688014996E-2</v>
      </c>
      <c r="T116" s="379">
        <f>SUM(T95:T114)</f>
        <v>1.1150179955223716E-2</v>
      </c>
      <c r="U116" s="550"/>
      <c r="V116" s="490">
        <f>SUM(V95:V114)</f>
        <v>99.999999999999986</v>
      </c>
      <c r="W116" s="490">
        <f>SUM(W95:W114)</f>
        <v>124.76190476190476</v>
      </c>
      <c r="X116" s="490">
        <f>SUM(X95:X114)</f>
        <v>115.12605042016807</v>
      </c>
      <c r="Y116" s="490">
        <f>SUM(Y95:Y114)</f>
        <v>104.13533834586467</v>
      </c>
      <c r="Z116" s="490">
        <f>SUM(Z95:Z114)</f>
        <v>98.299319727891174</v>
      </c>
      <c r="AA116" s="676"/>
    </row>
    <row r="117" spans="1:27" ht="16.5" customHeight="1">
      <c r="A117" s="445"/>
      <c r="B117" s="509"/>
      <c r="C117" s="509"/>
      <c r="D117" s="391"/>
      <c r="E117" s="151"/>
      <c r="F117" s="391"/>
      <c r="G117" s="151"/>
      <c r="H117" s="391"/>
      <c r="I117" s="151"/>
      <c r="J117" s="391"/>
      <c r="L117" s="391"/>
      <c r="N117" s="391"/>
      <c r="P117" s="183"/>
      <c r="Q117" s="183"/>
      <c r="R117" s="183"/>
      <c r="S117" s="183"/>
      <c r="T117" s="183"/>
      <c r="V117" s="391"/>
      <c r="W117" s="391"/>
      <c r="X117" s="391"/>
      <c r="Y117" s="391"/>
      <c r="Z117" s="391"/>
    </row>
    <row r="118" spans="1:27" ht="18.75" customHeight="1">
      <c r="A118" s="634" t="s">
        <v>76</v>
      </c>
      <c r="B118" s="476"/>
      <c r="C118" s="509"/>
      <c r="D118" s="431"/>
      <c r="E118" s="65"/>
      <c r="F118" s="431"/>
      <c r="G118" s="65"/>
      <c r="H118" s="431"/>
      <c r="I118" s="65"/>
      <c r="J118" s="431"/>
      <c r="K118" s="732"/>
      <c r="L118" s="431"/>
      <c r="M118" s="402"/>
      <c r="N118" s="431"/>
      <c r="P118" s="422"/>
      <c r="Q118" s="422"/>
      <c r="R118" s="422"/>
      <c r="S118" s="422"/>
      <c r="T118" s="422"/>
      <c r="V118" s="478"/>
      <c r="W118" s="478"/>
      <c r="X118" s="478"/>
      <c r="Y118" s="478"/>
      <c r="Z118" s="478"/>
    </row>
    <row r="119" spans="1:27" ht="18.75" customHeight="1">
      <c r="A119" s="255" t="str">
        <f>'Budget with Assumptions'!A119</f>
        <v>Rent</v>
      </c>
      <c r="B119" s="737"/>
      <c r="C119" s="804"/>
      <c r="D119" s="850">
        <f>'Budget with Assumptions'!J119</f>
        <v>0</v>
      </c>
      <c r="E119" s="264"/>
      <c r="F119" s="850">
        <f>'Budget with Assumptions'!L119</f>
        <v>421850</v>
      </c>
      <c r="G119" s="264"/>
      <c r="H119" s="850">
        <f>'Budget with Assumptions'!N119</f>
        <v>775454</v>
      </c>
      <c r="I119" s="264"/>
      <c r="J119" s="850">
        <f>'Budget with Assumptions'!P119</f>
        <v>910763</v>
      </c>
      <c r="K119" s="411"/>
      <c r="L119" s="850">
        <f>'Budget with Assumptions'!R119</f>
        <v>928978</v>
      </c>
      <c r="M119" s="495"/>
      <c r="N119" s="850">
        <f>'Budget with Assumptions'!T119</f>
        <v>947558</v>
      </c>
      <c r="O119" s="809"/>
      <c r="P119" s="103">
        <f t="shared" ref="P119:P136" si="35">F119/$F$159</f>
        <v>0.1097934523203552</v>
      </c>
      <c r="Q119" s="103">
        <f t="shared" ref="Q119:Q136" si="36">H119/$H$159</f>
        <v>0.16514952935448793</v>
      </c>
      <c r="R119" s="103">
        <f t="shared" ref="R119:R136" si="37">J119/$J$159</f>
        <v>0.1686866638745278</v>
      </c>
      <c r="S119" s="103">
        <f t="shared" ref="S119:S136" si="38">L119/$L$159</f>
        <v>0.15971131554831472</v>
      </c>
      <c r="T119" s="103">
        <f t="shared" ref="T119:T136" si="39">N119/$N$159</f>
        <v>0.14623449436694635</v>
      </c>
      <c r="U119" s="809"/>
      <c r="V119" s="299">
        <f t="shared" ref="V119:V136" si="40">F119/$F$178</f>
        <v>937.44444444444446</v>
      </c>
      <c r="W119" s="299">
        <f t="shared" ref="W119:W136" si="41">H119/$H$178</f>
        <v>1477.0552380952381</v>
      </c>
      <c r="X119" s="299">
        <f t="shared" ref="X119:X136" si="42">J119/$J$178</f>
        <v>1530.6941176470589</v>
      </c>
      <c r="Y119" s="299">
        <f t="shared" ref="Y119:Y136" si="43">L119/$L$178</f>
        <v>1396.9593984962405</v>
      </c>
      <c r="Z119" s="299">
        <f t="shared" ref="Z119:Z136" si="44">N119/$N$178</f>
        <v>1289.1945578231293</v>
      </c>
      <c r="AA119" s="85"/>
    </row>
    <row r="120" spans="1:27" ht="15.75" customHeight="1">
      <c r="A120" s="90" t="str">
        <f>'Budget with Assumptions'!A120</f>
        <v>Utilities</v>
      </c>
      <c r="B120" s="640"/>
      <c r="C120" s="511"/>
      <c r="D120" s="850">
        <f>'Budget with Assumptions'!J120</f>
        <v>0</v>
      </c>
      <c r="E120" s="264"/>
      <c r="F120" s="850">
        <f>'Budget with Assumptions'!L120</f>
        <v>45000</v>
      </c>
      <c r="G120" s="264"/>
      <c r="H120" s="850">
        <f>'Budget with Assumptions'!N120</f>
        <v>45000</v>
      </c>
      <c r="I120" s="264"/>
      <c r="J120" s="850">
        <f>'Budget with Assumptions'!P120</f>
        <v>55000</v>
      </c>
      <c r="K120" s="411"/>
      <c r="L120" s="850">
        <f>'Budget with Assumptions'!R120</f>
        <v>65000</v>
      </c>
      <c r="M120" s="495"/>
      <c r="N120" s="850">
        <f>'Budget with Assumptions'!T120</f>
        <v>75000</v>
      </c>
      <c r="O120" s="809"/>
      <c r="P120" s="103">
        <f t="shared" si="35"/>
        <v>1.1711995625023074E-2</v>
      </c>
      <c r="Q120" s="103">
        <f t="shared" si="36"/>
        <v>9.5837133098184511E-3</v>
      </c>
      <c r="R120" s="103">
        <f t="shared" si="37"/>
        <v>1.018680657108274E-2</v>
      </c>
      <c r="S120" s="103">
        <f t="shared" si="38"/>
        <v>1.1174899201746927E-2</v>
      </c>
      <c r="T120" s="103">
        <f t="shared" si="39"/>
        <v>1.1574581268398321E-2</v>
      </c>
      <c r="U120" s="809"/>
      <c r="V120" s="299">
        <f t="shared" si="40"/>
        <v>100</v>
      </c>
      <c r="W120" s="299">
        <f t="shared" si="41"/>
        <v>85.714285714285708</v>
      </c>
      <c r="X120" s="299">
        <f t="shared" si="42"/>
        <v>92.436974789915965</v>
      </c>
      <c r="Y120" s="299">
        <f t="shared" si="43"/>
        <v>97.744360902255636</v>
      </c>
      <c r="Z120" s="299">
        <f t="shared" si="44"/>
        <v>102.04081632653062</v>
      </c>
      <c r="AA120" s="85"/>
    </row>
    <row r="121" spans="1:27" ht="15.75" customHeight="1">
      <c r="A121" s="90" t="str">
        <f>'Budget with Assumptions'!A121</f>
        <v>Repairs &amp; Maintenance</v>
      </c>
      <c r="B121" s="640"/>
      <c r="C121" s="511"/>
      <c r="D121" s="850">
        <f>'Budget with Assumptions'!J121</f>
        <v>1000</v>
      </c>
      <c r="E121" s="264"/>
      <c r="F121" s="850">
        <f>'Budget with Assumptions'!L121</f>
        <v>5000</v>
      </c>
      <c r="G121" s="264"/>
      <c r="H121" s="850">
        <f>'Budget with Assumptions'!N121</f>
        <v>5000</v>
      </c>
      <c r="I121" s="264"/>
      <c r="J121" s="850">
        <f>'Budget with Assumptions'!P121</f>
        <v>6000</v>
      </c>
      <c r="K121" s="411"/>
      <c r="L121" s="850">
        <f>'Budget with Assumptions'!R121</f>
        <v>6000</v>
      </c>
      <c r="M121" s="495"/>
      <c r="N121" s="850">
        <f>'Budget with Assumptions'!T121</f>
        <v>6000</v>
      </c>
      <c r="O121" s="809"/>
      <c r="P121" s="103">
        <f t="shared" si="35"/>
        <v>1.3013328472247861E-3</v>
      </c>
      <c r="Q121" s="103">
        <f t="shared" si="36"/>
        <v>1.0648570344242722E-3</v>
      </c>
      <c r="R121" s="103">
        <f t="shared" si="37"/>
        <v>1.1112879895726624E-3</v>
      </c>
      <c r="S121" s="103">
        <f t="shared" si="38"/>
        <v>1.0315291570843316E-3</v>
      </c>
      <c r="T121" s="103">
        <f t="shared" si="39"/>
        <v>9.2596650147186562E-4</v>
      </c>
      <c r="U121" s="809"/>
      <c r="V121" s="299">
        <f t="shared" si="40"/>
        <v>11.111111111111111</v>
      </c>
      <c r="W121" s="299">
        <f t="shared" si="41"/>
        <v>9.5238095238095237</v>
      </c>
      <c r="X121" s="299">
        <f t="shared" si="42"/>
        <v>10.084033613445378</v>
      </c>
      <c r="Y121" s="299">
        <f t="shared" si="43"/>
        <v>9.022556390977444</v>
      </c>
      <c r="Z121" s="299">
        <f t="shared" si="44"/>
        <v>8.1632653061224492</v>
      </c>
      <c r="AA121" s="85"/>
    </row>
    <row r="122" spans="1:27" ht="15.75" customHeight="1">
      <c r="A122" s="90" t="str">
        <f>'Budget with Assumptions'!A122</f>
        <v>Supplies</v>
      </c>
      <c r="B122" s="640"/>
      <c r="C122" s="511"/>
      <c r="D122" s="850">
        <f>'Budget with Assumptions'!J122</f>
        <v>0</v>
      </c>
      <c r="E122" s="264"/>
      <c r="F122" s="850">
        <f>'Budget with Assumptions'!L122</f>
        <v>0</v>
      </c>
      <c r="G122" s="264"/>
      <c r="H122" s="850">
        <f>'Budget with Assumptions'!N122</f>
        <v>0</v>
      </c>
      <c r="I122" s="264"/>
      <c r="J122" s="850">
        <f>'Budget with Assumptions'!P122</f>
        <v>0</v>
      </c>
      <c r="K122" s="411"/>
      <c r="L122" s="850">
        <f>'Budget with Assumptions'!R122</f>
        <v>0</v>
      </c>
      <c r="M122" s="495"/>
      <c r="N122" s="850">
        <f>'Budget with Assumptions'!T122</f>
        <v>0</v>
      </c>
      <c r="O122" s="809"/>
      <c r="P122" s="103">
        <f t="shared" si="35"/>
        <v>0</v>
      </c>
      <c r="Q122" s="103">
        <f t="shared" si="36"/>
        <v>0</v>
      </c>
      <c r="R122" s="103">
        <f t="shared" si="37"/>
        <v>0</v>
      </c>
      <c r="S122" s="103">
        <f t="shared" si="38"/>
        <v>0</v>
      </c>
      <c r="T122" s="103">
        <f t="shared" si="39"/>
        <v>0</v>
      </c>
      <c r="U122" s="809"/>
      <c r="V122" s="299">
        <f t="shared" si="40"/>
        <v>0</v>
      </c>
      <c r="W122" s="299">
        <f t="shared" si="41"/>
        <v>0</v>
      </c>
      <c r="X122" s="299">
        <f t="shared" si="42"/>
        <v>0</v>
      </c>
      <c r="Y122" s="299">
        <f t="shared" si="43"/>
        <v>0</v>
      </c>
      <c r="Z122" s="299">
        <f t="shared" si="44"/>
        <v>0</v>
      </c>
      <c r="AA122" s="85"/>
    </row>
    <row r="123" spans="1:27" ht="15.75" customHeight="1">
      <c r="A123" s="90" t="str">
        <f>'Budget with Assumptions'!A123</f>
        <v>Contracted Services-Security</v>
      </c>
      <c r="B123" s="640"/>
      <c r="C123" s="511"/>
      <c r="D123" s="850">
        <f>'Budget with Assumptions'!J123</f>
        <v>0</v>
      </c>
      <c r="E123" s="264"/>
      <c r="F123" s="850">
        <f>'Budget with Assumptions'!L123</f>
        <v>0</v>
      </c>
      <c r="G123" s="264"/>
      <c r="H123" s="850">
        <f>'Budget with Assumptions'!N123</f>
        <v>0</v>
      </c>
      <c r="I123" s="264"/>
      <c r="J123" s="850">
        <f>'Budget with Assumptions'!P123</f>
        <v>0</v>
      </c>
      <c r="K123" s="411"/>
      <c r="L123" s="850">
        <f>'Budget with Assumptions'!R123</f>
        <v>0</v>
      </c>
      <c r="M123" s="495"/>
      <c r="N123" s="850">
        <f>'Budget with Assumptions'!T123</f>
        <v>0</v>
      </c>
      <c r="O123" s="809"/>
      <c r="P123" s="103">
        <f t="shared" si="35"/>
        <v>0</v>
      </c>
      <c r="Q123" s="103">
        <f t="shared" si="36"/>
        <v>0</v>
      </c>
      <c r="R123" s="103">
        <f t="shared" si="37"/>
        <v>0</v>
      </c>
      <c r="S123" s="103">
        <f t="shared" si="38"/>
        <v>0</v>
      </c>
      <c r="T123" s="103">
        <f t="shared" si="39"/>
        <v>0</v>
      </c>
      <c r="U123" s="809"/>
      <c r="V123" s="299">
        <f t="shared" si="40"/>
        <v>0</v>
      </c>
      <c r="W123" s="299">
        <f t="shared" si="41"/>
        <v>0</v>
      </c>
      <c r="X123" s="299">
        <f t="shared" si="42"/>
        <v>0</v>
      </c>
      <c r="Y123" s="299">
        <f t="shared" si="43"/>
        <v>0</v>
      </c>
      <c r="Z123" s="299">
        <f t="shared" si="44"/>
        <v>0</v>
      </c>
      <c r="AA123" s="85"/>
    </row>
    <row r="124" spans="1:27" ht="15.75" customHeight="1">
      <c r="A124" s="90" t="str">
        <f>'Budget with Assumptions'!A124</f>
        <v>Contracted Services-Custodial</v>
      </c>
      <c r="B124" s="640"/>
      <c r="C124" s="511"/>
      <c r="D124" s="850">
        <f>'Budget with Assumptions'!J124</f>
        <v>3000</v>
      </c>
      <c r="E124" s="264"/>
      <c r="F124" s="850">
        <f>'Budget with Assumptions'!L124</f>
        <v>5000</v>
      </c>
      <c r="G124" s="264"/>
      <c r="H124" s="850">
        <f>'Budget with Assumptions'!N124</f>
        <v>5000</v>
      </c>
      <c r="I124" s="264"/>
      <c r="J124" s="850">
        <f>'Budget with Assumptions'!P124</f>
        <v>5000</v>
      </c>
      <c r="K124" s="411"/>
      <c r="L124" s="850">
        <f>'Budget with Assumptions'!R124</f>
        <v>5000</v>
      </c>
      <c r="M124" s="495"/>
      <c r="N124" s="850">
        <f>'Budget with Assumptions'!T124</f>
        <v>5000</v>
      </c>
      <c r="O124" s="809"/>
      <c r="P124" s="103">
        <f t="shared" si="35"/>
        <v>1.3013328472247861E-3</v>
      </c>
      <c r="Q124" s="103">
        <f t="shared" si="36"/>
        <v>1.0648570344242722E-3</v>
      </c>
      <c r="R124" s="103">
        <f t="shared" si="37"/>
        <v>9.2607332464388536E-4</v>
      </c>
      <c r="S124" s="103">
        <f t="shared" si="38"/>
        <v>8.5960763090360971E-4</v>
      </c>
      <c r="T124" s="103">
        <f t="shared" si="39"/>
        <v>7.7163875122655476E-4</v>
      </c>
      <c r="U124" s="809"/>
      <c r="V124" s="299">
        <f t="shared" si="40"/>
        <v>11.111111111111111</v>
      </c>
      <c r="W124" s="299">
        <f t="shared" si="41"/>
        <v>9.5238095238095237</v>
      </c>
      <c r="X124" s="299">
        <f t="shared" si="42"/>
        <v>8.4033613445378155</v>
      </c>
      <c r="Y124" s="299">
        <f t="shared" si="43"/>
        <v>7.518796992481203</v>
      </c>
      <c r="Z124" s="299">
        <f t="shared" si="44"/>
        <v>6.8027210884353737</v>
      </c>
      <c r="AA124" s="85"/>
    </row>
    <row r="125" spans="1:27" ht="15.75" customHeight="1">
      <c r="A125" s="90" t="str">
        <f>'Budget with Assumptions'!A125</f>
        <v>Contracted Services-(Trash Removal, Snow Removal, Grounds, etc.)</v>
      </c>
      <c r="B125" s="640"/>
      <c r="C125" s="511"/>
      <c r="D125" s="850">
        <f>'Budget with Assumptions'!J125</f>
        <v>0</v>
      </c>
      <c r="E125" s="264"/>
      <c r="F125" s="850">
        <f>'Budget with Assumptions'!L125</f>
        <v>10000</v>
      </c>
      <c r="G125" s="264"/>
      <c r="H125" s="850">
        <f>'Budget with Assumptions'!N125</f>
        <v>15000</v>
      </c>
      <c r="I125" s="264"/>
      <c r="J125" s="850">
        <f>'Budget with Assumptions'!P125</f>
        <v>20000</v>
      </c>
      <c r="K125" s="411"/>
      <c r="L125" s="850">
        <f>'Budget with Assumptions'!R125</f>
        <v>20000</v>
      </c>
      <c r="M125" s="495"/>
      <c r="N125" s="850">
        <f>'Budget with Assumptions'!T125</f>
        <v>20000</v>
      </c>
      <c r="O125" s="809"/>
      <c r="P125" s="103">
        <f t="shared" si="35"/>
        <v>2.6026656944495722E-3</v>
      </c>
      <c r="Q125" s="103">
        <f t="shared" si="36"/>
        <v>3.1945711032728167E-3</v>
      </c>
      <c r="R125" s="103">
        <f t="shared" si="37"/>
        <v>3.7042932985755415E-3</v>
      </c>
      <c r="S125" s="103">
        <f t="shared" si="38"/>
        <v>3.4384305236144388E-3</v>
      </c>
      <c r="T125" s="103">
        <f t="shared" si="39"/>
        <v>3.086555004906219E-3</v>
      </c>
      <c r="U125" s="809"/>
      <c r="V125" s="299">
        <f t="shared" si="40"/>
        <v>22.222222222222221</v>
      </c>
      <c r="W125" s="299">
        <f t="shared" si="41"/>
        <v>28.571428571428573</v>
      </c>
      <c r="X125" s="299">
        <f t="shared" si="42"/>
        <v>33.613445378151262</v>
      </c>
      <c r="Y125" s="299">
        <f t="shared" si="43"/>
        <v>30.075187969924812</v>
      </c>
      <c r="Z125" s="299">
        <f t="shared" si="44"/>
        <v>27.210884353741495</v>
      </c>
      <c r="AA125" s="85"/>
    </row>
    <row r="126" spans="1:27" ht="15.75" customHeight="1">
      <c r="A126" s="90" t="str">
        <f>'Budget with Assumptions'!A126</f>
        <v>Contracted Services-Other</v>
      </c>
      <c r="B126" s="640"/>
      <c r="C126" s="511"/>
      <c r="D126" s="850">
        <f>'Budget with Assumptions'!J126</f>
        <v>0</v>
      </c>
      <c r="E126" s="264"/>
      <c r="F126" s="850">
        <f>'Budget with Assumptions'!L126</f>
        <v>10000</v>
      </c>
      <c r="G126" s="264"/>
      <c r="H126" s="850">
        <f>'Budget with Assumptions'!N126</f>
        <v>15000</v>
      </c>
      <c r="I126" s="264"/>
      <c r="J126" s="850">
        <f>'Budget with Assumptions'!P126</f>
        <v>20000</v>
      </c>
      <c r="K126" s="411"/>
      <c r="L126" s="850">
        <f>'Budget with Assumptions'!R126</f>
        <v>20000</v>
      </c>
      <c r="M126" s="495"/>
      <c r="N126" s="850">
        <f>'Budget with Assumptions'!T126</f>
        <v>20000</v>
      </c>
      <c r="O126" s="809"/>
      <c r="P126" s="103">
        <f t="shared" si="35"/>
        <v>2.6026656944495722E-3</v>
      </c>
      <c r="Q126" s="103">
        <f t="shared" si="36"/>
        <v>3.1945711032728167E-3</v>
      </c>
      <c r="R126" s="103">
        <f t="shared" si="37"/>
        <v>3.7042932985755415E-3</v>
      </c>
      <c r="S126" s="103">
        <f t="shared" si="38"/>
        <v>3.4384305236144388E-3</v>
      </c>
      <c r="T126" s="103">
        <f t="shared" si="39"/>
        <v>3.086555004906219E-3</v>
      </c>
      <c r="U126" s="809"/>
      <c r="V126" s="299">
        <f t="shared" si="40"/>
        <v>22.222222222222221</v>
      </c>
      <c r="W126" s="299">
        <f t="shared" si="41"/>
        <v>28.571428571428573</v>
      </c>
      <c r="X126" s="299">
        <f t="shared" si="42"/>
        <v>33.613445378151262</v>
      </c>
      <c r="Y126" s="299">
        <f t="shared" si="43"/>
        <v>30.075187969924812</v>
      </c>
      <c r="Z126" s="299">
        <f t="shared" si="44"/>
        <v>27.210884353741495</v>
      </c>
      <c r="AA126" s="85"/>
    </row>
    <row r="127" spans="1:27" ht="15.75" customHeight="1">
      <c r="A127" s="90" t="str">
        <f>'Budget with Assumptions'!A127</f>
        <v>Insurance</v>
      </c>
      <c r="B127" s="640"/>
      <c r="C127" s="511"/>
      <c r="D127" s="850">
        <f>'Budget with Assumptions'!J127</f>
        <v>0</v>
      </c>
      <c r="E127" s="264"/>
      <c r="F127" s="850">
        <f>'Budget with Assumptions'!L127</f>
        <v>0</v>
      </c>
      <c r="G127" s="264"/>
      <c r="H127" s="850">
        <f>'Budget with Assumptions'!N127</f>
        <v>0</v>
      </c>
      <c r="I127" s="264"/>
      <c r="J127" s="850">
        <f>'Budget with Assumptions'!P127</f>
        <v>0</v>
      </c>
      <c r="K127" s="411"/>
      <c r="L127" s="850">
        <f>'Budget with Assumptions'!R127</f>
        <v>0</v>
      </c>
      <c r="M127" s="495"/>
      <c r="N127" s="850">
        <f>'Budget with Assumptions'!T127</f>
        <v>0</v>
      </c>
      <c r="O127" s="809"/>
      <c r="P127" s="103">
        <f t="shared" si="35"/>
        <v>0</v>
      </c>
      <c r="Q127" s="103">
        <f t="shared" si="36"/>
        <v>0</v>
      </c>
      <c r="R127" s="103">
        <f t="shared" si="37"/>
        <v>0</v>
      </c>
      <c r="S127" s="103">
        <f t="shared" si="38"/>
        <v>0</v>
      </c>
      <c r="T127" s="103">
        <f t="shared" si="39"/>
        <v>0</v>
      </c>
      <c r="U127" s="809"/>
      <c r="V127" s="299">
        <f t="shared" si="40"/>
        <v>0</v>
      </c>
      <c r="W127" s="299">
        <f t="shared" si="41"/>
        <v>0</v>
      </c>
      <c r="X127" s="299">
        <f t="shared" si="42"/>
        <v>0</v>
      </c>
      <c r="Y127" s="299">
        <f t="shared" si="43"/>
        <v>0</v>
      </c>
      <c r="Z127" s="299">
        <f t="shared" si="44"/>
        <v>0</v>
      </c>
      <c r="AA127" s="85"/>
    </row>
    <row r="128" spans="1:27" ht="15.75" customHeight="1">
      <c r="A128" s="90" t="str">
        <f>'Budget with Assumptions'!A128</f>
        <v>Facility Loan Debt Service (P &amp; I)</v>
      </c>
      <c r="B128" s="640"/>
      <c r="C128" s="511"/>
      <c r="D128" s="850">
        <f>'Budget with Assumptions'!J128</f>
        <v>0</v>
      </c>
      <c r="E128" s="264"/>
      <c r="F128" s="850">
        <f>'Budget with Assumptions'!L128</f>
        <v>20000</v>
      </c>
      <c r="G128" s="264"/>
      <c r="H128" s="850">
        <f>'Budget with Assumptions'!N128</f>
        <v>20000</v>
      </c>
      <c r="I128" s="264"/>
      <c r="J128" s="850">
        <f>'Budget with Assumptions'!P128</f>
        <v>25000</v>
      </c>
      <c r="K128" s="411"/>
      <c r="L128" s="850">
        <f>'Budget with Assumptions'!R128</f>
        <v>25000</v>
      </c>
      <c r="M128" s="495"/>
      <c r="N128" s="850">
        <f>'Budget with Assumptions'!T128</f>
        <v>25000</v>
      </c>
      <c r="O128" s="809"/>
      <c r="P128" s="103">
        <f t="shared" si="35"/>
        <v>5.2053313888991443E-3</v>
      </c>
      <c r="Q128" s="103">
        <f t="shared" si="36"/>
        <v>4.259428137697089E-3</v>
      </c>
      <c r="R128" s="103">
        <f t="shared" si="37"/>
        <v>4.6303666232194269E-3</v>
      </c>
      <c r="S128" s="103">
        <f t="shared" si="38"/>
        <v>4.2980381545180491E-3</v>
      </c>
      <c r="T128" s="103">
        <f t="shared" si="39"/>
        <v>3.8581937561327738E-3</v>
      </c>
      <c r="U128" s="809"/>
      <c r="V128" s="299">
        <f t="shared" si="40"/>
        <v>44.444444444444443</v>
      </c>
      <c r="W128" s="299">
        <f t="shared" si="41"/>
        <v>38.095238095238095</v>
      </c>
      <c r="X128" s="299">
        <f t="shared" si="42"/>
        <v>42.016806722689076</v>
      </c>
      <c r="Y128" s="299">
        <f t="shared" si="43"/>
        <v>37.593984962406012</v>
      </c>
      <c r="Z128" s="299">
        <f t="shared" si="44"/>
        <v>34.013605442176868</v>
      </c>
      <c r="AA128" s="85"/>
    </row>
    <row r="129" spans="1:27" ht="15.75" customHeight="1">
      <c r="A129" s="90">
        <f>'Budget with Assumptions'!A129</f>
        <v>0</v>
      </c>
      <c r="B129" s="640"/>
      <c r="C129" s="511"/>
      <c r="D129" s="850">
        <f>'Budget with Assumptions'!J129</f>
        <v>0</v>
      </c>
      <c r="E129" s="264"/>
      <c r="F129" s="850">
        <f>'Budget with Assumptions'!L129</f>
        <v>0</v>
      </c>
      <c r="G129" s="264"/>
      <c r="H129" s="850">
        <f>'Budget with Assumptions'!N129</f>
        <v>0</v>
      </c>
      <c r="I129" s="264"/>
      <c r="J129" s="850">
        <f>'Budget with Assumptions'!P129</f>
        <v>0</v>
      </c>
      <c r="K129" s="411"/>
      <c r="L129" s="850">
        <f>'Budget with Assumptions'!R129</f>
        <v>0</v>
      </c>
      <c r="M129" s="495"/>
      <c r="N129" s="850">
        <f>'Budget with Assumptions'!T129</f>
        <v>0</v>
      </c>
      <c r="O129" s="809"/>
      <c r="P129" s="103">
        <f t="shared" si="35"/>
        <v>0</v>
      </c>
      <c r="Q129" s="103">
        <f t="shared" si="36"/>
        <v>0</v>
      </c>
      <c r="R129" s="103">
        <f t="shared" si="37"/>
        <v>0</v>
      </c>
      <c r="S129" s="103">
        <f t="shared" si="38"/>
        <v>0</v>
      </c>
      <c r="T129" s="103">
        <f t="shared" si="39"/>
        <v>0</v>
      </c>
      <c r="U129" s="809"/>
      <c r="V129" s="299">
        <f t="shared" si="40"/>
        <v>0</v>
      </c>
      <c r="W129" s="299">
        <f t="shared" si="41"/>
        <v>0</v>
      </c>
      <c r="X129" s="299">
        <f t="shared" si="42"/>
        <v>0</v>
      </c>
      <c r="Y129" s="299">
        <f t="shared" si="43"/>
        <v>0</v>
      </c>
      <c r="Z129" s="299">
        <f t="shared" si="44"/>
        <v>0</v>
      </c>
      <c r="AA129" s="85"/>
    </row>
    <row r="130" spans="1:27" ht="15.75" customHeight="1">
      <c r="A130" s="90">
        <f>'Budget with Assumptions'!A130</f>
        <v>0</v>
      </c>
      <c r="B130" s="640"/>
      <c r="C130" s="511"/>
      <c r="D130" s="850">
        <f>'Budget with Assumptions'!J130</f>
        <v>0</v>
      </c>
      <c r="E130" s="264"/>
      <c r="F130" s="850">
        <f>'Budget with Assumptions'!L130</f>
        <v>0</v>
      </c>
      <c r="G130" s="264"/>
      <c r="H130" s="850">
        <f>'Budget with Assumptions'!N130</f>
        <v>0</v>
      </c>
      <c r="I130" s="264"/>
      <c r="J130" s="850">
        <f>'Budget with Assumptions'!P130</f>
        <v>0</v>
      </c>
      <c r="K130" s="411"/>
      <c r="L130" s="850">
        <f>'Budget with Assumptions'!R130</f>
        <v>0</v>
      </c>
      <c r="M130" s="495"/>
      <c r="N130" s="850">
        <f>'Budget with Assumptions'!T130</f>
        <v>0</v>
      </c>
      <c r="O130" s="809"/>
      <c r="P130" s="103">
        <f t="shared" si="35"/>
        <v>0</v>
      </c>
      <c r="Q130" s="103">
        <f t="shared" si="36"/>
        <v>0</v>
      </c>
      <c r="R130" s="103">
        <f t="shared" si="37"/>
        <v>0</v>
      </c>
      <c r="S130" s="103">
        <f t="shared" si="38"/>
        <v>0</v>
      </c>
      <c r="T130" s="103">
        <f t="shared" si="39"/>
        <v>0</v>
      </c>
      <c r="U130" s="809"/>
      <c r="V130" s="299">
        <f t="shared" si="40"/>
        <v>0</v>
      </c>
      <c r="W130" s="299">
        <f t="shared" si="41"/>
        <v>0</v>
      </c>
      <c r="X130" s="299">
        <f t="shared" si="42"/>
        <v>0</v>
      </c>
      <c r="Y130" s="299">
        <f t="shared" si="43"/>
        <v>0</v>
      </c>
      <c r="Z130" s="299">
        <f t="shared" si="44"/>
        <v>0</v>
      </c>
      <c r="AA130" s="85"/>
    </row>
    <row r="131" spans="1:27" ht="15.75" customHeight="1">
      <c r="A131" s="90">
        <f>'Budget with Assumptions'!A131</f>
        <v>0</v>
      </c>
      <c r="B131" s="640"/>
      <c r="C131" s="511"/>
      <c r="D131" s="850">
        <f>'Budget with Assumptions'!J131</f>
        <v>0</v>
      </c>
      <c r="E131" s="264"/>
      <c r="F131" s="850">
        <f>'Budget with Assumptions'!L131</f>
        <v>0</v>
      </c>
      <c r="G131" s="264"/>
      <c r="H131" s="850">
        <f>'Budget with Assumptions'!N131</f>
        <v>0</v>
      </c>
      <c r="I131" s="264"/>
      <c r="J131" s="850">
        <f>'Budget with Assumptions'!P131</f>
        <v>0</v>
      </c>
      <c r="K131" s="411"/>
      <c r="L131" s="850">
        <f>'Budget with Assumptions'!R131</f>
        <v>0</v>
      </c>
      <c r="M131" s="495"/>
      <c r="N131" s="850">
        <f>'Budget with Assumptions'!T131</f>
        <v>0</v>
      </c>
      <c r="O131" s="809"/>
      <c r="P131" s="103">
        <f t="shared" si="35"/>
        <v>0</v>
      </c>
      <c r="Q131" s="103">
        <f t="shared" si="36"/>
        <v>0</v>
      </c>
      <c r="R131" s="103">
        <f t="shared" si="37"/>
        <v>0</v>
      </c>
      <c r="S131" s="103">
        <f t="shared" si="38"/>
        <v>0</v>
      </c>
      <c r="T131" s="103">
        <f t="shared" si="39"/>
        <v>0</v>
      </c>
      <c r="U131" s="809"/>
      <c r="V131" s="299">
        <f t="shared" si="40"/>
        <v>0</v>
      </c>
      <c r="W131" s="299">
        <f t="shared" si="41"/>
        <v>0</v>
      </c>
      <c r="X131" s="299">
        <f t="shared" si="42"/>
        <v>0</v>
      </c>
      <c r="Y131" s="299">
        <f t="shared" si="43"/>
        <v>0</v>
      </c>
      <c r="Z131" s="299">
        <f t="shared" si="44"/>
        <v>0</v>
      </c>
      <c r="AA131" s="85"/>
    </row>
    <row r="132" spans="1:27" ht="15.75" customHeight="1">
      <c r="A132" s="90">
        <f>'Budget with Assumptions'!A132</f>
        <v>0</v>
      </c>
      <c r="B132" s="640"/>
      <c r="C132" s="511"/>
      <c r="D132" s="850">
        <f>'Budget with Assumptions'!J132</f>
        <v>0</v>
      </c>
      <c r="E132" s="264"/>
      <c r="F132" s="850">
        <f>'Budget with Assumptions'!L132</f>
        <v>0</v>
      </c>
      <c r="G132" s="264"/>
      <c r="H132" s="850">
        <f>'Budget with Assumptions'!N132</f>
        <v>0</v>
      </c>
      <c r="I132" s="264"/>
      <c r="J132" s="850">
        <f>'Budget with Assumptions'!P132</f>
        <v>0</v>
      </c>
      <c r="K132" s="411"/>
      <c r="L132" s="850">
        <f>'Budget with Assumptions'!R132</f>
        <v>0</v>
      </c>
      <c r="M132" s="495"/>
      <c r="N132" s="850">
        <f>'Budget with Assumptions'!T132</f>
        <v>0</v>
      </c>
      <c r="O132" s="809"/>
      <c r="P132" s="103">
        <f t="shared" si="35"/>
        <v>0</v>
      </c>
      <c r="Q132" s="103">
        <f t="shared" si="36"/>
        <v>0</v>
      </c>
      <c r="R132" s="103">
        <f t="shared" si="37"/>
        <v>0</v>
      </c>
      <c r="S132" s="103">
        <f t="shared" si="38"/>
        <v>0</v>
      </c>
      <c r="T132" s="103">
        <f t="shared" si="39"/>
        <v>0</v>
      </c>
      <c r="U132" s="809"/>
      <c r="V132" s="299">
        <f t="shared" si="40"/>
        <v>0</v>
      </c>
      <c r="W132" s="299">
        <f t="shared" si="41"/>
        <v>0</v>
      </c>
      <c r="X132" s="299">
        <f t="shared" si="42"/>
        <v>0</v>
      </c>
      <c r="Y132" s="299">
        <f t="shared" si="43"/>
        <v>0</v>
      </c>
      <c r="Z132" s="299">
        <f t="shared" si="44"/>
        <v>0</v>
      </c>
      <c r="AA132" s="85"/>
    </row>
    <row r="133" spans="1:27" ht="15.75" customHeight="1">
      <c r="A133" s="90">
        <f>'Budget with Assumptions'!A133</f>
        <v>0</v>
      </c>
      <c r="B133" s="640"/>
      <c r="C133" s="511"/>
      <c r="D133" s="850">
        <f>'Budget with Assumptions'!J133</f>
        <v>0</v>
      </c>
      <c r="E133" s="264"/>
      <c r="F133" s="850">
        <f>'Budget with Assumptions'!L133</f>
        <v>0</v>
      </c>
      <c r="G133" s="264"/>
      <c r="H133" s="850">
        <f>'Budget with Assumptions'!N133</f>
        <v>0</v>
      </c>
      <c r="I133" s="264"/>
      <c r="J133" s="850">
        <f>'Budget with Assumptions'!P133</f>
        <v>0</v>
      </c>
      <c r="K133" s="411"/>
      <c r="L133" s="850">
        <f>'Budget with Assumptions'!R133</f>
        <v>0</v>
      </c>
      <c r="M133" s="495"/>
      <c r="N133" s="850">
        <f>'Budget with Assumptions'!T133</f>
        <v>0</v>
      </c>
      <c r="O133" s="809"/>
      <c r="P133" s="103">
        <f t="shared" si="35"/>
        <v>0</v>
      </c>
      <c r="Q133" s="103">
        <f t="shared" si="36"/>
        <v>0</v>
      </c>
      <c r="R133" s="103">
        <f t="shared" si="37"/>
        <v>0</v>
      </c>
      <c r="S133" s="103">
        <f t="shared" si="38"/>
        <v>0</v>
      </c>
      <c r="T133" s="103">
        <f t="shared" si="39"/>
        <v>0</v>
      </c>
      <c r="U133" s="809"/>
      <c r="V133" s="299">
        <f t="shared" si="40"/>
        <v>0</v>
      </c>
      <c r="W133" s="299">
        <f t="shared" si="41"/>
        <v>0</v>
      </c>
      <c r="X133" s="299">
        <f t="shared" si="42"/>
        <v>0</v>
      </c>
      <c r="Y133" s="299">
        <f t="shared" si="43"/>
        <v>0</v>
      </c>
      <c r="Z133" s="299">
        <f t="shared" si="44"/>
        <v>0</v>
      </c>
      <c r="AA133" s="85"/>
    </row>
    <row r="134" spans="1:27" ht="15.75" customHeight="1">
      <c r="A134" s="90">
        <f>'Budget with Assumptions'!A134</f>
        <v>0</v>
      </c>
      <c r="B134" s="640"/>
      <c r="C134" s="511"/>
      <c r="D134" s="850">
        <f>'Budget with Assumptions'!J134</f>
        <v>0</v>
      </c>
      <c r="E134" s="264"/>
      <c r="F134" s="850">
        <f>'Budget with Assumptions'!L134</f>
        <v>0</v>
      </c>
      <c r="G134" s="264"/>
      <c r="H134" s="850">
        <f>'Budget with Assumptions'!N134</f>
        <v>0</v>
      </c>
      <c r="I134" s="264"/>
      <c r="J134" s="850">
        <f>'Budget with Assumptions'!P134</f>
        <v>0</v>
      </c>
      <c r="K134" s="411"/>
      <c r="L134" s="850">
        <f>'Budget with Assumptions'!R134</f>
        <v>0</v>
      </c>
      <c r="M134" s="495"/>
      <c r="N134" s="850">
        <f>'Budget with Assumptions'!T134</f>
        <v>0</v>
      </c>
      <c r="O134" s="809"/>
      <c r="P134" s="103">
        <f t="shared" si="35"/>
        <v>0</v>
      </c>
      <c r="Q134" s="103">
        <f t="shared" si="36"/>
        <v>0</v>
      </c>
      <c r="R134" s="103">
        <f t="shared" si="37"/>
        <v>0</v>
      </c>
      <c r="S134" s="103">
        <f t="shared" si="38"/>
        <v>0</v>
      </c>
      <c r="T134" s="103">
        <f t="shared" si="39"/>
        <v>0</v>
      </c>
      <c r="U134" s="809"/>
      <c r="V134" s="299">
        <f t="shared" si="40"/>
        <v>0</v>
      </c>
      <c r="W134" s="299">
        <f t="shared" si="41"/>
        <v>0</v>
      </c>
      <c r="X134" s="299">
        <f t="shared" si="42"/>
        <v>0</v>
      </c>
      <c r="Y134" s="299">
        <f t="shared" si="43"/>
        <v>0</v>
      </c>
      <c r="Z134" s="299">
        <f t="shared" si="44"/>
        <v>0</v>
      </c>
      <c r="AA134" s="85"/>
    </row>
    <row r="135" spans="1:27" ht="15.75" customHeight="1">
      <c r="A135" s="90">
        <f>'Budget with Assumptions'!A135</f>
        <v>0</v>
      </c>
      <c r="B135" s="640"/>
      <c r="C135" s="511"/>
      <c r="D135" s="850">
        <f>'Budget with Assumptions'!J135</f>
        <v>0</v>
      </c>
      <c r="E135" s="264"/>
      <c r="F135" s="850">
        <f>'Budget with Assumptions'!L135</f>
        <v>0</v>
      </c>
      <c r="G135" s="264"/>
      <c r="H135" s="850">
        <f>'Budget with Assumptions'!N135</f>
        <v>0</v>
      </c>
      <c r="I135" s="264"/>
      <c r="J135" s="850">
        <f>'Budget with Assumptions'!P135</f>
        <v>0</v>
      </c>
      <c r="K135" s="411"/>
      <c r="L135" s="850">
        <f>'Budget with Assumptions'!R135</f>
        <v>0</v>
      </c>
      <c r="M135" s="495"/>
      <c r="N135" s="850">
        <f>'Budget with Assumptions'!T135</f>
        <v>0</v>
      </c>
      <c r="O135" s="809"/>
      <c r="P135" s="103">
        <f t="shared" si="35"/>
        <v>0</v>
      </c>
      <c r="Q135" s="103">
        <f t="shared" si="36"/>
        <v>0</v>
      </c>
      <c r="R135" s="103">
        <f t="shared" si="37"/>
        <v>0</v>
      </c>
      <c r="S135" s="103">
        <f t="shared" si="38"/>
        <v>0</v>
      </c>
      <c r="T135" s="103">
        <f t="shared" si="39"/>
        <v>0</v>
      </c>
      <c r="U135" s="809"/>
      <c r="V135" s="299">
        <f t="shared" si="40"/>
        <v>0</v>
      </c>
      <c r="W135" s="299">
        <f t="shared" si="41"/>
        <v>0</v>
      </c>
      <c r="X135" s="299">
        <f t="shared" si="42"/>
        <v>0</v>
      </c>
      <c r="Y135" s="299">
        <f t="shared" si="43"/>
        <v>0</v>
      </c>
      <c r="Z135" s="299">
        <f t="shared" si="44"/>
        <v>0</v>
      </c>
      <c r="AA135" s="85"/>
    </row>
    <row r="136" spans="1:27" ht="15.75" customHeight="1">
      <c r="A136" s="90">
        <f>'Budget with Assumptions'!A136</f>
        <v>0</v>
      </c>
      <c r="B136" s="640"/>
      <c r="C136" s="511"/>
      <c r="D136" s="850">
        <f>'Budget with Assumptions'!J136</f>
        <v>0</v>
      </c>
      <c r="E136" s="264"/>
      <c r="F136" s="850">
        <f>'Budget with Assumptions'!L136</f>
        <v>0</v>
      </c>
      <c r="G136" s="264"/>
      <c r="H136" s="850">
        <f>'Budget with Assumptions'!N136</f>
        <v>0</v>
      </c>
      <c r="I136" s="264"/>
      <c r="J136" s="850">
        <f>'Budget with Assumptions'!P136</f>
        <v>0</v>
      </c>
      <c r="K136" s="411"/>
      <c r="L136" s="850">
        <f>'Budget with Assumptions'!R136</f>
        <v>0</v>
      </c>
      <c r="M136" s="495"/>
      <c r="N136" s="850">
        <f>'Budget with Assumptions'!T136</f>
        <v>0</v>
      </c>
      <c r="O136" s="809"/>
      <c r="P136" s="103">
        <f t="shared" si="35"/>
        <v>0</v>
      </c>
      <c r="Q136" s="103">
        <f t="shared" si="36"/>
        <v>0</v>
      </c>
      <c r="R136" s="103">
        <f t="shared" si="37"/>
        <v>0</v>
      </c>
      <c r="S136" s="103">
        <f t="shared" si="38"/>
        <v>0</v>
      </c>
      <c r="T136" s="103">
        <f t="shared" si="39"/>
        <v>0</v>
      </c>
      <c r="U136" s="809"/>
      <c r="V136" s="299">
        <f t="shared" si="40"/>
        <v>0</v>
      </c>
      <c r="W136" s="299">
        <f t="shared" si="41"/>
        <v>0</v>
      </c>
      <c r="X136" s="299">
        <f t="shared" si="42"/>
        <v>0</v>
      </c>
      <c r="Y136" s="299">
        <f t="shared" si="43"/>
        <v>0</v>
      </c>
      <c r="Z136" s="299">
        <f t="shared" si="44"/>
        <v>0</v>
      </c>
      <c r="AA136" s="85"/>
    </row>
    <row r="137" spans="1:27" ht="16.5" customHeight="1">
      <c r="A137" s="331"/>
      <c r="B137" s="466"/>
      <c r="C137" s="466"/>
      <c r="D137" s="321"/>
      <c r="E137" s="65"/>
      <c r="F137" s="321"/>
      <c r="G137" s="65"/>
      <c r="H137" s="321"/>
      <c r="I137" s="65"/>
      <c r="J137" s="321"/>
      <c r="K137" s="732"/>
      <c r="L137" s="423"/>
      <c r="M137" s="402"/>
      <c r="N137" s="423"/>
      <c r="P137" s="522"/>
      <c r="Q137" s="522"/>
      <c r="R137" s="522"/>
      <c r="S137" s="522"/>
      <c r="T137" s="522"/>
      <c r="V137" s="748"/>
      <c r="W137" s="748"/>
      <c r="X137" s="748"/>
      <c r="Y137" s="748"/>
      <c r="Z137" s="748"/>
    </row>
    <row r="138" spans="1:27" ht="16.5" customHeight="1">
      <c r="A138" s="293" t="str">
        <f>'Budget with Assumptions'!H138</f>
        <v>Total Occupancy</v>
      </c>
      <c r="B138" s="683"/>
      <c r="C138" s="389"/>
      <c r="D138" s="610">
        <f>SUM(D119:D136)</f>
        <v>4000</v>
      </c>
      <c r="E138" s="300"/>
      <c r="F138" s="610">
        <f>SUM(F119:F136)</f>
        <v>516850</v>
      </c>
      <c r="G138" s="300"/>
      <c r="H138" s="610">
        <f>SUM(H119:H136)</f>
        <v>880454</v>
      </c>
      <c r="I138" s="300"/>
      <c r="J138" s="610">
        <f>SUM(J119:J136)</f>
        <v>1041763</v>
      </c>
      <c r="K138" s="302"/>
      <c r="L138" s="610">
        <f>SUM(L119:L136)</f>
        <v>1069978</v>
      </c>
      <c r="M138" s="154"/>
      <c r="N138" s="610">
        <f>SUM(N119:N136)</f>
        <v>1098558</v>
      </c>
      <c r="O138" s="550"/>
      <c r="P138" s="379">
        <f>SUM(P119:P136)</f>
        <v>0.13451877641762616</v>
      </c>
      <c r="Q138" s="379">
        <f>SUM(Q119:Q136)</f>
        <v>0.18751152707739763</v>
      </c>
      <c r="R138" s="379">
        <f>SUM(R119:R136)</f>
        <v>0.1929497849801976</v>
      </c>
      <c r="S138" s="379">
        <f>SUM(S119:S136)</f>
        <v>0.18395225073979654</v>
      </c>
      <c r="T138" s="379">
        <f>SUM(T119:T136)</f>
        <v>0.16953798465398834</v>
      </c>
      <c r="U138" s="550"/>
      <c r="V138" s="490">
        <f>SUM(V119:V136)</f>
        <v>1148.5555555555552</v>
      </c>
      <c r="W138" s="490">
        <f>SUM(W119:W136)</f>
        <v>1677.0552380952386</v>
      </c>
      <c r="X138" s="490">
        <f>SUM(X119:X136)</f>
        <v>1750.8621848739497</v>
      </c>
      <c r="Y138" s="490">
        <f>SUM(Y119:Y136)</f>
        <v>1608.9894736842105</v>
      </c>
      <c r="Z138" s="490">
        <f>SUM(Z119:Z136)</f>
        <v>1494.6367346938775</v>
      </c>
      <c r="AA138" s="676"/>
    </row>
    <row r="139" spans="1:27" ht="16.5" customHeight="1">
      <c r="A139" s="194"/>
      <c r="B139" s="509"/>
      <c r="C139" s="509"/>
      <c r="D139" s="468"/>
      <c r="E139" s="65"/>
      <c r="F139" s="468"/>
      <c r="G139" s="65"/>
      <c r="H139" s="468"/>
      <c r="I139" s="65"/>
      <c r="J139" s="468"/>
      <c r="K139" s="732"/>
      <c r="L139" s="802"/>
      <c r="M139" s="402"/>
      <c r="N139" s="802"/>
      <c r="P139" s="51"/>
      <c r="Q139" s="51"/>
      <c r="R139" s="51"/>
      <c r="S139" s="51"/>
      <c r="T139" s="51"/>
      <c r="V139" s="27"/>
      <c r="W139" s="27"/>
      <c r="X139" s="27"/>
      <c r="Y139" s="27"/>
      <c r="Z139" s="27"/>
    </row>
    <row r="140" spans="1:27" ht="16.5" customHeight="1">
      <c r="A140" s="564"/>
      <c r="B140" s="613"/>
      <c r="C140" s="333"/>
      <c r="D140" s="850">
        <f>'Budget with Assumptions'!J140</f>
        <v>0</v>
      </c>
      <c r="E140" s="766"/>
      <c r="F140" s="850">
        <f>'Budget with Assumptions'!L140</f>
        <v>0</v>
      </c>
      <c r="G140" s="264"/>
      <c r="H140" s="850">
        <f>'Budget with Assumptions'!N140</f>
        <v>0</v>
      </c>
      <c r="I140" s="264"/>
      <c r="J140" s="850">
        <f>'Budget with Assumptions'!P140</f>
        <v>0</v>
      </c>
      <c r="K140" s="411"/>
      <c r="L140" s="850">
        <f>'Budget with Assumptions'!R140</f>
        <v>0</v>
      </c>
      <c r="M140" s="495"/>
      <c r="N140" s="850">
        <f>'Budget with Assumptions'!T140</f>
        <v>0</v>
      </c>
      <c r="O140" s="762"/>
      <c r="P140" s="791">
        <f>F140/$F$159</f>
        <v>0</v>
      </c>
      <c r="Q140" s="791">
        <f>H140/$H$159</f>
        <v>0</v>
      </c>
      <c r="R140" s="791">
        <f>J140/$J$159</f>
        <v>0</v>
      </c>
      <c r="S140" s="791">
        <f>L140/$L$159</f>
        <v>0</v>
      </c>
      <c r="T140" s="791">
        <f>N140/$N$159</f>
        <v>0</v>
      </c>
      <c r="U140" s="550"/>
      <c r="V140" s="176">
        <f>F140/$F$178</f>
        <v>0</v>
      </c>
      <c r="W140" s="176">
        <f>H140/$H$178</f>
        <v>0</v>
      </c>
      <c r="X140" s="176">
        <f>J140/$J$178</f>
        <v>0</v>
      </c>
      <c r="Y140" s="176">
        <f>L140/$L$178</f>
        <v>0</v>
      </c>
      <c r="Z140" s="176">
        <f>N140/$N$178</f>
        <v>0</v>
      </c>
      <c r="AA140" s="676"/>
    </row>
    <row r="141" spans="1:27" ht="18.75" customHeight="1">
      <c r="A141" s="194"/>
      <c r="B141" s="509"/>
      <c r="C141" s="509"/>
      <c r="D141" s="441"/>
      <c r="E141" s="151"/>
      <c r="F141" s="441"/>
      <c r="G141" s="151"/>
      <c r="H141" s="441"/>
      <c r="I141" s="151"/>
      <c r="J141" s="441"/>
      <c r="L141" s="441"/>
      <c r="N141" s="441"/>
      <c r="P141" s="183"/>
      <c r="Q141" s="183"/>
      <c r="R141" s="183"/>
      <c r="S141" s="183"/>
      <c r="T141" s="183"/>
      <c r="V141" s="391"/>
      <c r="W141" s="391"/>
      <c r="X141" s="391"/>
      <c r="Y141" s="391"/>
      <c r="Z141" s="391"/>
    </row>
    <row r="142" spans="1:27" ht="18.75" customHeight="1">
      <c r="A142" s="634" t="s">
        <v>91</v>
      </c>
      <c r="B142" s="613"/>
      <c r="C142" s="65"/>
      <c r="D142" s="431"/>
      <c r="E142" s="65"/>
      <c r="F142" s="431"/>
      <c r="G142" s="65"/>
      <c r="H142" s="431"/>
      <c r="I142" s="65"/>
      <c r="J142" s="431"/>
      <c r="K142" s="732"/>
      <c r="L142" s="189"/>
      <c r="M142" s="402"/>
      <c r="N142" s="189"/>
      <c r="P142" s="422"/>
      <c r="Q142" s="422"/>
      <c r="R142" s="422"/>
      <c r="S142" s="422"/>
      <c r="T142" s="422"/>
      <c r="V142" s="478"/>
      <c r="W142" s="478"/>
      <c r="X142" s="478"/>
      <c r="Y142" s="478"/>
      <c r="Z142" s="478"/>
    </row>
    <row r="143" spans="1:27" ht="18.75" customHeight="1">
      <c r="A143" s="255" t="str">
        <f>'Budget with Assumptions'!A143</f>
        <v>Insurance</v>
      </c>
      <c r="B143" s="737"/>
      <c r="C143" s="804"/>
      <c r="D143" s="850">
        <f>'Budget with Assumptions'!J143</f>
        <v>0</v>
      </c>
      <c r="E143" s="264"/>
      <c r="F143" s="850">
        <f>'Budget with Assumptions'!L143</f>
        <v>45000</v>
      </c>
      <c r="G143" s="264"/>
      <c r="H143" s="850">
        <f>'Budget with Assumptions'!N143</f>
        <v>47000</v>
      </c>
      <c r="I143" s="264"/>
      <c r="J143" s="850">
        <f>'Budget with Assumptions'!P143</f>
        <v>48000</v>
      </c>
      <c r="K143" s="411"/>
      <c r="L143" s="850">
        <f>'Budget with Assumptions'!R143</f>
        <v>49000</v>
      </c>
      <c r="M143" s="495"/>
      <c r="N143" s="850">
        <f>'Budget with Assumptions'!T143</f>
        <v>50000</v>
      </c>
      <c r="O143" s="809"/>
      <c r="P143" s="103">
        <f t="shared" ref="P143:P155" si="45">F143/$F$159</f>
        <v>1.1711995625023074E-2</v>
      </c>
      <c r="Q143" s="103">
        <f t="shared" ref="Q143:Q155" si="46">H143/$H$159</f>
        <v>1.0009656123588159E-2</v>
      </c>
      <c r="R143" s="103">
        <f t="shared" ref="R143:R155" si="47">J143/$J$159</f>
        <v>8.8903039165812991E-3</v>
      </c>
      <c r="S143" s="103">
        <f t="shared" ref="S143:S155" si="48">L143/$L$159</f>
        <v>8.4241547828553757E-3</v>
      </c>
      <c r="T143" s="103">
        <f t="shared" ref="T143:T155" si="49">N143/$N$159</f>
        <v>7.7163875122655476E-3</v>
      </c>
      <c r="U143" s="809"/>
      <c r="V143" s="299">
        <f t="shared" ref="V143:V155" si="50">F143/$F$178</f>
        <v>100</v>
      </c>
      <c r="W143" s="299">
        <f t="shared" ref="W143:W155" si="51">H143/$H$178</f>
        <v>89.523809523809518</v>
      </c>
      <c r="X143" s="299">
        <f t="shared" ref="X143:X155" si="52">J143/$J$178</f>
        <v>80.672268907563023</v>
      </c>
      <c r="Y143" s="299">
        <f t="shared" ref="Y143:Y155" si="53">L143/$L$178</f>
        <v>73.684210526315795</v>
      </c>
      <c r="Z143" s="299">
        <f t="shared" ref="Z143:Z155" si="54">N143/$N$178</f>
        <v>68.027210884353735</v>
      </c>
      <c r="AA143" s="85"/>
    </row>
    <row r="144" spans="1:27" ht="15.75" customHeight="1">
      <c r="A144" s="90" t="str">
        <f>'Budget with Assumptions'!A144</f>
        <v>Non-Facility Loan Payments (P &amp; I)</v>
      </c>
      <c r="B144" s="640"/>
      <c r="C144" s="511"/>
      <c r="D144" s="850">
        <f>'Budget with Assumptions'!J144</f>
        <v>0</v>
      </c>
      <c r="E144" s="264"/>
      <c r="F144" s="850">
        <f>'Budget with Assumptions'!L144</f>
        <v>56614</v>
      </c>
      <c r="G144" s="264"/>
      <c r="H144" s="850">
        <f>'Budget with Assumptions'!N144</f>
        <v>56614</v>
      </c>
      <c r="I144" s="264"/>
      <c r="J144" s="850">
        <f>'Budget with Assumptions'!P144</f>
        <v>56614</v>
      </c>
      <c r="K144" s="411"/>
      <c r="L144" s="850">
        <f>'Budget with Assumptions'!R144</f>
        <v>56614</v>
      </c>
      <c r="M144" s="495"/>
      <c r="N144" s="850">
        <f>'Budget with Assumptions'!T144</f>
        <v>56614</v>
      </c>
      <c r="O144" s="809"/>
      <c r="P144" s="103">
        <f t="shared" si="45"/>
        <v>1.4734731562556808E-2</v>
      </c>
      <c r="Q144" s="103">
        <f t="shared" si="46"/>
        <v>1.205716322937915E-2</v>
      </c>
      <c r="R144" s="103">
        <f t="shared" si="47"/>
        <v>1.0485743040277785E-2</v>
      </c>
      <c r="S144" s="103">
        <f t="shared" si="48"/>
        <v>9.7331652831953927E-3</v>
      </c>
      <c r="T144" s="103">
        <f t="shared" si="49"/>
        <v>8.7371112523880346E-3</v>
      </c>
      <c r="U144" s="809"/>
      <c r="V144" s="299">
        <f t="shared" si="50"/>
        <v>125.80888888888889</v>
      </c>
      <c r="W144" s="299">
        <f t="shared" si="51"/>
        <v>107.83619047619048</v>
      </c>
      <c r="X144" s="299">
        <f t="shared" si="52"/>
        <v>95.149579831932769</v>
      </c>
      <c r="Y144" s="299">
        <f t="shared" si="53"/>
        <v>85.133834586466165</v>
      </c>
      <c r="Z144" s="299">
        <f t="shared" si="54"/>
        <v>77.02585034013606</v>
      </c>
      <c r="AA144" s="85"/>
    </row>
    <row r="145" spans="1:27" ht="15.75" customHeight="1">
      <c r="A145" s="90" t="str">
        <f>'Budget with Assumptions'!A145</f>
        <v>Fundraising Expense</v>
      </c>
      <c r="B145" s="640"/>
      <c r="C145" s="511"/>
      <c r="D145" s="850">
        <f>'Budget with Assumptions'!J145</f>
        <v>0</v>
      </c>
      <c r="E145" s="264"/>
      <c r="F145" s="850">
        <f>'Budget with Assumptions'!L145</f>
        <v>0</v>
      </c>
      <c r="G145" s="264"/>
      <c r="H145" s="850">
        <f>'Budget with Assumptions'!N145</f>
        <v>0</v>
      </c>
      <c r="I145" s="264"/>
      <c r="J145" s="850">
        <f>'Budget with Assumptions'!P145</f>
        <v>0</v>
      </c>
      <c r="K145" s="411"/>
      <c r="L145" s="850">
        <f>'Budget with Assumptions'!R145</f>
        <v>0</v>
      </c>
      <c r="M145" s="495"/>
      <c r="N145" s="850">
        <f>'Budget with Assumptions'!T145</f>
        <v>0</v>
      </c>
      <c r="O145" s="809"/>
      <c r="P145" s="103">
        <f t="shared" si="45"/>
        <v>0</v>
      </c>
      <c r="Q145" s="103">
        <f t="shared" si="46"/>
        <v>0</v>
      </c>
      <c r="R145" s="103">
        <f t="shared" si="47"/>
        <v>0</v>
      </c>
      <c r="S145" s="103">
        <f t="shared" si="48"/>
        <v>0</v>
      </c>
      <c r="T145" s="103">
        <f t="shared" si="49"/>
        <v>0</v>
      </c>
      <c r="U145" s="809"/>
      <c r="V145" s="299">
        <f t="shared" si="50"/>
        <v>0</v>
      </c>
      <c r="W145" s="299">
        <f t="shared" si="51"/>
        <v>0</v>
      </c>
      <c r="X145" s="299">
        <f t="shared" si="52"/>
        <v>0</v>
      </c>
      <c r="Y145" s="299">
        <f t="shared" si="53"/>
        <v>0</v>
      </c>
      <c r="Z145" s="299">
        <f t="shared" si="54"/>
        <v>0</v>
      </c>
      <c r="AA145" s="85"/>
    </row>
    <row r="146" spans="1:27" ht="15.75" customHeight="1">
      <c r="A146" s="90" t="str">
        <f>'Budget with Assumptions'!A146</f>
        <v>Contingency</v>
      </c>
      <c r="B146" s="640"/>
      <c r="C146" s="511"/>
      <c r="D146" s="850">
        <f>'Budget with Assumptions'!J146</f>
        <v>0</v>
      </c>
      <c r="E146" s="264"/>
      <c r="F146" s="850">
        <f>'Budget with Assumptions'!L146</f>
        <v>0</v>
      </c>
      <c r="G146" s="264"/>
      <c r="H146" s="850">
        <f>'Budget with Assumptions'!N146</f>
        <v>0</v>
      </c>
      <c r="I146" s="264"/>
      <c r="J146" s="850">
        <f>'Budget with Assumptions'!P146</f>
        <v>0</v>
      </c>
      <c r="K146" s="411"/>
      <c r="L146" s="850">
        <f>'Budget with Assumptions'!R146</f>
        <v>0</v>
      </c>
      <c r="M146" s="495"/>
      <c r="N146" s="850">
        <f>'Budget with Assumptions'!T146</f>
        <v>0</v>
      </c>
      <c r="O146" s="809"/>
      <c r="P146" s="103">
        <f t="shared" si="45"/>
        <v>0</v>
      </c>
      <c r="Q146" s="103">
        <f t="shared" si="46"/>
        <v>0</v>
      </c>
      <c r="R146" s="103">
        <f t="shared" si="47"/>
        <v>0</v>
      </c>
      <c r="S146" s="103">
        <f t="shared" si="48"/>
        <v>0</v>
      </c>
      <c r="T146" s="103">
        <f t="shared" si="49"/>
        <v>0</v>
      </c>
      <c r="U146" s="809"/>
      <c r="V146" s="299">
        <f t="shared" si="50"/>
        <v>0</v>
      </c>
      <c r="W146" s="299">
        <f t="shared" si="51"/>
        <v>0</v>
      </c>
      <c r="X146" s="299">
        <f t="shared" si="52"/>
        <v>0</v>
      </c>
      <c r="Y146" s="299">
        <f t="shared" si="53"/>
        <v>0</v>
      </c>
      <c r="Z146" s="299">
        <f t="shared" si="54"/>
        <v>0</v>
      </c>
      <c r="AA146" s="85"/>
    </row>
    <row r="147" spans="1:27" ht="15.75" customHeight="1">
      <c r="A147" s="90" t="str">
        <f>'Budget with Assumptions'!A147</f>
        <v>Replacement Reserve</v>
      </c>
      <c r="B147" s="640"/>
      <c r="C147" s="511"/>
      <c r="D147" s="850">
        <f>'Budget with Assumptions'!J147</f>
        <v>0</v>
      </c>
      <c r="E147" s="264"/>
      <c r="F147" s="850">
        <f>'Budget with Assumptions'!L147</f>
        <v>0</v>
      </c>
      <c r="G147" s="264"/>
      <c r="H147" s="850">
        <f>'Budget with Assumptions'!N147</f>
        <v>0</v>
      </c>
      <c r="I147" s="264"/>
      <c r="J147" s="850">
        <f>'Budget with Assumptions'!P147</f>
        <v>0</v>
      </c>
      <c r="K147" s="411"/>
      <c r="L147" s="850">
        <f>'Budget with Assumptions'!R147</f>
        <v>0</v>
      </c>
      <c r="M147" s="495"/>
      <c r="N147" s="850">
        <f>'Budget with Assumptions'!T147</f>
        <v>0</v>
      </c>
      <c r="O147" s="809"/>
      <c r="P147" s="103">
        <f t="shared" si="45"/>
        <v>0</v>
      </c>
      <c r="Q147" s="103">
        <f t="shared" si="46"/>
        <v>0</v>
      </c>
      <c r="R147" s="103">
        <f t="shared" si="47"/>
        <v>0</v>
      </c>
      <c r="S147" s="103">
        <f t="shared" si="48"/>
        <v>0</v>
      </c>
      <c r="T147" s="103">
        <f t="shared" si="49"/>
        <v>0</v>
      </c>
      <c r="U147" s="809"/>
      <c r="V147" s="299">
        <f t="shared" si="50"/>
        <v>0</v>
      </c>
      <c r="W147" s="299">
        <f t="shared" si="51"/>
        <v>0</v>
      </c>
      <c r="X147" s="299">
        <f t="shared" si="52"/>
        <v>0</v>
      </c>
      <c r="Y147" s="299">
        <f t="shared" si="53"/>
        <v>0</v>
      </c>
      <c r="Z147" s="299">
        <f t="shared" si="54"/>
        <v>0</v>
      </c>
      <c r="AA147" s="85"/>
    </row>
    <row r="148" spans="1:27" ht="15.75" customHeight="1">
      <c r="A148" s="90" t="str">
        <f>'Budget with Assumptions'!A148</f>
        <v>Community Outreach &amp; PR</v>
      </c>
      <c r="B148" s="640"/>
      <c r="C148" s="511"/>
      <c r="D148" s="850">
        <f>'Budget with Assumptions'!J148</f>
        <v>10000</v>
      </c>
      <c r="E148" s="264"/>
      <c r="F148" s="850">
        <f>'Budget with Assumptions'!L148</f>
        <v>15000</v>
      </c>
      <c r="G148" s="264"/>
      <c r="H148" s="850">
        <f>'Budget with Assumptions'!N148</f>
        <v>15000</v>
      </c>
      <c r="I148" s="264"/>
      <c r="J148" s="850">
        <f>'Budget with Assumptions'!P148</f>
        <v>15000</v>
      </c>
      <c r="K148" s="411"/>
      <c r="L148" s="850">
        <f>'Budget with Assumptions'!R148</f>
        <v>15000</v>
      </c>
      <c r="M148" s="495"/>
      <c r="N148" s="850">
        <f>'Budget with Assumptions'!T148</f>
        <v>15000</v>
      </c>
      <c r="O148" s="809"/>
      <c r="P148" s="103">
        <f t="shared" si="45"/>
        <v>3.9039985416743582E-3</v>
      </c>
      <c r="Q148" s="103">
        <f t="shared" si="46"/>
        <v>3.1945711032728167E-3</v>
      </c>
      <c r="R148" s="103">
        <f t="shared" si="47"/>
        <v>2.7782199739316564E-3</v>
      </c>
      <c r="S148" s="103">
        <f t="shared" si="48"/>
        <v>2.5788228927108294E-3</v>
      </c>
      <c r="T148" s="103">
        <f t="shared" si="49"/>
        <v>2.3149162536796643E-3</v>
      </c>
      <c r="U148" s="809"/>
      <c r="V148" s="299">
        <f t="shared" si="50"/>
        <v>33.333333333333336</v>
      </c>
      <c r="W148" s="299">
        <f t="shared" si="51"/>
        <v>28.571428571428573</v>
      </c>
      <c r="X148" s="299">
        <f t="shared" si="52"/>
        <v>25.210084033613445</v>
      </c>
      <c r="Y148" s="299">
        <f t="shared" si="53"/>
        <v>22.556390977443609</v>
      </c>
      <c r="Z148" s="299">
        <f t="shared" si="54"/>
        <v>20.408163265306122</v>
      </c>
      <c r="AA148" s="85"/>
    </row>
    <row r="149" spans="1:27" ht="15.75" customHeight="1">
      <c r="A149" s="90">
        <f>'Budget with Assumptions'!A149</f>
        <v>0</v>
      </c>
      <c r="B149" s="640"/>
      <c r="C149" s="511"/>
      <c r="D149" s="850">
        <f>'Budget with Assumptions'!J149</f>
        <v>0</v>
      </c>
      <c r="E149" s="264"/>
      <c r="F149" s="850">
        <f>'Budget with Assumptions'!L149</f>
        <v>0</v>
      </c>
      <c r="G149" s="264"/>
      <c r="H149" s="850">
        <f>'Budget with Assumptions'!N149</f>
        <v>0</v>
      </c>
      <c r="I149" s="264"/>
      <c r="J149" s="850">
        <f>'Budget with Assumptions'!P149</f>
        <v>0</v>
      </c>
      <c r="K149" s="411"/>
      <c r="L149" s="850">
        <f>'Budget with Assumptions'!R149</f>
        <v>0</v>
      </c>
      <c r="M149" s="495"/>
      <c r="N149" s="850">
        <f>'Budget with Assumptions'!T149</f>
        <v>0</v>
      </c>
      <c r="O149" s="809"/>
      <c r="P149" s="103">
        <f t="shared" si="45"/>
        <v>0</v>
      </c>
      <c r="Q149" s="103">
        <f t="shared" si="46"/>
        <v>0</v>
      </c>
      <c r="R149" s="103">
        <f t="shared" si="47"/>
        <v>0</v>
      </c>
      <c r="S149" s="103">
        <f t="shared" si="48"/>
        <v>0</v>
      </c>
      <c r="T149" s="103">
        <f t="shared" si="49"/>
        <v>0</v>
      </c>
      <c r="U149" s="809"/>
      <c r="V149" s="299">
        <f t="shared" si="50"/>
        <v>0</v>
      </c>
      <c r="W149" s="299">
        <f t="shared" si="51"/>
        <v>0</v>
      </c>
      <c r="X149" s="299">
        <f t="shared" si="52"/>
        <v>0</v>
      </c>
      <c r="Y149" s="299">
        <f t="shared" si="53"/>
        <v>0</v>
      </c>
      <c r="Z149" s="299">
        <f t="shared" si="54"/>
        <v>0</v>
      </c>
      <c r="AA149" s="85"/>
    </row>
    <row r="150" spans="1:27" ht="15.75" customHeight="1">
      <c r="A150" s="90">
        <f>'Budget with Assumptions'!A150</f>
        <v>0</v>
      </c>
      <c r="B150" s="640"/>
      <c r="C150" s="511"/>
      <c r="D150" s="850">
        <f>'Budget with Assumptions'!J150</f>
        <v>0</v>
      </c>
      <c r="E150" s="264"/>
      <c r="F150" s="850">
        <f>'Budget with Assumptions'!L150</f>
        <v>0</v>
      </c>
      <c r="G150" s="264"/>
      <c r="H150" s="850">
        <f>'Budget with Assumptions'!N150</f>
        <v>0</v>
      </c>
      <c r="I150" s="264"/>
      <c r="J150" s="850">
        <f>'Budget with Assumptions'!P150</f>
        <v>0</v>
      </c>
      <c r="K150" s="411"/>
      <c r="L150" s="850">
        <f>'Budget with Assumptions'!R150</f>
        <v>0</v>
      </c>
      <c r="M150" s="495"/>
      <c r="N150" s="850">
        <f>'Budget with Assumptions'!T150</f>
        <v>0</v>
      </c>
      <c r="O150" s="809"/>
      <c r="P150" s="103">
        <f t="shared" si="45"/>
        <v>0</v>
      </c>
      <c r="Q150" s="103">
        <f t="shared" si="46"/>
        <v>0</v>
      </c>
      <c r="R150" s="103">
        <f t="shared" si="47"/>
        <v>0</v>
      </c>
      <c r="S150" s="103">
        <f t="shared" si="48"/>
        <v>0</v>
      </c>
      <c r="T150" s="103">
        <f t="shared" si="49"/>
        <v>0</v>
      </c>
      <c r="U150" s="809"/>
      <c r="V150" s="299">
        <f t="shared" si="50"/>
        <v>0</v>
      </c>
      <c r="W150" s="299">
        <f t="shared" si="51"/>
        <v>0</v>
      </c>
      <c r="X150" s="299">
        <f t="shared" si="52"/>
        <v>0</v>
      </c>
      <c r="Y150" s="299">
        <f t="shared" si="53"/>
        <v>0</v>
      </c>
      <c r="Z150" s="299">
        <f t="shared" si="54"/>
        <v>0</v>
      </c>
      <c r="AA150" s="85"/>
    </row>
    <row r="151" spans="1:27" ht="15.75" customHeight="1">
      <c r="A151" s="90">
        <f>'Budget with Assumptions'!A151</f>
        <v>0</v>
      </c>
      <c r="B151" s="640"/>
      <c r="C151" s="511"/>
      <c r="D151" s="850">
        <f>'Budget with Assumptions'!J151</f>
        <v>0</v>
      </c>
      <c r="E151" s="264"/>
      <c r="F151" s="850">
        <f>'Budget with Assumptions'!L151</f>
        <v>0</v>
      </c>
      <c r="G151" s="264"/>
      <c r="H151" s="850">
        <f>'Budget with Assumptions'!N151</f>
        <v>0</v>
      </c>
      <c r="I151" s="264"/>
      <c r="J151" s="850">
        <f>'Budget with Assumptions'!P151</f>
        <v>0</v>
      </c>
      <c r="K151" s="411"/>
      <c r="L151" s="850">
        <f>'Budget with Assumptions'!R151</f>
        <v>0</v>
      </c>
      <c r="M151" s="495"/>
      <c r="N151" s="850">
        <f>'Budget with Assumptions'!T151</f>
        <v>0</v>
      </c>
      <c r="O151" s="809"/>
      <c r="P151" s="103">
        <f t="shared" si="45"/>
        <v>0</v>
      </c>
      <c r="Q151" s="103">
        <f t="shared" si="46"/>
        <v>0</v>
      </c>
      <c r="R151" s="103">
        <f t="shared" si="47"/>
        <v>0</v>
      </c>
      <c r="S151" s="103">
        <f t="shared" si="48"/>
        <v>0</v>
      </c>
      <c r="T151" s="103">
        <f t="shared" si="49"/>
        <v>0</v>
      </c>
      <c r="U151" s="809"/>
      <c r="V151" s="299">
        <f t="shared" si="50"/>
        <v>0</v>
      </c>
      <c r="W151" s="299">
        <f t="shared" si="51"/>
        <v>0</v>
      </c>
      <c r="X151" s="299">
        <f t="shared" si="52"/>
        <v>0</v>
      </c>
      <c r="Y151" s="299">
        <f t="shared" si="53"/>
        <v>0</v>
      </c>
      <c r="Z151" s="299">
        <f t="shared" si="54"/>
        <v>0</v>
      </c>
      <c r="AA151" s="85"/>
    </row>
    <row r="152" spans="1:27" ht="15.75" customHeight="1">
      <c r="A152" s="90">
        <f>'Budget with Assumptions'!A152</f>
        <v>0</v>
      </c>
      <c r="B152" s="640"/>
      <c r="C152" s="511"/>
      <c r="D152" s="850">
        <f>'Budget with Assumptions'!J152</f>
        <v>0</v>
      </c>
      <c r="E152" s="264"/>
      <c r="F152" s="850">
        <f>'Budget with Assumptions'!L152</f>
        <v>0</v>
      </c>
      <c r="G152" s="264"/>
      <c r="H152" s="850">
        <f>'Budget with Assumptions'!N152</f>
        <v>0</v>
      </c>
      <c r="I152" s="264"/>
      <c r="J152" s="850">
        <f>'Budget with Assumptions'!P152</f>
        <v>0</v>
      </c>
      <c r="K152" s="411"/>
      <c r="L152" s="850">
        <f>'Budget with Assumptions'!R152</f>
        <v>0</v>
      </c>
      <c r="M152" s="495"/>
      <c r="N152" s="850">
        <f>'Budget with Assumptions'!T152</f>
        <v>0</v>
      </c>
      <c r="O152" s="809"/>
      <c r="P152" s="103">
        <f t="shared" si="45"/>
        <v>0</v>
      </c>
      <c r="Q152" s="103">
        <f t="shared" si="46"/>
        <v>0</v>
      </c>
      <c r="R152" s="103">
        <f t="shared" si="47"/>
        <v>0</v>
      </c>
      <c r="S152" s="103">
        <f t="shared" si="48"/>
        <v>0</v>
      </c>
      <c r="T152" s="103">
        <f t="shared" si="49"/>
        <v>0</v>
      </c>
      <c r="U152" s="809"/>
      <c r="V152" s="299">
        <f t="shared" si="50"/>
        <v>0</v>
      </c>
      <c r="W152" s="299">
        <f t="shared" si="51"/>
        <v>0</v>
      </c>
      <c r="X152" s="299">
        <f t="shared" si="52"/>
        <v>0</v>
      </c>
      <c r="Y152" s="299">
        <f t="shared" si="53"/>
        <v>0</v>
      </c>
      <c r="Z152" s="299">
        <f t="shared" si="54"/>
        <v>0</v>
      </c>
      <c r="AA152" s="85"/>
    </row>
    <row r="153" spans="1:27" ht="15.75" customHeight="1">
      <c r="A153" s="90">
        <f>'Budget with Assumptions'!A153</f>
        <v>0</v>
      </c>
      <c r="B153" s="640"/>
      <c r="C153" s="511"/>
      <c r="D153" s="850">
        <f>'Budget with Assumptions'!J153</f>
        <v>0</v>
      </c>
      <c r="E153" s="264"/>
      <c r="F153" s="850">
        <f>'Budget with Assumptions'!L153</f>
        <v>0</v>
      </c>
      <c r="G153" s="264"/>
      <c r="H153" s="850">
        <f>'Budget with Assumptions'!N153</f>
        <v>0</v>
      </c>
      <c r="I153" s="264"/>
      <c r="J153" s="850">
        <f>'Budget with Assumptions'!P153</f>
        <v>0</v>
      </c>
      <c r="K153" s="411"/>
      <c r="L153" s="850">
        <f>'Budget with Assumptions'!R153</f>
        <v>0</v>
      </c>
      <c r="M153" s="495"/>
      <c r="N153" s="850">
        <f>'Budget with Assumptions'!T153</f>
        <v>0</v>
      </c>
      <c r="O153" s="809"/>
      <c r="P153" s="103">
        <f t="shared" si="45"/>
        <v>0</v>
      </c>
      <c r="Q153" s="103">
        <f t="shared" si="46"/>
        <v>0</v>
      </c>
      <c r="R153" s="103">
        <f t="shared" si="47"/>
        <v>0</v>
      </c>
      <c r="S153" s="103">
        <f t="shared" si="48"/>
        <v>0</v>
      </c>
      <c r="T153" s="103">
        <f t="shared" si="49"/>
        <v>0</v>
      </c>
      <c r="U153" s="809"/>
      <c r="V153" s="299">
        <f t="shared" si="50"/>
        <v>0</v>
      </c>
      <c r="W153" s="299">
        <f t="shared" si="51"/>
        <v>0</v>
      </c>
      <c r="X153" s="299">
        <f t="shared" si="52"/>
        <v>0</v>
      </c>
      <c r="Y153" s="299">
        <f t="shared" si="53"/>
        <v>0</v>
      </c>
      <c r="Z153" s="299">
        <f t="shared" si="54"/>
        <v>0</v>
      </c>
      <c r="AA153" s="85"/>
    </row>
    <row r="154" spans="1:27" ht="15.75" customHeight="1">
      <c r="A154" s="90">
        <f>'Budget with Assumptions'!A154</f>
        <v>0</v>
      </c>
      <c r="B154" s="640"/>
      <c r="C154" s="511"/>
      <c r="D154" s="850">
        <f>'Budget with Assumptions'!J154</f>
        <v>0</v>
      </c>
      <c r="E154" s="264"/>
      <c r="F154" s="850">
        <f>'Budget with Assumptions'!L154</f>
        <v>0</v>
      </c>
      <c r="G154" s="264"/>
      <c r="H154" s="850">
        <f>'Budget with Assumptions'!N154</f>
        <v>0</v>
      </c>
      <c r="I154" s="264"/>
      <c r="J154" s="850">
        <f>'Budget with Assumptions'!P154</f>
        <v>0</v>
      </c>
      <c r="K154" s="411"/>
      <c r="L154" s="850">
        <f>'Budget with Assumptions'!R154</f>
        <v>0</v>
      </c>
      <c r="M154" s="495"/>
      <c r="N154" s="850">
        <f>'Budget with Assumptions'!T154</f>
        <v>0</v>
      </c>
      <c r="O154" s="809"/>
      <c r="P154" s="103">
        <f t="shared" si="45"/>
        <v>0</v>
      </c>
      <c r="Q154" s="103">
        <f t="shared" si="46"/>
        <v>0</v>
      </c>
      <c r="R154" s="103">
        <f t="shared" si="47"/>
        <v>0</v>
      </c>
      <c r="S154" s="103">
        <f t="shared" si="48"/>
        <v>0</v>
      </c>
      <c r="T154" s="103">
        <f t="shared" si="49"/>
        <v>0</v>
      </c>
      <c r="U154" s="809"/>
      <c r="V154" s="299">
        <f t="shared" si="50"/>
        <v>0</v>
      </c>
      <c r="W154" s="299">
        <f t="shared" si="51"/>
        <v>0</v>
      </c>
      <c r="X154" s="299">
        <f t="shared" si="52"/>
        <v>0</v>
      </c>
      <c r="Y154" s="299">
        <f t="shared" si="53"/>
        <v>0</v>
      </c>
      <c r="Z154" s="299">
        <f t="shared" si="54"/>
        <v>0</v>
      </c>
      <c r="AA154" s="85"/>
    </row>
    <row r="155" spans="1:27" ht="15.75" customHeight="1">
      <c r="A155" s="90">
        <f>'Budget with Assumptions'!A155</f>
        <v>0</v>
      </c>
      <c r="B155" s="640"/>
      <c r="C155" s="511"/>
      <c r="D155" s="850">
        <f>'Budget with Assumptions'!J155</f>
        <v>0</v>
      </c>
      <c r="E155" s="264"/>
      <c r="F155" s="850">
        <f>'Budget with Assumptions'!L155</f>
        <v>0</v>
      </c>
      <c r="G155" s="264"/>
      <c r="H155" s="850">
        <f>'Budget with Assumptions'!N155</f>
        <v>0</v>
      </c>
      <c r="I155" s="264"/>
      <c r="J155" s="850">
        <f>'Budget with Assumptions'!P155</f>
        <v>0</v>
      </c>
      <c r="K155" s="411"/>
      <c r="L155" s="850">
        <f>'Budget with Assumptions'!R155</f>
        <v>0</v>
      </c>
      <c r="M155" s="495"/>
      <c r="N155" s="850">
        <f>'Budget with Assumptions'!T155</f>
        <v>0</v>
      </c>
      <c r="O155" s="809"/>
      <c r="P155" s="103">
        <f t="shared" si="45"/>
        <v>0</v>
      </c>
      <c r="Q155" s="103">
        <f t="shared" si="46"/>
        <v>0</v>
      </c>
      <c r="R155" s="103">
        <f t="shared" si="47"/>
        <v>0</v>
      </c>
      <c r="S155" s="103">
        <f t="shared" si="48"/>
        <v>0</v>
      </c>
      <c r="T155" s="103">
        <f t="shared" si="49"/>
        <v>0</v>
      </c>
      <c r="U155" s="809"/>
      <c r="V155" s="299">
        <f t="shared" si="50"/>
        <v>0</v>
      </c>
      <c r="W155" s="299">
        <f t="shared" si="51"/>
        <v>0</v>
      </c>
      <c r="X155" s="299">
        <f t="shared" si="52"/>
        <v>0</v>
      </c>
      <c r="Y155" s="299">
        <f t="shared" si="53"/>
        <v>0</v>
      </c>
      <c r="Z155" s="299">
        <f t="shared" si="54"/>
        <v>0</v>
      </c>
      <c r="AA155" s="85"/>
    </row>
    <row r="156" spans="1:27" ht="16.5" customHeight="1">
      <c r="A156" s="331"/>
      <c r="B156" s="466"/>
      <c r="C156" s="466"/>
      <c r="D156" s="321"/>
      <c r="E156" s="65"/>
      <c r="F156" s="321"/>
      <c r="G156" s="65"/>
      <c r="H156" s="321"/>
      <c r="I156" s="65"/>
      <c r="J156" s="321"/>
      <c r="K156" s="732"/>
      <c r="L156" s="423"/>
      <c r="M156" s="402"/>
      <c r="N156" s="423"/>
      <c r="P156" s="522"/>
      <c r="Q156" s="522"/>
      <c r="R156" s="522"/>
      <c r="S156" s="522"/>
      <c r="T156" s="522"/>
      <c r="V156" s="748"/>
      <c r="W156" s="748"/>
      <c r="X156" s="748"/>
      <c r="Y156" s="748"/>
      <c r="Z156" s="748"/>
    </row>
    <row r="157" spans="1:27" ht="16.5" customHeight="1">
      <c r="A157" s="564" t="s">
        <v>97</v>
      </c>
      <c r="B157" s="683"/>
      <c r="C157" s="389"/>
      <c r="D157" s="610">
        <f>SUM(D143:D155)</f>
        <v>10000</v>
      </c>
      <c r="E157" s="300"/>
      <c r="F157" s="610">
        <f>SUM(F143:F155)</f>
        <v>116614</v>
      </c>
      <c r="G157" s="300"/>
      <c r="H157" s="610">
        <f>SUM(H143:H155)</f>
        <v>118614</v>
      </c>
      <c r="I157" s="300"/>
      <c r="J157" s="610">
        <f>SUM(J143:J155)</f>
        <v>119614</v>
      </c>
      <c r="K157" s="302"/>
      <c r="L157" s="610">
        <f>SUM(L143:L155)</f>
        <v>120614</v>
      </c>
      <c r="M157" s="154"/>
      <c r="N157" s="610">
        <f>SUM(N143:N155)</f>
        <v>121614</v>
      </c>
      <c r="O157" s="550"/>
      <c r="P157" s="379">
        <f>SUM(P143:P155)</f>
        <v>3.0350725729254239E-2</v>
      </c>
      <c r="Q157" s="379">
        <f>SUM(Q143:Q155)</f>
        <v>2.5261390456240127E-2</v>
      </c>
      <c r="R157" s="379">
        <f>SUM(R143:R155)</f>
        <v>2.2154266930790742E-2</v>
      </c>
      <c r="S157" s="379">
        <f>SUM(S143:S155)</f>
        <v>2.0736142958761597E-2</v>
      </c>
      <c r="T157" s="379">
        <f>SUM(T143:T155)</f>
        <v>1.8768415018333245E-2</v>
      </c>
      <c r="U157" s="550"/>
      <c r="V157" s="490">
        <f>SUM(V143:V155)</f>
        <v>259.14222222222219</v>
      </c>
      <c r="W157" s="490">
        <f>SUM(W143:W155)</f>
        <v>225.9314285714286</v>
      </c>
      <c r="X157" s="490">
        <f>SUM(X143:X155)</f>
        <v>201.03193277310925</v>
      </c>
      <c r="Y157" s="490">
        <f>SUM(Y143:Y155)</f>
        <v>181.37443609022557</v>
      </c>
      <c r="Z157" s="490">
        <f>SUM(Z143:Z155)</f>
        <v>165.46122448979591</v>
      </c>
      <c r="AA157" s="676"/>
    </row>
    <row r="158" spans="1:27" ht="16.5" customHeight="1">
      <c r="A158" s="194"/>
      <c r="B158" s="509"/>
      <c r="C158" s="509"/>
      <c r="D158" s="27"/>
      <c r="E158" s="151"/>
      <c r="F158" s="27"/>
      <c r="G158" s="151"/>
      <c r="H158" s="27"/>
      <c r="I158" s="151"/>
      <c r="J158" s="27"/>
      <c r="L158" s="27"/>
      <c r="N158" s="27"/>
      <c r="P158" s="51"/>
      <c r="Q158" s="51"/>
      <c r="R158" s="51"/>
      <c r="S158" s="51"/>
      <c r="T158" s="51"/>
      <c r="V158" s="27"/>
      <c r="W158" s="27"/>
      <c r="X158" s="27"/>
      <c r="Y158" s="27"/>
      <c r="Z158" s="27"/>
    </row>
    <row r="159" spans="1:27" ht="16.5" customHeight="1">
      <c r="A159" s="564" t="s">
        <v>98</v>
      </c>
      <c r="B159" s="613"/>
      <c r="C159" s="567"/>
      <c r="D159" s="610">
        <f>((((D64+D92)+D116)+D138)+D140)+D157</f>
        <v>232460.44</v>
      </c>
      <c r="E159" s="300"/>
      <c r="F159" s="610">
        <f>((((F64+F92)+F116)+F138)+F140)+F157</f>
        <v>3842214.55</v>
      </c>
      <c r="G159" s="300"/>
      <c r="H159" s="610">
        <f>((((H64+H92)+H116)+H138)+H140)+H157</f>
        <v>4695466</v>
      </c>
      <c r="I159" s="300"/>
      <c r="J159" s="610">
        <f>((((J64+J92)+J116)+J138)+J140)+J157</f>
        <v>5399140.5075000003</v>
      </c>
      <c r="K159" s="302"/>
      <c r="L159" s="610">
        <f>((((L64+L92)+L116)+L138)+L140)+L157</f>
        <v>5816607.2755124997</v>
      </c>
      <c r="M159" s="154"/>
      <c r="N159" s="610">
        <f>((((N64+N92)+N116)+N138)+N140)+N157</f>
        <v>6479716.0485424995</v>
      </c>
      <c r="O159" s="550"/>
      <c r="P159" s="513">
        <f>((((P64+P92)+P116)+P138)+P140)+P157</f>
        <v>0.99999999999999989</v>
      </c>
      <c r="Q159" s="513">
        <f>((((Q64+Q92)+Q116)+Q138)+Q140)+Q157</f>
        <v>0.99999999999999989</v>
      </c>
      <c r="R159" s="513">
        <f>((((R64+R92)+R116)+R138)+R140)+R157</f>
        <v>0.99999999999999989</v>
      </c>
      <c r="S159" s="513">
        <f>((((S64+S92)+S116)+S138)+S140)+S157</f>
        <v>1.0000000000000002</v>
      </c>
      <c r="T159" s="513">
        <f>((((T64+T92)+T116)+T138)+T140)+T157</f>
        <v>1.0000000000000002</v>
      </c>
      <c r="U159" s="550"/>
      <c r="V159" s="793">
        <f>((((V64+V92)+V116)+V138)+V140)+V157</f>
        <v>8538.2545555555571</v>
      </c>
      <c r="W159" s="793">
        <f>((((W64+W92)+W116)+W138)+W140)+W157</f>
        <v>8943.7447619047634</v>
      </c>
      <c r="X159" s="793">
        <f>((((X64+X92)+X116)+X138)+X140)+X157</f>
        <v>9074.185726890757</v>
      </c>
      <c r="Y159" s="793">
        <f>((((Y64+Y92)+Y116)+Y138)+Y140)+Y157</f>
        <v>8746.7778579135338</v>
      </c>
      <c r="Z159" s="793">
        <f>((((Z64+Z92)+Z116)+Z138)+Z140)+Z157</f>
        <v>8815.9402020986399</v>
      </c>
      <c r="AA159" s="676"/>
    </row>
    <row r="160" spans="1:27" ht="16.5" customHeight="1">
      <c r="A160" s="191"/>
      <c r="B160" s="509"/>
      <c r="C160" s="509"/>
      <c r="D160" s="27"/>
      <c r="E160" s="151"/>
      <c r="F160" s="27"/>
      <c r="G160" s="151"/>
      <c r="H160" s="27"/>
      <c r="I160" s="151"/>
      <c r="J160" s="27"/>
      <c r="L160" s="27"/>
      <c r="N160" s="27"/>
      <c r="P160" s="391"/>
      <c r="Q160" s="391"/>
      <c r="R160" s="391"/>
      <c r="S160" s="391"/>
      <c r="T160" s="391"/>
      <c r="V160" s="391"/>
      <c r="W160" s="391"/>
      <c r="X160" s="391"/>
      <c r="Y160" s="391"/>
      <c r="Z160" s="391"/>
    </row>
    <row r="161" spans="1:26" ht="16.5" customHeight="1">
      <c r="A161" s="106" t="s">
        <v>99</v>
      </c>
      <c r="B161" s="613"/>
      <c r="C161" s="567"/>
      <c r="D161" s="130">
        <f>D35-D159</f>
        <v>252539.56</v>
      </c>
      <c r="E161" s="799"/>
      <c r="F161" s="130">
        <f>F35-F159</f>
        <v>839343.95000000019</v>
      </c>
      <c r="G161" s="799"/>
      <c r="H161" s="130">
        <f>H35-H159</f>
        <v>195438.16000000015</v>
      </c>
      <c r="I161" s="300"/>
      <c r="J161" s="130">
        <f>J35-J159</f>
        <v>168743.09249999933</v>
      </c>
      <c r="K161" s="302"/>
      <c r="L161" s="130">
        <f>L35-L159</f>
        <v>465838.92448750045</v>
      </c>
      <c r="M161" s="188"/>
      <c r="N161" s="130">
        <f>N35-N159</f>
        <v>557082.75145750027</v>
      </c>
      <c r="O161" s="676"/>
    </row>
    <row r="162" spans="1:26" ht="16.5" customHeight="1">
      <c r="A162" s="191"/>
      <c r="B162" s="215"/>
      <c r="C162" s="53"/>
      <c r="D162" s="55"/>
      <c r="E162" s="53"/>
      <c r="F162" s="55"/>
      <c r="G162" s="53"/>
      <c r="H162" s="55"/>
      <c r="I162" s="53"/>
      <c r="J162" s="55"/>
      <c r="K162" s="767"/>
      <c r="L162" s="55"/>
      <c r="M162" s="402"/>
      <c r="N162" s="55"/>
      <c r="V162" s="837"/>
      <c r="W162" s="837"/>
      <c r="X162" s="837"/>
      <c r="Y162" s="837"/>
      <c r="Z162" s="837"/>
    </row>
    <row r="163" spans="1:26" ht="16.5" customHeight="1">
      <c r="A163" s="798" t="s">
        <v>12</v>
      </c>
      <c r="B163" s="221"/>
      <c r="C163" s="685"/>
      <c r="D163" s="484">
        <f>0</f>
        <v>0</v>
      </c>
      <c r="E163" s="68"/>
      <c r="F163" s="641">
        <f>D165</f>
        <v>252539.56</v>
      </c>
      <c r="G163" s="62"/>
      <c r="H163" s="641">
        <f>F165</f>
        <v>1091883.5100000002</v>
      </c>
      <c r="I163" s="62"/>
      <c r="J163" s="641">
        <f>H165</f>
        <v>1287321.6700000004</v>
      </c>
      <c r="K163" s="487"/>
      <c r="L163" s="641">
        <f>J165</f>
        <v>1456064.7624999997</v>
      </c>
      <c r="M163" s="487"/>
      <c r="N163" s="641">
        <f>L165</f>
        <v>1921903.6869875002</v>
      </c>
      <c r="O163" s="676"/>
      <c r="V163" s="837"/>
      <c r="W163" s="837"/>
      <c r="X163" s="837"/>
      <c r="Y163" s="837"/>
      <c r="Z163" s="837"/>
    </row>
    <row r="164" spans="1:26" ht="16.5" customHeight="1">
      <c r="A164" s="798" t="s">
        <v>13</v>
      </c>
      <c r="B164" s="221"/>
      <c r="C164" s="685"/>
      <c r="D164" s="641">
        <f>D161</f>
        <v>252539.56</v>
      </c>
      <c r="E164" s="68"/>
      <c r="F164" s="641">
        <f>F161</f>
        <v>839343.95000000019</v>
      </c>
      <c r="G164" s="62"/>
      <c r="H164" s="641">
        <f>H161</f>
        <v>195438.16000000015</v>
      </c>
      <c r="I164" s="62"/>
      <c r="J164" s="641">
        <f>J161</f>
        <v>168743.09249999933</v>
      </c>
      <c r="K164" s="487"/>
      <c r="L164" s="641">
        <f>L161</f>
        <v>465838.92448750045</v>
      </c>
      <c r="M164" s="487"/>
      <c r="N164" s="641">
        <f>N161</f>
        <v>557082.75145750027</v>
      </c>
      <c r="O164" s="676"/>
    </row>
    <row r="165" spans="1:26" ht="16.5" customHeight="1">
      <c r="A165" s="474" t="s">
        <v>14</v>
      </c>
      <c r="B165" s="245"/>
      <c r="C165" s="649"/>
      <c r="D165" s="641">
        <f>D163+D164</f>
        <v>252539.56</v>
      </c>
      <c r="E165" s="22"/>
      <c r="F165" s="641">
        <f>F163+F164</f>
        <v>1091883.5100000002</v>
      </c>
      <c r="G165" s="742"/>
      <c r="H165" s="641">
        <f>H163+H164</f>
        <v>1287321.6700000004</v>
      </c>
      <c r="I165" s="742"/>
      <c r="J165" s="641">
        <f>J163+J164</f>
        <v>1456064.7624999997</v>
      </c>
      <c r="K165" s="188"/>
      <c r="L165" s="641">
        <f>L163+L164</f>
        <v>1921903.6869875002</v>
      </c>
      <c r="M165" s="487"/>
      <c r="N165" s="641">
        <f>N163+N164</f>
        <v>2478986.4384450004</v>
      </c>
      <c r="O165" s="676"/>
    </row>
    <row r="166" spans="1:26" ht="15.75" customHeight="1">
      <c r="A166" s="658"/>
      <c r="B166" s="688"/>
      <c r="C166" s="688"/>
      <c r="D166" s="589"/>
      <c r="E166" s="215"/>
      <c r="F166" s="589"/>
      <c r="G166" s="215"/>
      <c r="H166" s="589"/>
      <c r="I166" s="215"/>
      <c r="J166" s="589"/>
      <c r="K166" s="60"/>
      <c r="L166" s="589"/>
      <c r="M166" s="402"/>
      <c r="N166" s="391"/>
    </row>
    <row r="167" spans="1:26" ht="15.75" customHeight="1">
      <c r="A167" s="215"/>
      <c r="B167" s="215"/>
      <c r="C167" s="215"/>
      <c r="D167" s="151"/>
      <c r="E167" s="151"/>
      <c r="F167" s="151"/>
      <c r="G167" s="151"/>
      <c r="H167" s="151"/>
      <c r="I167" s="151"/>
      <c r="J167" s="151"/>
      <c r="L167" s="151"/>
      <c r="N167" s="151"/>
    </row>
    <row r="168" spans="1:26" ht="15.75" customHeight="1">
      <c r="A168" s="215"/>
      <c r="B168" s="215"/>
      <c r="C168" s="215"/>
      <c r="D168" s="693"/>
      <c r="E168" s="215"/>
      <c r="F168" s="693"/>
      <c r="G168" s="215"/>
      <c r="H168" s="693"/>
      <c r="I168" s="215"/>
      <c r="J168" s="693"/>
      <c r="K168" s="60"/>
      <c r="L168" s="693"/>
      <c r="M168" s="402"/>
      <c r="N168" s="151"/>
    </row>
    <row r="169" spans="1:26" ht="15.75" customHeight="1">
      <c r="A169" s="151"/>
      <c r="B169" s="215"/>
      <c r="C169" s="215"/>
      <c r="D169" s="693"/>
      <c r="E169" s="215"/>
      <c r="F169" s="693"/>
      <c r="G169" s="215"/>
      <c r="H169" s="693"/>
      <c r="I169" s="215"/>
      <c r="J169" s="693"/>
      <c r="K169" s="60"/>
      <c r="L169" s="693"/>
      <c r="M169" s="402"/>
      <c r="N169" s="151"/>
    </row>
    <row r="170" spans="1:26">
      <c r="A170" s="151"/>
      <c r="B170" s="151"/>
      <c r="C170" s="151"/>
      <c r="D170" s="151"/>
      <c r="E170" s="151"/>
      <c r="F170" s="151"/>
      <c r="G170" s="151"/>
      <c r="H170" s="151"/>
      <c r="I170" s="151"/>
      <c r="J170" s="151"/>
      <c r="L170" s="151"/>
      <c r="N170" s="151"/>
      <c r="P170" s="151"/>
      <c r="Q170" s="151"/>
      <c r="R170" s="151"/>
      <c r="S170" s="151"/>
      <c r="T170" s="151"/>
    </row>
    <row r="171" spans="1:26">
      <c r="A171" s="151"/>
      <c r="B171" s="151"/>
      <c r="C171" s="151"/>
      <c r="D171" s="151"/>
      <c r="E171" s="151"/>
      <c r="F171" s="151"/>
      <c r="G171" s="151"/>
      <c r="H171" s="151"/>
      <c r="I171" s="151"/>
      <c r="J171" s="151"/>
      <c r="L171" s="151"/>
      <c r="N171" s="151"/>
      <c r="P171" s="151"/>
      <c r="Q171" s="151"/>
      <c r="R171" s="151"/>
      <c r="S171" s="151"/>
      <c r="T171" s="151"/>
    </row>
    <row r="172" spans="1:26">
      <c r="A172" s="151"/>
      <c r="B172" s="151"/>
      <c r="C172" s="518"/>
      <c r="D172" s="151"/>
      <c r="E172" s="151"/>
      <c r="F172" s="151"/>
      <c r="G172" s="151"/>
      <c r="H172" s="151"/>
      <c r="I172" s="151"/>
      <c r="J172" s="151"/>
      <c r="L172" s="151"/>
      <c r="N172" s="151"/>
      <c r="P172" s="151"/>
      <c r="Q172" s="151"/>
      <c r="R172" s="151"/>
      <c r="S172" s="151"/>
      <c r="T172" s="151"/>
    </row>
    <row r="173" spans="1:26" ht="13.5" customHeight="1">
      <c r="A173" s="151"/>
      <c r="B173" s="151"/>
      <c r="C173" s="518"/>
      <c r="D173" s="456"/>
      <c r="E173" s="456"/>
      <c r="F173" s="456"/>
      <c r="G173" s="456"/>
      <c r="H173" s="456"/>
      <c r="I173" s="456"/>
      <c r="J173" s="456"/>
      <c r="K173" s="229"/>
      <c r="L173" s="456"/>
      <c r="M173" s="229"/>
      <c r="N173" s="456"/>
      <c r="P173" s="151"/>
      <c r="Q173" s="151"/>
      <c r="R173" s="151"/>
      <c r="S173" s="151"/>
      <c r="T173" s="151"/>
    </row>
    <row r="174" spans="1:26" ht="13.5" customHeight="1">
      <c r="A174" s="151"/>
      <c r="B174" s="151"/>
      <c r="C174" s="739"/>
      <c r="D174" s="915" t="s">
        <v>15</v>
      </c>
      <c r="E174" s="916"/>
      <c r="F174" s="916"/>
      <c r="G174" s="916"/>
      <c r="H174" s="916"/>
      <c r="I174" s="916"/>
      <c r="J174" s="916"/>
      <c r="K174" s="916"/>
      <c r="L174" s="916"/>
      <c r="M174" s="916"/>
      <c r="N174" s="874"/>
      <c r="O174" s="676"/>
      <c r="P174" s="151"/>
      <c r="Q174" s="151"/>
      <c r="R174" s="151"/>
      <c r="S174" s="151"/>
      <c r="T174" s="151"/>
    </row>
    <row r="175" spans="1:26" ht="16.5" customHeight="1">
      <c r="A175" s="151"/>
      <c r="B175" s="151"/>
      <c r="C175" s="582"/>
      <c r="D175" s="407" t="s">
        <v>484</v>
      </c>
      <c r="E175" s="496"/>
      <c r="F175" s="841">
        <f>F9</f>
        <v>1</v>
      </c>
      <c r="G175" s="20"/>
      <c r="H175" s="841">
        <f>H9</f>
        <v>2</v>
      </c>
      <c r="I175" s="20"/>
      <c r="J175" s="841">
        <f>J9</f>
        <v>3</v>
      </c>
      <c r="K175" s="20"/>
      <c r="L175" s="841">
        <f>L9</f>
        <v>4</v>
      </c>
      <c r="M175" s="20"/>
      <c r="N175" s="841">
        <f>N9</f>
        <v>5</v>
      </c>
      <c r="O175" s="676"/>
      <c r="P175" s="151"/>
      <c r="Q175" s="151"/>
      <c r="R175" s="151"/>
      <c r="S175" s="151"/>
      <c r="T175" s="151"/>
    </row>
    <row r="176" spans="1:26" ht="40.5" customHeight="1">
      <c r="A176" s="151"/>
      <c r="B176" s="151"/>
      <c r="C176" s="400"/>
      <c r="D176" s="407" t="s">
        <v>2</v>
      </c>
      <c r="E176" s="211"/>
      <c r="F176" s="787">
        <f>Personnel!G191</f>
        <v>47.5</v>
      </c>
      <c r="G176" s="496"/>
      <c r="H176" s="787">
        <f>Personnel!I191</f>
        <v>56.5</v>
      </c>
      <c r="I176" s="496"/>
      <c r="J176" s="787">
        <f>Personnel!K191</f>
        <v>63.5</v>
      </c>
      <c r="K176" s="496"/>
      <c r="L176" s="787">
        <f>Personnel!M191</f>
        <v>69</v>
      </c>
      <c r="M176" s="496"/>
      <c r="N176" s="787">
        <f>Personnel!O191</f>
        <v>78</v>
      </c>
      <c r="O176" s="676"/>
      <c r="P176" s="151"/>
      <c r="Q176" s="151"/>
      <c r="R176" s="151"/>
      <c r="S176" s="151"/>
      <c r="T176" s="151"/>
    </row>
    <row r="177" spans="1:20" ht="40.5" customHeight="1">
      <c r="A177" s="151"/>
      <c r="B177" s="151"/>
      <c r="C177" s="400"/>
      <c r="D177" s="407" t="s">
        <v>3</v>
      </c>
      <c r="E177" s="211"/>
      <c r="F177" s="139">
        <f>Personnel!G189</f>
        <v>1905900</v>
      </c>
      <c r="G177" s="211"/>
      <c r="H177" s="139">
        <f>Personnel!I189</f>
        <v>2250500</v>
      </c>
      <c r="I177" s="211"/>
      <c r="J177" s="139">
        <f>Personnel!K189</f>
        <v>2612700</v>
      </c>
      <c r="K177" s="211"/>
      <c r="L177" s="139">
        <f>Personnel!M189</f>
        <v>2859150</v>
      </c>
      <c r="M177" s="211"/>
      <c r="N177" s="139">
        <f>Personnel!O189</f>
        <v>3257000</v>
      </c>
      <c r="O177" s="676"/>
      <c r="P177" s="151"/>
      <c r="Q177" s="151"/>
      <c r="R177" s="151"/>
      <c r="S177" s="151"/>
      <c r="T177" s="151"/>
    </row>
    <row r="178" spans="1:20" ht="40.5" customHeight="1">
      <c r="A178" s="151"/>
      <c r="B178" s="151"/>
      <c r="C178" s="400"/>
      <c r="D178" s="407" t="s">
        <v>230</v>
      </c>
      <c r="E178" s="301"/>
      <c r="F178" s="787">
        <f>'Revenues-Fed, State, &amp; Expan. '!E97</f>
        <v>450</v>
      </c>
      <c r="G178" s="301"/>
      <c r="H178" s="787">
        <f>'Revenues-Fed, State, &amp; Expan. '!G97</f>
        <v>525</v>
      </c>
      <c r="I178" s="301"/>
      <c r="J178" s="787">
        <f>'Revenues-Fed, State, &amp; Expan. '!I97</f>
        <v>595</v>
      </c>
      <c r="K178" s="301"/>
      <c r="L178" s="787">
        <f>'Revenues-Fed, State, &amp; Expan. '!K97</f>
        <v>665</v>
      </c>
      <c r="M178" s="301"/>
      <c r="N178" s="787">
        <f>'Revenues-Fed, State, &amp; Expan. '!M97</f>
        <v>735</v>
      </c>
      <c r="O178" s="676"/>
      <c r="P178" s="151"/>
      <c r="Q178" s="151"/>
      <c r="R178" s="151"/>
      <c r="S178" s="151"/>
      <c r="T178" s="151"/>
    </row>
    <row r="179" spans="1:20">
      <c r="A179" s="151"/>
      <c r="B179" s="151"/>
      <c r="C179" s="151"/>
      <c r="D179" s="391"/>
      <c r="E179" s="391"/>
      <c r="F179" s="391"/>
      <c r="G179" s="391"/>
      <c r="H179" s="391"/>
      <c r="I179" s="391"/>
      <c r="J179" s="391"/>
      <c r="K179" s="623"/>
      <c r="L179" s="391"/>
      <c r="M179" s="623"/>
      <c r="N179" s="391"/>
      <c r="P179" s="151"/>
      <c r="Q179" s="151"/>
      <c r="R179" s="151"/>
      <c r="S179" s="151"/>
      <c r="T179" s="151"/>
    </row>
    <row r="180" spans="1:20">
      <c r="A180" s="151"/>
      <c r="B180" s="151"/>
      <c r="C180" s="151"/>
      <c r="D180" s="151"/>
      <c r="E180" s="151"/>
      <c r="F180" s="151"/>
      <c r="G180" s="151"/>
      <c r="H180" s="151"/>
      <c r="I180" s="151"/>
      <c r="J180" s="151"/>
      <c r="L180" s="151"/>
      <c r="N180" s="151"/>
      <c r="P180" s="151"/>
      <c r="Q180" s="151"/>
      <c r="R180" s="151"/>
      <c r="S180" s="151"/>
      <c r="T180" s="151"/>
    </row>
    <row r="181" spans="1:20">
      <c r="A181" s="151"/>
      <c r="B181" s="151"/>
      <c r="C181" s="151"/>
      <c r="D181" s="151"/>
      <c r="E181" s="151"/>
      <c r="F181" s="151"/>
      <c r="G181" s="151"/>
      <c r="H181" s="151"/>
      <c r="I181" s="151"/>
      <c r="J181" s="151"/>
      <c r="L181" s="151"/>
      <c r="N181" s="151"/>
      <c r="P181" s="151"/>
      <c r="Q181" s="151"/>
      <c r="R181" s="151"/>
      <c r="S181" s="151"/>
      <c r="T181" s="151"/>
    </row>
    <row r="182" spans="1:20">
      <c r="A182" s="151"/>
      <c r="B182" s="151"/>
      <c r="C182" s="151"/>
      <c r="D182" s="151"/>
      <c r="E182" s="151"/>
      <c r="F182" s="151"/>
      <c r="G182" s="151"/>
      <c r="H182" s="151"/>
      <c r="I182" s="151"/>
      <c r="J182" s="151"/>
      <c r="L182" s="151"/>
      <c r="N182" s="151"/>
      <c r="P182" s="151"/>
      <c r="Q182" s="151"/>
      <c r="R182" s="151"/>
      <c r="S182" s="151"/>
      <c r="T182" s="151"/>
    </row>
    <row r="183" spans="1:20">
      <c r="A183" s="151"/>
      <c r="B183" s="151"/>
      <c r="C183" s="151"/>
      <c r="D183" s="151"/>
      <c r="E183" s="151"/>
      <c r="F183" s="151"/>
      <c r="G183" s="151"/>
      <c r="H183" s="151"/>
      <c r="I183" s="151"/>
      <c r="J183" s="151"/>
      <c r="L183" s="151"/>
      <c r="N183" s="151"/>
      <c r="P183" s="151"/>
      <c r="Q183" s="151"/>
      <c r="R183" s="151"/>
      <c r="S183" s="151"/>
      <c r="T183" s="151"/>
    </row>
    <row r="184" spans="1:20">
      <c r="A184" s="151"/>
      <c r="B184" s="151"/>
      <c r="C184" s="151"/>
      <c r="D184" s="151"/>
      <c r="E184" s="151"/>
      <c r="F184" s="151"/>
      <c r="G184" s="151"/>
      <c r="H184" s="151"/>
      <c r="I184" s="151"/>
      <c r="J184" s="151"/>
      <c r="L184" s="151"/>
      <c r="N184" s="151"/>
      <c r="P184" s="151"/>
      <c r="Q184" s="151"/>
      <c r="R184" s="151"/>
      <c r="S184" s="151"/>
      <c r="T184" s="151"/>
    </row>
    <row r="185" spans="1:20">
      <c r="A185" s="151"/>
      <c r="B185" s="151"/>
      <c r="C185" s="151"/>
      <c r="D185" s="151"/>
      <c r="E185" s="151"/>
      <c r="F185" s="151"/>
      <c r="G185" s="151"/>
      <c r="H185" s="151"/>
      <c r="I185" s="151"/>
      <c r="J185" s="151"/>
      <c r="L185" s="151"/>
      <c r="N185" s="151"/>
      <c r="P185" s="151"/>
      <c r="Q185" s="151"/>
      <c r="R185" s="151"/>
      <c r="S185" s="151"/>
      <c r="T185" s="151"/>
    </row>
    <row r="186" spans="1:20">
      <c r="A186" s="151"/>
      <c r="B186" s="151"/>
      <c r="C186" s="151"/>
      <c r="D186" s="151"/>
      <c r="E186" s="151"/>
      <c r="F186" s="151"/>
      <c r="G186" s="151"/>
      <c r="H186" s="151"/>
      <c r="I186" s="151"/>
      <c r="J186" s="151"/>
      <c r="L186" s="151"/>
      <c r="N186" s="151"/>
      <c r="P186" s="151"/>
      <c r="Q186" s="151"/>
      <c r="R186" s="151"/>
      <c r="S186" s="151"/>
      <c r="T186" s="151"/>
    </row>
    <row r="187" spans="1:20">
      <c r="A187" s="151"/>
      <c r="B187" s="151"/>
      <c r="C187" s="151"/>
      <c r="D187" s="151"/>
      <c r="E187" s="151"/>
      <c r="F187" s="151"/>
      <c r="G187" s="151"/>
      <c r="H187" s="151"/>
      <c r="I187" s="151"/>
      <c r="J187" s="151"/>
      <c r="L187" s="151"/>
      <c r="N187" s="151"/>
      <c r="P187" s="151"/>
      <c r="Q187" s="151"/>
      <c r="R187" s="151"/>
      <c r="S187" s="151"/>
      <c r="T187" s="151"/>
    </row>
    <row r="188" spans="1:20">
      <c r="A188" s="151"/>
      <c r="B188" s="151"/>
      <c r="C188" s="151"/>
      <c r="D188" s="151"/>
      <c r="E188" s="151"/>
      <c r="F188" s="151"/>
      <c r="G188" s="151"/>
      <c r="H188" s="151"/>
      <c r="I188" s="151"/>
      <c r="J188" s="151"/>
      <c r="L188" s="151"/>
      <c r="N188" s="151"/>
      <c r="P188" s="151"/>
      <c r="Q188" s="151"/>
      <c r="R188" s="151"/>
      <c r="S188" s="151"/>
      <c r="T188" s="151"/>
    </row>
    <row r="189" spans="1:20">
      <c r="A189" s="151"/>
      <c r="B189" s="151"/>
      <c r="C189" s="151"/>
      <c r="D189" s="151"/>
      <c r="E189" s="151"/>
      <c r="F189" s="151"/>
      <c r="G189" s="151"/>
      <c r="H189" s="151"/>
      <c r="I189" s="151"/>
      <c r="J189" s="151"/>
      <c r="L189" s="151"/>
      <c r="N189" s="151"/>
      <c r="P189" s="151"/>
      <c r="Q189" s="151"/>
      <c r="R189" s="151"/>
      <c r="S189" s="151"/>
      <c r="T189" s="151"/>
    </row>
    <row r="190" spans="1:20">
      <c r="A190" s="151"/>
      <c r="B190" s="151"/>
      <c r="C190" s="151"/>
      <c r="D190" s="151"/>
      <c r="E190" s="151"/>
      <c r="F190" s="151"/>
      <c r="G190" s="151"/>
      <c r="H190" s="151"/>
      <c r="I190" s="151"/>
      <c r="J190" s="151"/>
      <c r="L190" s="151"/>
      <c r="N190" s="151"/>
      <c r="P190" s="151"/>
      <c r="Q190" s="151"/>
      <c r="R190" s="151"/>
      <c r="S190" s="151"/>
      <c r="T190" s="151"/>
    </row>
    <row r="191" spans="1:20">
      <c r="A191" s="151"/>
      <c r="B191" s="151"/>
      <c r="C191" s="151"/>
      <c r="D191" s="151"/>
      <c r="E191" s="151"/>
      <c r="F191" s="151"/>
      <c r="G191" s="151"/>
      <c r="H191" s="151"/>
      <c r="I191" s="151"/>
      <c r="J191" s="151"/>
      <c r="L191" s="151"/>
      <c r="N191" s="151"/>
      <c r="P191" s="151"/>
      <c r="Q191" s="151"/>
      <c r="R191" s="151"/>
      <c r="S191" s="151"/>
      <c r="T191" s="151"/>
    </row>
    <row r="192" spans="1:20">
      <c r="A192" s="151"/>
      <c r="B192" s="151"/>
      <c r="C192" s="151"/>
      <c r="D192" s="151"/>
      <c r="E192" s="151"/>
      <c r="F192" s="151"/>
      <c r="G192" s="151"/>
      <c r="H192" s="151"/>
      <c r="I192" s="151"/>
      <c r="J192" s="151"/>
      <c r="L192" s="151"/>
      <c r="N192" s="151"/>
      <c r="P192" s="151"/>
      <c r="Q192" s="151"/>
      <c r="R192" s="151"/>
      <c r="S192" s="151"/>
      <c r="T192" s="151"/>
    </row>
    <row r="193" spans="1:20">
      <c r="A193" s="151"/>
      <c r="B193" s="151"/>
      <c r="C193" s="151"/>
      <c r="D193" s="151"/>
      <c r="E193" s="151"/>
      <c r="F193" s="151"/>
      <c r="G193" s="151"/>
      <c r="H193" s="151"/>
      <c r="I193" s="151"/>
      <c r="J193" s="151"/>
      <c r="L193" s="151"/>
      <c r="N193" s="151"/>
      <c r="P193" s="151"/>
      <c r="Q193" s="151"/>
      <c r="R193" s="151"/>
      <c r="S193" s="151"/>
      <c r="T193" s="151"/>
    </row>
    <row r="194" spans="1:20">
      <c r="A194" s="151"/>
      <c r="B194" s="151"/>
      <c r="C194" s="151"/>
      <c r="D194" s="151"/>
      <c r="E194" s="151"/>
      <c r="F194" s="151"/>
      <c r="G194" s="151"/>
      <c r="H194" s="151"/>
      <c r="I194" s="151"/>
      <c r="J194" s="151"/>
      <c r="L194" s="151"/>
      <c r="N194" s="151"/>
      <c r="P194" s="151"/>
      <c r="Q194" s="151"/>
      <c r="R194" s="151"/>
      <c r="S194" s="151"/>
      <c r="T194" s="151"/>
    </row>
    <row r="195" spans="1:20">
      <c r="A195" s="151"/>
      <c r="B195" s="151"/>
      <c r="C195" s="151"/>
      <c r="D195" s="151"/>
      <c r="E195" s="151"/>
      <c r="F195" s="151"/>
      <c r="G195" s="151"/>
      <c r="H195" s="151"/>
      <c r="I195" s="151"/>
      <c r="J195" s="151"/>
      <c r="L195" s="151"/>
      <c r="N195" s="151"/>
      <c r="P195" s="151"/>
      <c r="Q195" s="151"/>
      <c r="R195" s="151"/>
      <c r="S195" s="151"/>
      <c r="T195" s="151"/>
    </row>
    <row r="196" spans="1:20">
      <c r="A196" s="151"/>
      <c r="B196" s="151"/>
      <c r="C196" s="151"/>
      <c r="D196" s="151"/>
      <c r="E196" s="151"/>
      <c r="F196" s="151"/>
      <c r="G196" s="151"/>
      <c r="H196" s="151"/>
      <c r="I196" s="151"/>
      <c r="J196" s="151"/>
      <c r="L196" s="151"/>
      <c r="N196" s="151"/>
      <c r="P196" s="151"/>
      <c r="Q196" s="151"/>
      <c r="R196" s="151"/>
      <c r="S196" s="151"/>
      <c r="T196" s="151"/>
    </row>
    <row r="197" spans="1:20">
      <c r="A197" s="151"/>
      <c r="B197" s="151"/>
      <c r="C197" s="151"/>
      <c r="D197" s="151"/>
      <c r="E197" s="151"/>
      <c r="F197" s="151"/>
      <c r="G197" s="151"/>
      <c r="H197" s="151"/>
      <c r="I197" s="151"/>
      <c r="J197" s="151"/>
      <c r="L197" s="151"/>
      <c r="N197" s="151"/>
      <c r="P197" s="151"/>
      <c r="Q197" s="151"/>
      <c r="R197" s="151"/>
      <c r="S197" s="151"/>
      <c r="T197" s="151"/>
    </row>
    <row r="198" spans="1:20">
      <c r="A198" s="151"/>
      <c r="B198" s="151"/>
      <c r="C198" s="151"/>
      <c r="D198" s="151"/>
      <c r="E198" s="151"/>
      <c r="F198" s="151"/>
      <c r="G198" s="151"/>
      <c r="H198" s="151"/>
      <c r="I198" s="151"/>
      <c r="J198" s="151"/>
      <c r="L198" s="151"/>
      <c r="N198" s="151"/>
      <c r="P198" s="151"/>
      <c r="Q198" s="151"/>
      <c r="R198" s="151"/>
      <c r="S198" s="151"/>
      <c r="T198" s="151"/>
    </row>
    <row r="199" spans="1:20">
      <c r="A199" s="151"/>
      <c r="B199" s="151"/>
      <c r="C199" s="151"/>
      <c r="D199" s="151"/>
      <c r="E199" s="151"/>
      <c r="F199" s="151"/>
      <c r="G199" s="151"/>
      <c r="H199" s="151"/>
      <c r="I199" s="151"/>
      <c r="J199" s="151"/>
      <c r="L199" s="151"/>
      <c r="N199" s="151"/>
      <c r="P199" s="151"/>
      <c r="Q199" s="151"/>
      <c r="R199" s="151"/>
      <c r="S199" s="151"/>
      <c r="T199" s="151"/>
    </row>
    <row r="200" spans="1:20">
      <c r="A200" s="151"/>
      <c r="B200" s="151"/>
      <c r="C200" s="151"/>
      <c r="D200" s="151"/>
      <c r="E200" s="151"/>
      <c r="F200" s="151"/>
      <c r="G200" s="151"/>
      <c r="H200" s="151"/>
      <c r="I200" s="151"/>
      <c r="J200" s="151"/>
      <c r="L200" s="151"/>
      <c r="N200" s="151"/>
      <c r="P200" s="151"/>
      <c r="Q200" s="151"/>
      <c r="R200" s="151"/>
      <c r="S200" s="151"/>
      <c r="T200" s="151"/>
    </row>
    <row r="201" spans="1:20">
      <c r="A201" s="151"/>
      <c r="B201" s="151"/>
      <c r="C201" s="151"/>
      <c r="D201" s="151"/>
      <c r="E201" s="151"/>
      <c r="F201" s="151"/>
      <c r="G201" s="151"/>
      <c r="H201" s="151"/>
      <c r="I201" s="151"/>
      <c r="J201" s="151"/>
      <c r="L201" s="151"/>
      <c r="N201" s="151"/>
      <c r="P201" s="151"/>
      <c r="Q201" s="151"/>
      <c r="R201" s="151"/>
      <c r="S201" s="151"/>
      <c r="T201" s="151"/>
    </row>
    <row r="202" spans="1:20">
      <c r="A202" s="151"/>
      <c r="B202" s="151"/>
      <c r="C202" s="151"/>
      <c r="D202" s="151"/>
      <c r="E202" s="151"/>
      <c r="F202" s="151"/>
      <c r="G202" s="151"/>
      <c r="H202" s="151"/>
      <c r="I202" s="151"/>
      <c r="J202" s="151"/>
      <c r="L202" s="151"/>
      <c r="N202" s="151"/>
      <c r="P202" s="151"/>
      <c r="Q202" s="151"/>
      <c r="R202" s="151"/>
      <c r="S202" s="151"/>
      <c r="T202" s="151"/>
    </row>
    <row r="203" spans="1:20">
      <c r="A203" s="151"/>
      <c r="B203" s="151"/>
      <c r="C203" s="151"/>
      <c r="D203" s="151"/>
      <c r="E203" s="151"/>
      <c r="F203" s="151"/>
      <c r="G203" s="151"/>
      <c r="H203" s="151"/>
      <c r="I203" s="151"/>
      <c r="J203" s="151"/>
      <c r="L203" s="151"/>
      <c r="N203" s="151"/>
      <c r="P203" s="151"/>
      <c r="Q203" s="151"/>
      <c r="R203" s="151"/>
      <c r="S203" s="151"/>
      <c r="T203" s="151"/>
    </row>
    <row r="204" spans="1:20">
      <c r="A204" s="151"/>
      <c r="B204" s="151"/>
      <c r="C204" s="151"/>
      <c r="D204" s="151"/>
      <c r="E204" s="151"/>
      <c r="F204" s="151"/>
      <c r="G204" s="151"/>
      <c r="H204" s="151"/>
      <c r="I204" s="151"/>
      <c r="J204" s="151"/>
      <c r="L204" s="151"/>
      <c r="N204" s="151"/>
      <c r="P204" s="151"/>
      <c r="Q204" s="151"/>
      <c r="R204" s="151"/>
      <c r="S204" s="151"/>
      <c r="T204" s="151"/>
    </row>
    <row r="205" spans="1:20">
      <c r="A205" s="151"/>
      <c r="B205" s="151"/>
      <c r="C205" s="151"/>
      <c r="D205" s="151"/>
      <c r="E205" s="151"/>
      <c r="F205" s="151"/>
      <c r="G205" s="151"/>
      <c r="H205" s="151"/>
      <c r="I205" s="151"/>
      <c r="J205" s="151"/>
      <c r="L205" s="151"/>
      <c r="N205" s="151"/>
      <c r="P205" s="151"/>
      <c r="Q205" s="151"/>
      <c r="R205" s="151"/>
      <c r="S205" s="151"/>
      <c r="T205" s="151"/>
    </row>
    <row r="206" spans="1:20">
      <c r="A206" s="151"/>
      <c r="B206" s="151"/>
      <c r="C206" s="151"/>
      <c r="D206" s="151"/>
      <c r="E206" s="151"/>
      <c r="F206" s="151"/>
      <c r="G206" s="151"/>
      <c r="H206" s="151"/>
      <c r="I206" s="151"/>
      <c r="J206" s="151"/>
      <c r="L206" s="151"/>
      <c r="N206" s="151"/>
      <c r="P206" s="151"/>
      <c r="Q206" s="151"/>
      <c r="R206" s="151"/>
      <c r="S206" s="151"/>
      <c r="T206" s="151"/>
    </row>
    <row r="207" spans="1:20">
      <c r="A207" s="151"/>
      <c r="B207" s="151"/>
      <c r="C207" s="151"/>
      <c r="D207" s="151"/>
      <c r="E207" s="151"/>
      <c r="F207" s="151"/>
      <c r="G207" s="151"/>
      <c r="H207" s="151"/>
      <c r="I207" s="151"/>
      <c r="J207" s="151"/>
      <c r="L207" s="151"/>
      <c r="N207" s="151"/>
      <c r="P207" s="151"/>
      <c r="Q207" s="151"/>
      <c r="R207" s="151"/>
      <c r="S207" s="151"/>
      <c r="T207" s="151"/>
    </row>
    <row r="208" spans="1:20">
      <c r="A208" s="151"/>
      <c r="B208" s="151"/>
      <c r="C208" s="151"/>
      <c r="D208" s="151"/>
      <c r="E208" s="151"/>
      <c r="F208" s="151"/>
      <c r="G208" s="151"/>
      <c r="H208" s="151"/>
      <c r="I208" s="151"/>
      <c r="J208" s="151"/>
      <c r="L208" s="151"/>
      <c r="N208" s="151"/>
      <c r="P208" s="151"/>
      <c r="Q208" s="151"/>
      <c r="R208" s="151"/>
      <c r="S208" s="151"/>
      <c r="T208" s="151"/>
    </row>
    <row r="209" spans="1:20">
      <c r="A209" s="151"/>
      <c r="B209" s="151"/>
      <c r="C209" s="151"/>
      <c r="D209" s="151"/>
      <c r="E209" s="151"/>
      <c r="F209" s="151"/>
      <c r="G209" s="151"/>
      <c r="H209" s="151"/>
      <c r="I209" s="151"/>
      <c r="J209" s="151"/>
      <c r="L209" s="151"/>
      <c r="N209" s="151"/>
      <c r="P209" s="151"/>
      <c r="Q209" s="151"/>
      <c r="R209" s="151"/>
      <c r="S209" s="151"/>
      <c r="T209" s="151"/>
    </row>
    <row r="210" spans="1:20" ht="12" hidden="1">
      <c r="A210" s="151"/>
      <c r="B210" s="151"/>
      <c r="C210" s="151"/>
      <c r="D210" s="151"/>
      <c r="E210" s="151"/>
      <c r="F210" s="151"/>
      <c r="G210" s="151"/>
      <c r="H210" s="151"/>
      <c r="I210" s="151"/>
      <c r="J210" s="151"/>
      <c r="L210" s="151"/>
      <c r="N210" s="151"/>
      <c r="P210" s="151"/>
      <c r="Q210" s="151"/>
      <c r="R210" s="151"/>
      <c r="S210" s="151"/>
      <c r="T210" s="151"/>
    </row>
  </sheetData>
  <mergeCells count="6">
    <mergeCell ref="D174:N174"/>
    <mergeCell ref="D7:D8"/>
    <mergeCell ref="F8:N8"/>
    <mergeCell ref="P8:T8"/>
    <mergeCell ref="V38:Z38"/>
    <mergeCell ref="P39:T39"/>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38"/>
  <sheetViews>
    <sheetView workbookViewId="0">
      <selection activeCell="B38" sqref="B38"/>
    </sheetView>
  </sheetViews>
  <sheetFormatPr baseColWidth="10" defaultColWidth="8.6640625" defaultRowHeight="12.75" customHeight="1"/>
  <cols>
    <col min="1" max="1" width="28.33203125" style="151" customWidth="1"/>
    <col min="2" max="2" width="22.1640625" style="151" customWidth="1"/>
    <col min="3" max="3" width="73.5" style="151" customWidth="1"/>
  </cols>
  <sheetData>
    <row r="1" spans="1:6" ht="16.5" customHeight="1">
      <c r="A1" s="674" t="s">
        <v>16</v>
      </c>
      <c r="B1" s="945" t="str">
        <f>'Budget with Assumptions'!A2</f>
        <v>Horizon Science Academy South Chicago</v>
      </c>
      <c r="C1" s="946"/>
      <c r="D1" s="676"/>
      <c r="E1" s="151"/>
      <c r="F1" s="151"/>
    </row>
    <row r="2" spans="1:6" ht="16.5" customHeight="1">
      <c r="A2" s="282"/>
      <c r="B2" s="813"/>
      <c r="C2" s="813"/>
      <c r="D2" s="151"/>
      <c r="E2" s="151"/>
      <c r="F2" s="151"/>
    </row>
    <row r="3" spans="1:6" ht="13.5" customHeight="1">
      <c r="A3" s="922" t="s">
        <v>17</v>
      </c>
      <c r="B3" s="947"/>
      <c r="C3" s="923"/>
      <c r="D3" s="676"/>
      <c r="E3" s="151"/>
      <c r="F3" s="151"/>
    </row>
    <row r="4" spans="1:6">
      <c r="A4" s="391"/>
      <c r="B4" s="391"/>
      <c r="C4" s="391"/>
      <c r="D4" s="151"/>
      <c r="E4" s="151"/>
      <c r="F4" s="151"/>
    </row>
    <row r="5" spans="1:6" ht="13.5" customHeight="1">
      <c r="A5" s="456"/>
      <c r="B5" s="456"/>
      <c r="C5" s="456"/>
      <c r="D5" s="151"/>
      <c r="E5" s="151"/>
      <c r="F5" s="151"/>
    </row>
    <row r="6" spans="1:6" ht="16.5" customHeight="1">
      <c r="A6" s="192" t="s">
        <v>18</v>
      </c>
      <c r="B6" s="296"/>
      <c r="C6" s="561"/>
      <c r="D6" s="676"/>
      <c r="E6" s="151"/>
      <c r="F6" s="151"/>
    </row>
    <row r="7" spans="1:6" ht="13.5" customHeight="1">
      <c r="A7" s="392" t="s">
        <v>19</v>
      </c>
      <c r="B7" s="296"/>
      <c r="C7" s="561"/>
      <c r="D7" s="676"/>
      <c r="E7" s="151"/>
      <c r="F7" s="151"/>
    </row>
    <row r="8" spans="1:6" ht="13.5" customHeight="1">
      <c r="A8" s="655"/>
      <c r="B8" s="27"/>
      <c r="C8" s="129"/>
      <c r="D8" s="85"/>
      <c r="E8" s="151"/>
      <c r="F8" s="151"/>
    </row>
    <row r="9" spans="1:6">
      <c r="A9" s="765" t="s">
        <v>20</v>
      </c>
      <c r="B9" s="608"/>
      <c r="C9" s="355"/>
      <c r="D9" s="676"/>
      <c r="E9" s="151"/>
      <c r="F9" s="151"/>
    </row>
    <row r="10" spans="1:6">
      <c r="A10" s="128" t="s">
        <v>21</v>
      </c>
      <c r="B10" s="6"/>
      <c r="C10" s="381"/>
      <c r="D10" s="676"/>
      <c r="E10" s="151"/>
      <c r="F10" s="151"/>
    </row>
    <row r="11" spans="1:6">
      <c r="A11" s="128" t="s">
        <v>22</v>
      </c>
      <c r="B11" s="6"/>
      <c r="C11" s="381"/>
      <c r="D11" s="676"/>
      <c r="E11" s="151"/>
      <c r="F11" s="151"/>
    </row>
    <row r="12" spans="1:6" ht="13.5" customHeight="1">
      <c r="A12" s="576" t="s">
        <v>23</v>
      </c>
      <c r="B12" s="810"/>
      <c r="C12" s="280"/>
      <c r="D12" s="676"/>
      <c r="E12" s="151"/>
      <c r="F12" s="151"/>
    </row>
    <row r="13" spans="1:6" ht="13.5" customHeight="1">
      <c r="A13" s="655"/>
      <c r="B13" s="391"/>
      <c r="C13" s="479"/>
      <c r="D13" s="85"/>
      <c r="E13" s="151"/>
      <c r="F13" s="151"/>
    </row>
    <row r="14" spans="1:6" ht="13.5" customHeight="1">
      <c r="A14" s="473" t="s">
        <v>24</v>
      </c>
      <c r="B14" s="119"/>
      <c r="C14" s="493"/>
      <c r="D14" s="85"/>
      <c r="E14" s="151"/>
      <c r="F14" s="151"/>
    </row>
    <row r="15" spans="1:6">
      <c r="A15" s="52" t="s">
        <v>418</v>
      </c>
      <c r="B15" s="838"/>
      <c r="C15" s="809"/>
      <c r="D15" s="85"/>
      <c r="E15" s="151"/>
      <c r="F15" s="151"/>
    </row>
    <row r="16" spans="1:6">
      <c r="A16" s="340" t="s">
        <v>25</v>
      </c>
      <c r="B16" s="506"/>
      <c r="C16" s="809"/>
      <c r="D16" s="85"/>
      <c r="E16" s="151"/>
      <c r="F16" s="151"/>
    </row>
    <row r="17" spans="1:6" ht="13.5" customHeight="1">
      <c r="A17" s="7" t="s">
        <v>26</v>
      </c>
      <c r="B17" s="451"/>
      <c r="C17" s="809"/>
      <c r="D17" s="85"/>
      <c r="E17" s="151"/>
      <c r="F17" s="151"/>
    </row>
    <row r="18" spans="1:6" ht="26.25" customHeight="1">
      <c r="A18" s="343" t="s">
        <v>27</v>
      </c>
      <c r="B18" s="698">
        <f>-IF((SUM(B15:B17)=0),0,(PMT((B17/12),B16,B15)*12))</f>
        <v>0</v>
      </c>
      <c r="C18" s="461"/>
      <c r="D18" s="85"/>
      <c r="E18" s="151"/>
      <c r="F18" s="151"/>
    </row>
    <row r="19" spans="1:6">
      <c r="A19" s="335"/>
      <c r="B19" s="391"/>
      <c r="C19" s="493"/>
      <c r="D19" s="85"/>
      <c r="E19" s="151"/>
      <c r="F19" s="151"/>
    </row>
    <row r="20" spans="1:6">
      <c r="A20" s="514"/>
      <c r="B20" s="394"/>
      <c r="C20" s="629"/>
      <c r="D20" s="85"/>
      <c r="E20" s="151"/>
      <c r="F20" s="151"/>
    </row>
    <row r="21" spans="1:6">
      <c r="A21" s="441"/>
      <c r="B21" s="441"/>
      <c r="C21" s="441"/>
      <c r="D21" s="151"/>
      <c r="E21" s="151"/>
      <c r="F21" s="151"/>
    </row>
    <row r="22" spans="1:6" ht="13.5" customHeight="1">
      <c r="A22" s="456"/>
      <c r="B22" s="456"/>
      <c r="C22" s="456"/>
      <c r="D22" s="151"/>
      <c r="E22" s="151"/>
      <c r="F22" s="151"/>
    </row>
    <row r="23" spans="1:6" ht="16.5" customHeight="1">
      <c r="A23" s="192" t="s">
        <v>28</v>
      </c>
      <c r="B23" s="296"/>
      <c r="C23" s="561"/>
      <c r="D23" s="676"/>
      <c r="E23" s="151"/>
      <c r="F23" s="151"/>
    </row>
    <row r="24" spans="1:6" ht="13.5" customHeight="1">
      <c r="A24" s="392" t="s">
        <v>29</v>
      </c>
      <c r="B24" s="296"/>
      <c r="C24" s="561"/>
      <c r="D24" s="676"/>
      <c r="E24" s="151"/>
      <c r="F24" s="151"/>
    </row>
    <row r="25" spans="1:6" ht="13.5" customHeight="1">
      <c r="A25" s="655"/>
      <c r="B25" s="27"/>
      <c r="C25" s="129"/>
      <c r="D25" s="85"/>
      <c r="E25" s="151"/>
      <c r="F25" s="151"/>
    </row>
    <row r="26" spans="1:6">
      <c r="A26" s="765" t="s">
        <v>20</v>
      </c>
      <c r="B26" s="608"/>
      <c r="C26" s="355"/>
      <c r="D26" s="676"/>
      <c r="E26" s="151"/>
      <c r="F26" s="151"/>
    </row>
    <row r="27" spans="1:6">
      <c r="A27" s="128" t="s">
        <v>30</v>
      </c>
      <c r="B27" s="6"/>
      <c r="C27" s="381"/>
      <c r="D27" s="676"/>
      <c r="E27" s="151"/>
      <c r="F27" s="151"/>
    </row>
    <row r="28" spans="1:6" ht="13.5" customHeight="1">
      <c r="A28" s="576" t="s">
        <v>31</v>
      </c>
      <c r="B28" s="810"/>
      <c r="C28" s="280"/>
      <c r="D28" s="676"/>
      <c r="E28" s="151"/>
      <c r="F28" s="151"/>
    </row>
    <row r="29" spans="1:6">
      <c r="A29" s="335"/>
      <c r="B29" s="391"/>
      <c r="C29" s="479"/>
      <c r="D29" s="85"/>
      <c r="E29" s="151"/>
      <c r="F29" s="151"/>
    </row>
    <row r="30" spans="1:6" ht="13.5" customHeight="1">
      <c r="A30" s="61"/>
      <c r="C30" s="493"/>
      <c r="D30" s="85"/>
      <c r="E30" s="151"/>
      <c r="F30" s="151"/>
    </row>
    <row r="31" spans="1:6" ht="13.5" customHeight="1">
      <c r="A31" s="473" t="s">
        <v>32</v>
      </c>
      <c r="B31" s="119"/>
      <c r="C31" s="493"/>
      <c r="D31" s="85"/>
      <c r="E31" s="151"/>
      <c r="F31" s="151"/>
    </row>
    <row r="32" spans="1:6">
      <c r="A32" s="52" t="s">
        <v>418</v>
      </c>
      <c r="B32" s="838">
        <v>250000</v>
      </c>
      <c r="C32" s="809"/>
      <c r="D32" s="85"/>
      <c r="E32" s="151"/>
      <c r="F32" s="151"/>
    </row>
    <row r="33" spans="1:6">
      <c r="A33" s="340" t="s">
        <v>25</v>
      </c>
      <c r="B33" s="506">
        <v>60</v>
      </c>
      <c r="C33" s="809"/>
      <c r="D33" s="85"/>
      <c r="E33" s="151"/>
      <c r="F33" s="151"/>
    </row>
    <row r="34" spans="1:6" ht="13.5" customHeight="1">
      <c r="A34" s="7" t="s">
        <v>26</v>
      </c>
      <c r="B34" s="451">
        <v>0.05</v>
      </c>
      <c r="C34" s="809"/>
      <c r="D34" s="85"/>
      <c r="E34" s="151"/>
      <c r="F34" s="151"/>
    </row>
    <row r="35" spans="1:6" ht="26.25" customHeight="1">
      <c r="A35" s="343" t="s">
        <v>27</v>
      </c>
      <c r="B35" s="698">
        <f>-IF((SUM(B32:B34)=0),0,(PMT((B34/12),B33,B32)*12))</f>
        <v>56613.700932032618</v>
      </c>
      <c r="C35" s="461"/>
      <c r="D35" s="85"/>
      <c r="E35" s="151"/>
      <c r="F35" s="151"/>
    </row>
    <row r="36" spans="1:6">
      <c r="A36" s="354"/>
      <c r="B36" s="127"/>
      <c r="C36" s="493"/>
      <c r="D36" s="85"/>
      <c r="E36" s="151"/>
      <c r="F36" s="151"/>
    </row>
    <row r="37" spans="1:6">
      <c r="A37" s="789"/>
      <c r="B37" s="394"/>
      <c r="C37" s="629"/>
      <c r="D37" s="85"/>
      <c r="E37" s="151"/>
      <c r="F37" s="151"/>
    </row>
    <row r="38" spans="1:6">
      <c r="A38" s="441"/>
      <c r="B38" s="441"/>
      <c r="C38" s="441"/>
      <c r="D38" s="151"/>
      <c r="E38" s="151"/>
      <c r="F38" s="151"/>
    </row>
  </sheetData>
  <mergeCells count="2">
    <mergeCell ref="B1:C1"/>
    <mergeCell ref="A3:C3"/>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20"/>
  <sheetViews>
    <sheetView workbookViewId="0"/>
  </sheetViews>
  <sheetFormatPr baseColWidth="10" defaultColWidth="8.6640625" defaultRowHeight="12.75" customHeight="1"/>
  <cols>
    <col min="1" max="1" width="62.6640625" customWidth="1"/>
  </cols>
  <sheetData>
    <row r="1" spans="1:6" ht="13.5" customHeight="1">
      <c r="A1" s="239" t="str">
        <f>'Budget with Assumptions'!A2</f>
        <v>Horizon Science Academy South Chicago</v>
      </c>
      <c r="B1" s="296"/>
      <c r="C1" s="296"/>
      <c r="D1" s="296"/>
      <c r="E1" s="296"/>
      <c r="F1" s="561"/>
    </row>
    <row r="2" spans="1:6">
      <c r="A2" s="436"/>
      <c r="B2" s="391"/>
      <c r="C2" s="391"/>
      <c r="D2" s="391"/>
      <c r="E2" s="391"/>
      <c r="F2" s="391"/>
    </row>
    <row r="3" spans="1:6">
      <c r="A3" s="151"/>
      <c r="B3" s="151"/>
      <c r="C3" s="151"/>
      <c r="D3" s="151"/>
      <c r="E3" s="151"/>
      <c r="F3" s="151"/>
    </row>
    <row r="4" spans="1:6">
      <c r="A4" s="418" t="s">
        <v>33</v>
      </c>
      <c r="B4" s="418"/>
      <c r="C4" s="418"/>
      <c r="D4" s="418"/>
      <c r="E4" s="418"/>
      <c r="F4" s="418"/>
    </row>
    <row r="5" spans="1:6">
      <c r="A5" s="151"/>
      <c r="B5" s="151"/>
      <c r="C5" s="151"/>
      <c r="D5" s="151"/>
      <c r="E5" s="151"/>
      <c r="F5" s="151"/>
    </row>
    <row r="6" spans="1:6">
      <c r="A6" s="151"/>
      <c r="B6" s="151"/>
      <c r="C6" s="151"/>
      <c r="D6" s="151"/>
      <c r="E6" s="151"/>
      <c r="F6" s="151"/>
    </row>
    <row r="7" spans="1:6">
      <c r="A7" s="151"/>
      <c r="B7" s="151"/>
      <c r="C7" s="151"/>
      <c r="D7" s="151"/>
      <c r="E7" s="151"/>
      <c r="F7" s="151"/>
    </row>
    <row r="8" spans="1:6">
      <c r="A8" s="151"/>
      <c r="B8" s="151"/>
      <c r="C8" s="151"/>
      <c r="D8" s="151"/>
      <c r="E8" s="151"/>
      <c r="F8" s="151"/>
    </row>
    <row r="9" spans="1:6">
      <c r="A9" s="151"/>
      <c r="B9" s="151"/>
      <c r="C9" s="151"/>
      <c r="D9" s="151"/>
      <c r="E9" s="151"/>
      <c r="F9" s="151"/>
    </row>
    <row r="10" spans="1:6">
      <c r="A10" s="151"/>
      <c r="B10" s="151"/>
      <c r="C10" s="151"/>
      <c r="D10" s="151"/>
      <c r="E10" s="151"/>
      <c r="F10" s="151"/>
    </row>
    <row r="11" spans="1:6">
      <c r="A11" s="151"/>
      <c r="B11" s="151"/>
      <c r="C11" s="151"/>
      <c r="D11" s="151"/>
      <c r="E11" s="151"/>
      <c r="F11" s="151"/>
    </row>
    <row r="12" spans="1:6">
      <c r="A12" s="151"/>
      <c r="B12" s="151"/>
      <c r="C12" s="151"/>
      <c r="D12" s="151"/>
      <c r="E12" s="151"/>
      <c r="F12" s="151"/>
    </row>
    <row r="13" spans="1:6">
      <c r="A13" s="151"/>
      <c r="B13" s="151"/>
      <c r="C13" s="151"/>
      <c r="D13" s="151"/>
      <c r="E13" s="151"/>
      <c r="F13" s="151"/>
    </row>
    <row r="14" spans="1:6">
      <c r="A14" s="151"/>
      <c r="B14" s="151"/>
      <c r="C14" s="151"/>
      <c r="D14" s="151"/>
      <c r="E14" s="151"/>
      <c r="F14" s="151"/>
    </row>
    <row r="15" spans="1:6">
      <c r="A15" s="151"/>
      <c r="B15" s="151"/>
      <c r="C15" s="151"/>
      <c r="D15" s="151"/>
      <c r="E15" s="151"/>
      <c r="F15" s="151"/>
    </row>
    <row r="16" spans="1:6">
      <c r="A16" s="151"/>
      <c r="B16" s="151"/>
      <c r="C16" s="151"/>
      <c r="D16" s="151"/>
      <c r="E16" s="151"/>
      <c r="F16" s="151"/>
    </row>
    <row r="17" spans="1:6">
      <c r="A17" s="151"/>
      <c r="B17" s="151"/>
      <c r="C17" s="151"/>
      <c r="D17" s="151"/>
      <c r="E17" s="151"/>
      <c r="F17" s="151"/>
    </row>
    <row r="18" spans="1:6">
      <c r="A18" s="151"/>
      <c r="B18" s="151"/>
      <c r="C18" s="151"/>
      <c r="D18" s="151"/>
      <c r="E18" s="151"/>
      <c r="F18" s="151"/>
    </row>
    <row r="19" spans="1:6">
      <c r="A19" s="151"/>
      <c r="B19" s="151"/>
      <c r="C19" s="151"/>
      <c r="D19" s="151"/>
      <c r="E19" s="151"/>
      <c r="F19" s="151"/>
    </row>
    <row r="20" spans="1:6">
      <c r="A20" s="151"/>
      <c r="B20" s="151"/>
      <c r="C20" s="151"/>
      <c r="D20" s="151"/>
      <c r="E20" s="151"/>
      <c r="F20" s="151"/>
    </row>
  </sheetData>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20"/>
  <sheetViews>
    <sheetView workbookViewId="0"/>
  </sheetViews>
  <sheetFormatPr baseColWidth="10" defaultColWidth="8.6640625" defaultRowHeight="12.75" customHeight="1"/>
  <sheetData>
    <row r="1" spans="1:6" ht="11.25" customHeight="1">
      <c r="A1" s="151"/>
      <c r="B1" s="151"/>
      <c r="C1" s="151"/>
      <c r="D1" s="151"/>
      <c r="E1" s="151"/>
      <c r="F1" s="151"/>
    </row>
    <row r="2" spans="1:6">
      <c r="A2" s="151"/>
      <c r="B2" s="151"/>
      <c r="C2" s="151"/>
      <c r="D2" s="151"/>
      <c r="E2" s="151"/>
      <c r="F2" s="151"/>
    </row>
    <row r="3" spans="1:6">
      <c r="A3" s="151"/>
      <c r="B3" s="151"/>
      <c r="C3" s="151"/>
      <c r="D3" s="151"/>
      <c r="E3" s="151"/>
      <c r="F3" s="151"/>
    </row>
    <row r="4" spans="1:6">
      <c r="A4" s="151"/>
      <c r="B4" s="151"/>
      <c r="C4" s="151"/>
      <c r="D4" s="151"/>
      <c r="E4" s="151"/>
      <c r="F4" s="151"/>
    </row>
    <row r="5" spans="1:6">
      <c r="A5" s="151"/>
      <c r="B5" s="151"/>
      <c r="C5" s="151"/>
      <c r="D5" s="151"/>
      <c r="E5" s="151"/>
      <c r="F5" s="151"/>
    </row>
    <row r="6" spans="1:6">
      <c r="A6" s="151"/>
      <c r="B6" s="151"/>
      <c r="C6" s="151"/>
      <c r="D6" s="151"/>
      <c r="E6" s="151"/>
      <c r="F6" s="151"/>
    </row>
    <row r="7" spans="1:6">
      <c r="A7" s="151"/>
      <c r="B7" s="151"/>
      <c r="C7" s="151"/>
      <c r="D7" s="151"/>
      <c r="E7" s="151"/>
      <c r="F7" s="151"/>
    </row>
    <row r="8" spans="1:6">
      <c r="A8" s="151"/>
      <c r="B8" s="151"/>
      <c r="C8" s="151"/>
      <c r="D8" s="151"/>
      <c r="E8" s="151"/>
      <c r="F8" s="151"/>
    </row>
    <row r="9" spans="1:6">
      <c r="A9" s="151"/>
      <c r="B9" s="151"/>
      <c r="C9" s="151"/>
      <c r="D9" s="151"/>
      <c r="E9" s="151"/>
      <c r="F9" s="151"/>
    </row>
    <row r="10" spans="1:6">
      <c r="A10" s="151"/>
      <c r="B10" s="151"/>
      <c r="C10" s="151"/>
      <c r="D10" s="151"/>
      <c r="E10" s="151"/>
      <c r="F10" s="151"/>
    </row>
    <row r="11" spans="1:6">
      <c r="A11" s="151"/>
      <c r="B11" s="151"/>
      <c r="C11" s="151"/>
      <c r="D11" s="151"/>
      <c r="E11" s="151"/>
      <c r="F11" s="151"/>
    </row>
    <row r="12" spans="1:6">
      <c r="A12" s="151"/>
      <c r="B12" s="151"/>
      <c r="C12" s="151"/>
      <c r="D12" s="151"/>
      <c r="E12" s="151"/>
      <c r="F12" s="151"/>
    </row>
    <row r="13" spans="1:6">
      <c r="A13" s="151"/>
      <c r="B13" s="151"/>
      <c r="C13" s="151"/>
      <c r="D13" s="151"/>
      <c r="E13" s="151"/>
      <c r="F13" s="151"/>
    </row>
    <row r="14" spans="1:6">
      <c r="A14" s="151"/>
      <c r="B14" s="151"/>
      <c r="C14" s="151"/>
      <c r="D14" s="151"/>
      <c r="E14" s="151"/>
      <c r="F14" s="151"/>
    </row>
    <row r="15" spans="1:6">
      <c r="A15" s="151"/>
      <c r="B15" s="151"/>
      <c r="C15" s="151"/>
      <c r="D15" s="151"/>
      <c r="E15" s="151"/>
      <c r="F15" s="151"/>
    </row>
    <row r="16" spans="1:6">
      <c r="A16" s="151"/>
      <c r="B16" s="151"/>
      <c r="C16" s="151"/>
      <c r="D16" s="151"/>
      <c r="E16" s="151"/>
      <c r="F16" s="151"/>
    </row>
    <row r="17" spans="1:6">
      <c r="A17" s="151"/>
      <c r="B17" s="151"/>
      <c r="C17" s="151"/>
      <c r="D17" s="151"/>
      <c r="E17" s="151"/>
      <c r="F17" s="151"/>
    </row>
    <row r="18" spans="1:6">
      <c r="A18" s="151"/>
      <c r="B18" s="151"/>
      <c r="C18" s="151"/>
      <c r="D18" s="151"/>
      <c r="E18" s="151"/>
      <c r="F18" s="151"/>
    </row>
    <row r="19" spans="1:6">
      <c r="A19" s="151"/>
      <c r="B19" s="151"/>
      <c r="C19" s="151"/>
      <c r="D19" s="151"/>
      <c r="E19" s="151"/>
      <c r="F19" s="151"/>
    </row>
    <row r="20" spans="1:6">
      <c r="A20" s="151"/>
      <c r="B20" s="151"/>
      <c r="C20" s="151"/>
      <c r="D20" s="151"/>
      <c r="E20" s="151"/>
      <c r="F20" s="151"/>
    </row>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Personnel</vt:lpstr>
      <vt:lpstr>Revenues-Per Capita &amp; SPED</vt:lpstr>
      <vt:lpstr>Revenues-Fed, State, &amp; Expan. </vt:lpstr>
      <vt:lpstr>Budget with Assumptions</vt:lpstr>
      <vt:lpstr>Budget Summary </vt:lpstr>
      <vt:lpstr>Loans</vt:lpstr>
      <vt:lpstr>Calculations</vt:lpstr>
      <vt:lpstr>FRL %'s</vt:lpstr>
      <vt:lpstr>FRL1</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Salim Ucan</cp:lastModifiedBy>
  <dcterms:created xsi:type="dcterms:W3CDTF">2013-09-29T23:59:01Z</dcterms:created>
  <dcterms:modified xsi:type="dcterms:W3CDTF">2013-12-03T20:26:34Z</dcterms:modified>
</cp:coreProperties>
</file>