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0" windowWidth="25600" windowHeight="13060" tabRatio="701" activeTab="0"/>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<sst xmlns="http://schemas.openxmlformats.org/spreadsheetml/2006/main" count="1656" uniqueCount="625">
  <si>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</si>
  <si>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</si>
  <si>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</si>
  <si>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</si>
  <si>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</si>
  <si>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</si>
  <si>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</si>
  <si>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</si>
  <si>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</si>
  <si>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</si>
  <si>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</si>
  <si>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</si>
  <si>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</si>
  <si>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</si>
  <si>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</si>
  <si>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</si>
  <si>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</si>
  <si>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</si>
  <si>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</si>
  <si>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</si>
  <si>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</si>
  <si>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</si>
  <si>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</si>
  <si>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</si>
  <si>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</si>
  <si>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</si>
  <si>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</si>
  <si>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</si>
  <si>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</si>
  <si>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</si>
  <si>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</si>
  <si>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</si>
  <si>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</si>
  <si>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</si>
  <si>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</si>
  <si>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</si>
  <si>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</si>
  <si>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</si>
  <si>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</si>
  <si>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</si>
  <si>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</si>
  <si>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</si>
  <si>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</si>
  <si>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</si>
  <si>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</si>
  <si>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</si>
  <si>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</si>
  <si>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</si>
  <si>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</si>
  <si>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</si>
  <si>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</si>
  <si>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</si>
  <si>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</si>
  <si>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</si>
  <si>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</si>
  <si>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</si>
  <si>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</si>
  <si>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</si>
  <si>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</si>
  <si>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</si>
  <si>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</si>
  <si>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</si>
  <si>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</si>
  <si>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</si>
  <si>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</si>
  <si>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</si>
  <si>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</si>
  <si>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</si>
  <si>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</si>
  <si>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</si>
  <si>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</si>
  <si>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</si>
  <si>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</si>
  <si>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</si>
  <si>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</si>
  <si>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</si>
  <si>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</si>
  <si>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</si>
  <si>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</si>
  <si>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</si>
  <si>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</si>
  <si>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</si>
  <si>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</si>
  <si>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</si>
  <si>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</si>
  <si>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</si>
  <si>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</si>
  <si>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</si>
  <si>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</si>
  <si>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</si>
  <si>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</si>
  <si>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</si>
  <si>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</si>
  <si>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</si>
  <si>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</si>
  <si>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</si>
  <si>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</si>
  <si>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</si>
  <si>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</si>
  <si>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</si>
  <si>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</si>
  <si>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</si>
  <si>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</si>
  <si>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</si>
  <si>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</si>
  <si>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</si>
  <si>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</si>
  <si>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</si>
  <si>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</si>
  <si>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</si>
  <si>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</si>
  <si>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</si>
  <si>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</si>
  <si>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</si>
  <si>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</si>
  <si>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</si>
  <si>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</si>
  <si>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</si>
  <si>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</si>
  <si>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</si>
  <si>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</si>
  <si>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</si>
  <si>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</si>
  <si>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</si>
  <si>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</si>
  <si>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</si>
  <si>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</si>
  <si>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</si>
  <si>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</si>
  <si>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</si>
  <si>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</si>
  <si>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</si>
  <si>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</si>
  <si>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</si>
  <si>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</si>
  <si>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</si>
  <si>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</si>
  <si>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</si>
  <si>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</si>
  <si>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</si>
  <si>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</si>
  <si>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</si>
  <si>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</si>
  <si>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</si>
  <si>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</si>
  <si>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</si>
  <si>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</si>
  <si>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</si>
  <si>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</si>
  <si>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</si>
  <si>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</si>
  <si>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</si>
  <si>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</si>
  <si>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</si>
  <si>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</si>
  <si>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</si>
  <si>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</si>
  <si>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</si>
  <si>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</si>
  <si>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</si>
  <si>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</si>
  <si>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</si>
  <si>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</si>
  <si>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</si>
  <si>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</si>
  <si>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</si>
  <si>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</si>
  <si>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</si>
  <si>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</si>
  <si>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</si>
  <si>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</si>
  <si>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</si>
  <si>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</si>
  <si>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</si>
  <si>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</si>
  <si>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</si>
  <si>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</si>
  <si>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</si>
  <si>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</si>
  <si>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</si>
  <si>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</si>
  <si>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</si>
  <si>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</si>
  <si>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</si>
  <si>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</si>
  <si>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</si>
  <si>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</si>
  <si>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</si>
  <si>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</si>
  <si>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</si>
  <si>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</si>
  <si>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</si>
  <si>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</si>
  <si>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</si>
  <si>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</si>
  <si>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</si>
  <si>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</si>
  <si>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</si>
  <si>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</si>
  <si>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</si>
  <si>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</si>
  <si>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</si>
  <si>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</si>
  <si>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</si>
  <si>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</si>
  <si>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</si>
  <si>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</si>
  <si>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</si>
  <si>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</si>
  <si>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</si>
  <si>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</si>
  <si>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</si>
  <si>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</si>
  <si>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</si>
  <si>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</si>
  <si>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</si>
  <si>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</si>
  <si>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</si>
  <si>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</si>
  <si>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</si>
  <si>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</si>
  <si>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</si>
  <si>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</si>
  <si>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</si>
  <si>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</si>
  <si>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</si>
  <si>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</si>
  <si>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</si>
  <si>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</si>
  <si>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</si>
  <si>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</si>
  <si>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</si>
  <si>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</si>
  <si>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</si>
  <si>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</si>
  <si>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</si>
  <si>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</si>
  <si>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</si>
  <si>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</si>
  <si>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</si>
  <si>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</si>
  <si>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</si>
  <si>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</si>
  <si>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</si>
  <si>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</si>
  <si>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</si>
  <si>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</si>
  <si>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</si>
  <si>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</si>
  <si>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</si>
  <si>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</si>
  <si>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</si>
  <si>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</si>
  <si>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</si>
  <si>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</si>
  <si>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</si>
  <si>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</si>
  <si>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</si>
  <si>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</si>
  <si>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</si>
  <si>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</si>
  <si>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</si>
  <si>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</si>
  <si>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</si>
  <si>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</si>
  <si>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</si>
  <si>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</si>
  <si>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</si>
  <si>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</si>
  <si>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</si>
  <si>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</si>
  <si>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</si>
  <si>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</si>
  <si>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</si>
  <si>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</si>
  <si>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</si>
  <si>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</si>
  <si>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</si>
  <si>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</si>
  <si>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</si>
  <si>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</si>
  <si>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</si>
  <si>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</si>
  <si>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</si>
  <si>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</si>
  <si>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</si>
  <si>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</si>
  <si>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</si>
  <si>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</si>
  <si>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</si>
  <si>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</si>
  <si>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</si>
  <si>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</si>
  <si>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</si>
  <si>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</si>
  <si>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0"/>
      </rPr>
      <t xml:space="preserve"> if you are adding a grade(s) from </t>
    </r>
    <r>
      <rPr>
        <b/>
        <sz val="10"/>
        <rFont val="Arial"/>
        <family val="2"/>
      </rPr>
      <t>K-8</t>
    </r>
    <r>
      <rPr>
        <sz val="10"/>
        <rFont val="Arial"/>
        <family val="0"/>
      </rPr>
      <t xml:space="preserve"> in the applicable fiscal year, or enter </t>
    </r>
    <r>
      <rPr>
        <b/>
        <sz val="10"/>
        <rFont val="Arial"/>
        <family val="2"/>
      </rPr>
      <t>No</t>
    </r>
    <r>
      <rPr>
        <sz val="10"/>
        <rFont val="Arial"/>
        <family val="0"/>
      </rPr>
      <t xml:space="preserve"> if you are not.</t>
    </r>
  </si>
  <si>
    <r>
      <t xml:space="preserve">Please enter </t>
    </r>
    <r>
      <rPr>
        <b/>
        <sz val="10"/>
        <rFont val="Arial"/>
        <family val="2"/>
      </rPr>
      <t>Yes</t>
    </r>
    <r>
      <rPr>
        <sz val="10"/>
        <rFont val="Arial"/>
        <family val="0"/>
      </rPr>
      <t xml:space="preserve"> if you are adding a grade(s) from </t>
    </r>
    <r>
      <rPr>
        <b/>
        <sz val="10"/>
        <rFont val="Arial"/>
        <family val="2"/>
      </rPr>
      <t>9-12</t>
    </r>
    <r>
      <rPr>
        <sz val="10"/>
        <rFont val="Arial"/>
        <family val="0"/>
      </rPr>
      <t xml:space="preserve"> in the applicable fiscal year, or enter </t>
    </r>
    <r>
      <rPr>
        <b/>
        <sz val="10"/>
        <rFont val="Arial"/>
        <family val="2"/>
      </rPr>
      <t>No</t>
    </r>
    <r>
      <rPr>
        <sz val="10"/>
        <rFont val="Arial"/>
        <family val="0"/>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</si>
  <si>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</si>
  <si>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</si>
  <si>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</si>
  <si>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</si>
  <si>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</si>
  <si>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</si>
  <si>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</si>
  <si>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</si>
  <si>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</si>
  <si>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</si>
  <si>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</si>
  <si>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</si>
  <si>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</si>
  <si>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</si>
  <si>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</si>
  <si>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</si>
  <si>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</si>
  <si>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</si>
  <si>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</si>
  <si>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</si>
  <si>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</si>
  <si>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</si>
  <si>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</si>
  <si>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</si>
  <si>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</si>
  <si>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</si>
  <si>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</si>
  <si>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</si>
  <si>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</si>
  <si>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</si>
  <si>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</si>
  <si>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</si>
  <si>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</si>
  <si>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</si>
  <si>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</si>
  <si>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</si>
  <si>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</si>
  <si>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</si>
  <si>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</si>
  <si>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</si>
  <si>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</si>
  <si>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</si>
  <si>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</si>
  <si>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</si>
  <si>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</si>
  <si>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</si>
  <si>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</si>
  <si>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</si>
  <si>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</si>
  <si>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</si>
  <si>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</si>
  <si>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</si>
  <si>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</si>
  <si>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</si>
  <si>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</si>
  <si>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</si>
  <si>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</si>
  <si>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</si>
  <si>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</si>
  <si>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</si>
  <si>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</si>
  <si>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</si>
  <si>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</si>
  <si>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</si>
  <si>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</si>
  <si>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</si>
  <si>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</si>
  <si>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</si>
  <si>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</si>
  <si>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</si>
  <si>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</si>
  <si>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</si>
  <si>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</si>
  <si>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</si>
  <si>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</si>
  <si>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</si>
  <si>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</si>
  <si>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</si>
  <si>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</si>
  <si>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</si>
  <si>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</si>
  <si>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</si>
  <si>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</si>
  <si>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</si>
  <si>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</si>
  <si>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</si>
  <si>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</si>
  <si>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</si>
  <si>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</si>
  <si>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</si>
  <si>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</si>
  <si>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</si>
  <si>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</si>
  <si>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</si>
  <si>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</si>
  <si>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0"/>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</si>
  <si>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</si>
  <si>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</si>
  <si>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</si>
  <si>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</si>
  <si>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</si>
  <si>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</si>
  <si>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</si>
  <si>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</si>
  <si>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</si>
  <si>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</si>
  <si>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</si>
  <si>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</si>
  <si>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</si>
  <si>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</si>
  <si>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</si>
  <si>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</si>
  <si>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</si>
  <si>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</si>
  <si>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</si>
  <si>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</si>
  <si>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</si>
  <si>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</si>
  <si>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</si>
  <si>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</si>
  <si>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</si>
  <si>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</si>
  <si>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</si>
  <si>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</si>
  <si>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</si>
  <si>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</si>
  <si>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</si>
  <si>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</si>
  <si>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</si>
  <si>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</si>
  <si>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</si>
  <si>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</si>
  <si>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0"/>
      </rPr>
      <t>worksheet.</t>
    </r>
  </si>
  <si>
    <r>
      <t xml:space="preserve">The </t>
    </r>
    <r>
      <rPr>
        <b/>
        <sz val="10"/>
        <rFont val="Arial"/>
        <family val="2"/>
      </rPr>
      <t>Budget with Assumptions</t>
    </r>
    <r>
      <rPr>
        <sz val="10"/>
        <rFont val="Arial"/>
        <family val="0"/>
      </rPr>
      <t xml:space="preserve"> worksheet (</t>
    </r>
    <r>
      <rPr>
        <b/>
        <sz val="10"/>
        <rFont val="Arial"/>
        <family val="2"/>
      </rPr>
      <t>Row 128</t>
    </r>
    <r>
      <rPr>
        <sz val="10"/>
        <rFont val="Arial"/>
        <family val="0"/>
      </rPr>
      <t>) must include the debt service payments for the facility loan.</t>
    </r>
  </si>
  <si>
    <r>
      <t xml:space="preserve">The </t>
    </r>
    <r>
      <rPr>
        <b/>
        <sz val="10"/>
        <rFont val="Arial"/>
        <family val="2"/>
      </rPr>
      <t>Budget with Assumptions</t>
    </r>
    <r>
      <rPr>
        <sz val="10"/>
        <rFont val="Arial"/>
        <family val="0"/>
      </rPr>
      <t xml:space="preserve"> worksheet (</t>
    </r>
    <r>
      <rPr>
        <b/>
        <sz val="10"/>
        <rFont val="Arial"/>
        <family val="2"/>
      </rPr>
      <t>Row 144</t>
    </r>
    <r>
      <rPr>
        <sz val="10"/>
        <rFont val="Arial"/>
        <family val="0"/>
      </rPr>
      <t xml:space="preserve">) </t>
    </r>
    <r>
      <rPr>
        <b/>
        <i/>
        <sz val="10"/>
        <rFont val="Arial"/>
        <family val="2"/>
      </rPr>
      <t>must</t>
    </r>
    <r>
      <rPr>
        <sz val="10"/>
        <rFont val="Arial"/>
        <family val="0"/>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</si>
  <si>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</si>
  <si>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</si>
  <si>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</si>
  <si>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</si>
  <si>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</si>
  <si>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</si>
  <si>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</si>
  <si>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</si>
  <si>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</si>
  <si>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</si>
  <si>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</si>
  <si>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</si>
  <si>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</si>
  <si>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</si>
  <si>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</si>
  <si>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</si>
  <si>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</si>
  <si>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</si>
  <si>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</si>
  <si>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</si>
  <si>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</si>
  <si>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</si>
  <si>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</si>
  <si>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</si>
  <si>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</si>
  <si>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</si>
  <si>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</si>
  <si>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</si>
  <si>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0"/>
      </rPr>
      <t xml:space="preserve"> in the CTPF (from Personnel Worksheet)</t>
    </r>
  </si>
  <si>
    <t>Clinicians in the CTPF (from Personnel Worksheet)</t>
  </si>
  <si>
    <r>
      <t xml:space="preserve">Clinicians </t>
    </r>
    <r>
      <rPr>
        <b/>
        <sz val="10"/>
        <rFont val="Arial"/>
        <family val="2"/>
      </rPr>
      <t>Not</t>
    </r>
    <r>
      <rPr>
        <sz val="10"/>
        <rFont val="Arial"/>
        <family val="0"/>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</si>
  <si>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</si>
  <si>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</si>
  <si>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0"/>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</si>
  <si>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</si>
  <si>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</si>
  <si>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</si>
  <si>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</si>
  <si>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</si>
  <si>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</si>
  <si>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</si>
  <si>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</si>
  <si>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</si>
  <si>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</si>
  <si>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</si>
  <si>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</si>
  <si>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</si>
  <si>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</si>
  <si>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</si>
  <si>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</si>
  <si>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</si>
  <si>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</si>
  <si>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</si>
  <si>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</si>
  <si>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</si>
  <si>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</si>
  <si>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</si>
  <si>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</si>
  <si>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</si>
  <si>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</si>
  <si>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</si>
  <si>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</si>
  <si>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</si>
  <si>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</si>
  <si>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</si>
  <si>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</si>
  <si>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</si>
  <si>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</si>
  <si>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</si>
  <si>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</si>
  <si>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</si>
  <si>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</si>
  <si>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</si>
  <si>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</si>
  <si>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</si>
  <si>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</si>
  <si>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</si>
  <si>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</si>
  <si>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</si>
  <si>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</si>
  <si>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</si>
  <si>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</si>
  <si>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</si>
  <si>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</si>
  <si>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</si>
  <si>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</si>
  <si>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</si>
  <si>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</si>
  <si>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</si>
  <si>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</si>
  <si>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</si>
  <si>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</si>
  <si>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</si>
  <si>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</si>
  <si>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</si>
  <si>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</si>
  <si>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</si>
  <si>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</si>
  <si>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</si>
  <si>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</si>
  <si>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</si>
  <si>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</si>
  <si>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</si>
  <si>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</si>
  <si>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</si>
  <si>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</si>
  <si>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</si>
  <si>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</si>
  <si>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</si>
  <si>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</si>
  <si>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</si>
  <si>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</si>
  <si>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</si>
  <si>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</si>
  <si>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</si>
  <si>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</si>
  <si>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</si>
  <si>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</si>
  <si>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</si>
  <si>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</si>
  <si>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</si>
  <si>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</si>
  <si>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</si>
  <si>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</si>
  <si>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</si>
  <si>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</si>
  <si>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</si>
  <si>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</si>
  <si>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</si>
  <si>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</si>
  <si>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</si>
  <si>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</si>
  <si>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</si>
  <si>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</si>
  <si>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</si>
  <si>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</si>
  <si>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</si>
  <si>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</si>
  <si>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</si>
  <si>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</si>
  <si>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</si>
  <si>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</si>
  <si>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</si>
  <si>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</si>
  <si>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</si>
  <si>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</si>
  <si>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</si>
  <si>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College &amp; Career Coaches (Counselors)</t>
  </si>
  <si>
    <t>ACADEMIC LEADER</t>
  </si>
  <si>
    <t>OPERATIONAL LEADER</t>
  </si>
  <si>
    <t>DEAN OF DISCIPLINE</t>
  </si>
  <si>
    <t>Administrative Assistant</t>
  </si>
  <si>
    <t>Teacher Assistant/Aides</t>
  </si>
  <si>
    <t>Special Project Director/Development (PLTW/CTE) &amp; Experiential Coordinator</t>
  </si>
  <si>
    <t>Kitchen Manager</t>
  </si>
  <si>
    <t>Cooks</t>
  </si>
  <si>
    <t>Custodians/Labor</t>
  </si>
  <si>
    <t>BUSINESS MANAGER/HUMAN RESOURCES</t>
  </si>
  <si>
    <t>IT DIRECTOR</t>
  </si>
  <si>
    <t>DIRECTOR OF DEVELOPMENT</t>
  </si>
  <si>
    <t>Walton Family Foundation Grant</t>
  </si>
  <si>
    <t>Summer School Student Revenue</t>
  </si>
  <si>
    <t>Little Village Special Service Area #25</t>
  </si>
  <si>
    <t>$175 Student Fee; Assuming collection rate of 75%</t>
  </si>
  <si>
    <t>$120 Student Fee-SUMMER SCHOOL; 10% repeat a course</t>
  </si>
  <si>
    <t>Food Service</t>
  </si>
  <si>
    <t>Summer School (Assumes 10% of students need summer school).</t>
  </si>
  <si>
    <t>16:1 student to teacher ratio with $2400 stipend</t>
  </si>
  <si>
    <t>Assumes cost of refreshments, marketing materials, mailers, lottery, family orientations</t>
  </si>
  <si>
    <t>Staff Technology</t>
  </si>
  <si>
    <t>Teacher Furniture</t>
  </si>
  <si>
    <t>Per Student: Breakfast $1.10; Lunch $2.90; Snack $1.25</t>
  </si>
  <si>
    <t>Includes teacher stipend, travel expenses for field trips, student meals, copies, recognition</t>
  </si>
  <si>
    <t>Fundraising (Student, Parent, &amp; Board fundrasing events/activities)</t>
  </si>
  <si>
    <t>Average of $100 raised a year per student + 10K Board commitment</t>
  </si>
  <si>
    <t>Counselors</t>
  </si>
  <si>
    <t>PLTW (Project Lead The Way)</t>
  </si>
  <si>
    <t>Student Desks with chairs</t>
  </si>
  <si>
    <t>Curriculum, Equipment, Consumables, Teacher training, Class set up</t>
  </si>
  <si>
    <t>Social Worker/Psychologist</t>
  </si>
  <si>
    <t>STARS Project Engineering Academy Charter School</t>
  </si>
  <si>
    <t>Student Recruiter (Registration Development) / Volunteer Coordinator / Parent Liaison</t>
  </si>
  <si>
    <t>Printers, Copy Machines, and other items</t>
  </si>
  <si>
    <t>EXECUTIVE DIRECTOR</t>
  </si>
  <si>
    <t>Cargill Donation</t>
  </si>
  <si>
    <t>Transportation</t>
  </si>
  <si>
    <t>Sponsor for Fundraising events</t>
  </si>
  <si>
    <t>Other staff members (teachers and administrators) will cover when teachers are absent</t>
  </si>
  <si>
    <t>STEP-UP Program</t>
  </si>
  <si>
    <t>Calculators, Smart Boards, Document Imager, etc</t>
  </si>
  <si>
    <t>Library</t>
  </si>
  <si>
    <t>Furniture, Bookcases, Computers, Printer, Books</t>
  </si>
  <si>
    <t>3% per pupil revenue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</si>
</sst>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
    <numFmt numFmtId="173" formatCode="&quot;$&quot;#,##0"/>
    <numFmt numFmtId="174" formatCode="&quot;$&quot;#,##0.00"/>
    <numFmt numFmtId="175" formatCode="_(* #,##0_);_(* \(#,##0\);_(* &quot;-&quot;??_);_(@_)"/>
    <numFmt numFmtId="176" formatCode="_(* #,##0.0000_);_(* \(#,##0.0000\);_(* &quot;-&quot;????_);_(@_)"/>
    <numFmt numFmtId="177" formatCode="0.0%"/>
    <numFmt numFmtId="178" formatCode="#,##0.0_);\(#,##0.0\)"/>
    <numFmt numFmtId="179" formatCode="&quot;$&quot;#,##0.0"/>
    <numFmt numFmtId="180" formatCode="[$-409]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_);\(0\)"/>
    <numFmt numFmtId="188" formatCode="&quot;$&quot;#,##0.0000"/>
    <numFmt numFmtId="189" formatCode="&quot;$&quot;#,##0.00;[Red]&quot;$&quot;#,##0.00"/>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style="thin"/>
      <bottom style="medium"/>
    </border>
    <border>
      <left style="thin"/>
      <right style="thin"/>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style="thin"/>
    </border>
    <border>
      <left style="medium"/>
      <right style="medium"/>
      <top style="thin"/>
      <bottom style="thin"/>
    </border>
    <border>
      <left style="thin"/>
      <right style="medium"/>
      <top>
        <color indexed="63"/>
      </top>
      <bottom style="medium"/>
    </border>
    <border>
      <left style="medium"/>
      <right>
        <color indexed="63"/>
      </right>
      <top>
        <color indexed="63"/>
      </top>
      <bottom style="thin"/>
    </border>
    <border>
      <left style="thin"/>
      <right style="medium"/>
      <top>
        <color indexed="63"/>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color indexed="63"/>
      </left>
      <right style="thin"/>
      <top>
        <color indexed="63"/>
      </top>
      <bottom>
        <color indexed="63"/>
      </bottom>
    </border>
    <border>
      <left>
        <color indexed="63"/>
      </left>
      <right style="thin"/>
      <top style="thin"/>
      <bottom style="medium"/>
    </border>
    <border>
      <left style="medium"/>
      <right style="thin"/>
      <top>
        <color indexed="63"/>
      </top>
      <bottom style="medium"/>
    </border>
    <border>
      <left style="thin"/>
      <right>
        <color indexed="63"/>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41">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72"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73" fontId="30" fillId="0" borderId="10" xfId="0" applyNumberFormat="1" applyFont="1" applyBorder="1" applyAlignment="1" applyProtection="1">
      <alignment horizontal="right"/>
      <protection locked="0"/>
    </xf>
    <xf numFmtId="173" fontId="30" fillId="0" borderId="0" xfId="0" applyNumberFormat="1" applyFont="1" applyAlignment="1">
      <alignment horizontal="left" indent="1"/>
    </xf>
    <xf numFmtId="173" fontId="30" fillId="0" borderId="0" xfId="0" applyNumberFormat="1" applyFont="1" applyAlignment="1" applyProtection="1">
      <alignment horizontal="right"/>
      <protection locked="0"/>
    </xf>
    <xf numFmtId="173"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73" fontId="30" fillId="0" borderId="0" xfId="0" applyNumberFormat="1" applyFont="1" applyAlignment="1" applyProtection="1">
      <alignment horizontal="left" indent="1"/>
      <protection locked="0"/>
    </xf>
    <xf numFmtId="173" fontId="30" fillId="0" borderId="0" xfId="0" applyNumberFormat="1" applyFont="1" applyBorder="1" applyAlignment="1" applyProtection="1">
      <alignment horizontal="right"/>
      <protection locked="0"/>
    </xf>
    <xf numFmtId="173" fontId="30" fillId="0" borderId="0" xfId="0" applyNumberFormat="1" applyFont="1" applyAlignment="1">
      <alignment horizontal="left"/>
    </xf>
    <xf numFmtId="173" fontId="30" fillId="0" borderId="0" xfId="0" applyNumberFormat="1" applyFont="1" applyAlignment="1">
      <alignment horizontal="right"/>
    </xf>
    <xf numFmtId="173" fontId="30" fillId="0" borderId="0" xfId="0" applyNumberFormat="1" applyFont="1" applyAlignment="1">
      <alignment/>
    </xf>
    <xf numFmtId="173" fontId="33" fillId="0" borderId="0" xfId="0" applyNumberFormat="1" applyFont="1" applyAlignment="1">
      <alignment horizontal="left" indent="1"/>
    </xf>
    <xf numFmtId="173" fontId="30" fillId="0" borderId="0" xfId="0" applyNumberFormat="1" applyFont="1" applyAlignment="1" applyProtection="1">
      <alignment/>
      <protection locked="0"/>
    </xf>
    <xf numFmtId="0" fontId="33" fillId="0" borderId="0" xfId="0" applyFont="1" applyAlignment="1" applyProtection="1">
      <alignment/>
      <protection locked="0"/>
    </xf>
    <xf numFmtId="173" fontId="34" fillId="0" borderId="0" xfId="0" applyNumberFormat="1" applyFont="1" applyAlignment="1">
      <alignment horizontal="center"/>
    </xf>
    <xf numFmtId="173" fontId="30" fillId="0" borderId="0" xfId="59" applyNumberFormat="1" applyFont="1" applyAlignment="1">
      <alignment horizontal="right"/>
      <protection/>
    </xf>
    <xf numFmtId="173" fontId="33" fillId="0" borderId="0" xfId="59" applyNumberFormat="1" applyFont="1" applyAlignment="1">
      <alignment horizontal="left" indent="1"/>
      <protection/>
    </xf>
    <xf numFmtId="173" fontId="30" fillId="0" borderId="0" xfId="59" applyNumberFormat="1" applyFont="1" applyAlignment="1">
      <alignment horizontal="left"/>
      <protection/>
    </xf>
    <xf numFmtId="0" fontId="35" fillId="0" borderId="0" xfId="59" applyFont="1" applyAlignment="1">
      <alignment horizontal="left" indent="2"/>
      <protection/>
    </xf>
    <xf numFmtId="173" fontId="30" fillId="0" borderId="10" xfId="59" applyNumberFormat="1" applyFont="1" applyBorder="1" applyAlignment="1" applyProtection="1">
      <alignment horizontal="right"/>
      <protection locked="0"/>
    </xf>
    <xf numFmtId="173" fontId="35" fillId="0" borderId="0" xfId="59" applyNumberFormat="1" applyFont="1" applyAlignment="1">
      <alignment horizontal="left" indent="2"/>
      <protection/>
    </xf>
    <xf numFmtId="173" fontId="30" fillId="0" borderId="0" xfId="59" applyNumberFormat="1" applyFont="1" applyAlignment="1" applyProtection="1">
      <alignment horizontal="left"/>
      <protection locked="0"/>
    </xf>
    <xf numFmtId="173"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73" fontId="35" fillId="0" borderId="0" xfId="59" applyNumberFormat="1" applyFont="1" applyAlignment="1" applyProtection="1">
      <alignment horizontal="left" indent="2"/>
      <protection locked="0"/>
    </xf>
    <xf numFmtId="173" fontId="30" fillId="0" borderId="0" xfId="59" applyNumberFormat="1" applyFont="1" applyBorder="1" applyAlignment="1">
      <alignment horizontal="right"/>
      <protection/>
    </xf>
    <xf numFmtId="173" fontId="30" fillId="0" borderId="0" xfId="0" applyNumberFormat="1" applyFont="1" applyBorder="1" applyAlignment="1">
      <alignment/>
    </xf>
    <xf numFmtId="0" fontId="30" fillId="0" borderId="0" xfId="59" applyFont="1" applyAlignment="1" applyProtection="1">
      <alignment horizontal="left" indent="1"/>
      <protection locked="0"/>
    </xf>
    <xf numFmtId="173" fontId="30" fillId="0" borderId="0" xfId="59" applyNumberFormat="1" applyFont="1" applyAlignment="1" applyProtection="1">
      <alignment horizontal="left" indent="1"/>
      <protection locked="0"/>
    </xf>
    <xf numFmtId="173" fontId="30" fillId="0" borderId="10" xfId="0" applyNumberFormat="1" applyFont="1" applyBorder="1" applyAlignment="1" applyProtection="1">
      <alignment/>
      <protection locked="0"/>
    </xf>
    <xf numFmtId="173"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73" fontId="30" fillId="0" borderId="0" xfId="59" applyNumberFormat="1" applyFont="1" applyBorder="1" applyAlignment="1" applyProtection="1">
      <alignment horizontal="right"/>
      <protection locked="0"/>
    </xf>
    <xf numFmtId="173" fontId="33" fillId="0" borderId="0" xfId="59" applyNumberFormat="1" applyFont="1" applyAlignment="1" applyProtection="1">
      <alignment horizontal="left" indent="1"/>
      <protection locked="0"/>
    </xf>
    <xf numFmtId="173"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73" fontId="30" fillId="0" borderId="0" xfId="59" applyNumberFormat="1" applyFont="1" applyBorder="1" applyAlignment="1" applyProtection="1">
      <alignment horizontal="left" indent="1"/>
      <protection locked="0"/>
    </xf>
    <xf numFmtId="173"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73" fontId="30" fillId="0" borderId="0" xfId="0" applyNumberFormat="1" applyFont="1" applyBorder="1" applyAlignment="1" applyProtection="1">
      <alignment horizontal="left" indent="1"/>
      <protection locked="0"/>
    </xf>
    <xf numFmtId="173" fontId="30" fillId="0" borderId="0" xfId="0" applyNumberFormat="1" applyFont="1" applyBorder="1" applyAlignment="1" applyProtection="1">
      <alignment horizontal="left"/>
      <protection locked="0"/>
    </xf>
    <xf numFmtId="173" fontId="33" fillId="0" borderId="0" xfId="0" applyNumberFormat="1" applyFont="1" applyBorder="1" applyAlignment="1">
      <alignment horizontal="left" indent="1"/>
    </xf>
    <xf numFmtId="173" fontId="33" fillId="0" borderId="0" xfId="0" applyNumberFormat="1" applyFont="1" applyAlignment="1" applyProtection="1">
      <alignment/>
      <protection locked="0"/>
    </xf>
    <xf numFmtId="0" fontId="33" fillId="0" borderId="0" xfId="0" applyFont="1" applyAlignment="1" applyProtection="1">
      <alignment/>
      <protection/>
    </xf>
    <xf numFmtId="173" fontId="33" fillId="0" borderId="0" xfId="0" applyNumberFormat="1" applyFont="1" applyAlignment="1" applyProtection="1">
      <alignment/>
      <protection/>
    </xf>
    <xf numFmtId="173" fontId="30" fillId="0" borderId="0" xfId="0" applyNumberFormat="1" applyFont="1" applyAlignment="1" applyProtection="1">
      <alignment/>
      <protection/>
    </xf>
    <xf numFmtId="164"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171"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75"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164" fontId="27" fillId="0" borderId="0" xfId="0" applyNumberFormat="1" applyFont="1" applyBorder="1" applyAlignment="1">
      <alignment/>
    </xf>
    <xf numFmtId="164" fontId="0" fillId="0" borderId="13" xfId="0" applyNumberFormat="1" applyBorder="1" applyAlignment="1">
      <alignment/>
    </xf>
    <xf numFmtId="164" fontId="27" fillId="0" borderId="12" xfId="0" applyNumberFormat="1" applyFont="1" applyBorder="1" applyAlignment="1">
      <alignment/>
    </xf>
    <xf numFmtId="164" fontId="27" fillId="0" borderId="10" xfId="0" applyNumberFormat="1" applyFont="1" applyBorder="1" applyAlignment="1">
      <alignment/>
    </xf>
    <xf numFmtId="164"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75"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75" fontId="0" fillId="24" borderId="10" xfId="42" applyNumberFormat="1" applyFont="1" applyFill="1" applyBorder="1" applyAlignment="1" applyProtection="1">
      <alignment/>
      <protection locked="0"/>
    </xf>
    <xf numFmtId="175" fontId="0" fillId="24" borderId="13" xfId="42" applyNumberFormat="1" applyFont="1" applyFill="1" applyBorder="1" applyAlignment="1" applyProtection="1">
      <alignment/>
      <protection locked="0"/>
    </xf>
    <xf numFmtId="164" fontId="0" fillId="0" borderId="13" xfId="0" applyNumberFormat="1" applyBorder="1" applyAlignment="1" applyProtection="1">
      <alignment/>
      <protection locked="0"/>
    </xf>
    <xf numFmtId="164"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75" fontId="0" fillId="20" borderId="10" xfId="42" applyNumberFormat="1" applyFont="1" applyFill="1" applyBorder="1" applyAlignment="1" applyProtection="1">
      <alignment/>
      <protection/>
    </xf>
    <xf numFmtId="171" fontId="0" fillId="0" borderId="10" xfId="42" applyFont="1" applyFill="1" applyBorder="1" applyAlignment="1" applyProtection="1">
      <alignment/>
      <protection locked="0"/>
    </xf>
    <xf numFmtId="171" fontId="0" fillId="20" borderId="10" xfId="42" applyFont="1" applyFill="1" applyBorder="1" applyAlignment="1" applyProtection="1">
      <alignment/>
      <protection/>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171" fontId="0" fillId="26" borderId="10" xfId="42" applyFont="1" applyFill="1" applyBorder="1" applyAlignment="1" applyProtection="1">
      <alignment/>
      <protection locked="0"/>
    </xf>
    <xf numFmtId="171" fontId="0" fillId="26" borderId="10" xfId="42" applyFont="1" applyFill="1" applyBorder="1" applyAlignment="1" applyProtection="1">
      <alignment/>
      <protection/>
    </xf>
    <xf numFmtId="175" fontId="0" fillId="27" borderId="10" xfId="42" applyNumberFormat="1" applyFont="1" applyFill="1" applyBorder="1" applyAlignment="1" applyProtection="1">
      <alignment/>
      <protection/>
    </xf>
    <xf numFmtId="175" fontId="0" fillId="27" borderId="10" xfId="42" applyNumberFormat="1" applyFont="1" applyFill="1" applyBorder="1" applyAlignment="1" applyProtection="1">
      <alignment/>
      <protection locked="0"/>
    </xf>
    <xf numFmtId="175" fontId="0" fillId="27" borderId="13" xfId="42" applyNumberFormat="1" applyFont="1" applyFill="1" applyBorder="1" applyAlignment="1" applyProtection="1">
      <alignment/>
      <protection locked="0"/>
    </xf>
    <xf numFmtId="175"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75" fontId="0" fillId="26" borderId="10"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75"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75" fontId="0" fillId="26" borderId="19" xfId="42" applyNumberFormat="1" applyFont="1" applyFill="1" applyBorder="1" applyAlignment="1" applyProtection="1">
      <alignment/>
      <protection locked="0"/>
    </xf>
    <xf numFmtId="171"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75" fontId="27" fillId="27" borderId="0" xfId="42" applyNumberFormat="1" applyFont="1" applyFill="1" applyBorder="1" applyAlignment="1" applyProtection="1">
      <alignment/>
      <protection/>
    </xf>
    <xf numFmtId="175"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75" fontId="0" fillId="0" borderId="15" xfId="42" applyNumberFormat="1" applyFont="1" applyFill="1" applyBorder="1" applyAlignment="1" applyProtection="1">
      <alignment/>
      <protection locked="0"/>
    </xf>
    <xf numFmtId="171" fontId="0" fillId="0" borderId="13" xfId="42" applyFont="1" applyFill="1" applyBorder="1" applyAlignment="1" applyProtection="1">
      <alignment/>
      <protection locked="0"/>
    </xf>
    <xf numFmtId="171" fontId="0" fillId="26" borderId="13" xfId="42" applyFont="1" applyFill="1" applyBorder="1" applyAlignment="1" applyProtection="1">
      <alignment/>
      <protection locked="0"/>
    </xf>
    <xf numFmtId="171" fontId="0" fillId="8" borderId="15" xfId="42" applyFont="1" applyFill="1" applyBorder="1" applyAlignment="1" applyProtection="1">
      <alignment/>
      <protection locked="0"/>
    </xf>
    <xf numFmtId="175" fontId="0" fillId="26" borderId="20" xfId="42" applyNumberFormat="1" applyFont="1" applyFill="1" applyBorder="1" applyAlignment="1" applyProtection="1">
      <alignment/>
      <protection locked="0"/>
    </xf>
    <xf numFmtId="175"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175" fontId="0" fillId="27" borderId="21"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75"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73"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73"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164" fontId="0" fillId="0" borderId="26" xfId="0" applyNumberFormat="1" applyBorder="1" applyAlignment="1" applyProtection="1">
      <alignment horizontal="center"/>
      <protection/>
    </xf>
    <xf numFmtId="164"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3" fillId="0" borderId="24" xfId="0" applyFont="1" applyBorder="1" applyAlignment="1">
      <alignment wrapText="1"/>
    </xf>
    <xf numFmtId="164" fontId="53" fillId="26" borderId="0" xfId="0" applyNumberFormat="1" applyFont="1" applyFill="1" applyBorder="1" applyAlignment="1">
      <alignment horizontal="right" wrapText="1"/>
    </xf>
    <xf numFmtId="0" fontId="0" fillId="0" borderId="26" xfId="0" applyBorder="1" applyAlignment="1">
      <alignment wrapText="1"/>
    </xf>
    <xf numFmtId="0" fontId="53" fillId="0" borderId="27" xfId="0" applyFont="1" applyBorder="1" applyAlignment="1">
      <alignment wrapText="1"/>
    </xf>
    <xf numFmtId="173" fontId="53" fillId="26" borderId="25" xfId="0" applyNumberFormat="1" applyFont="1" applyFill="1" applyBorder="1" applyAlignment="1">
      <alignment horizontal="center" wrapText="1"/>
    </xf>
    <xf numFmtId="164"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73" fontId="53" fillId="26" borderId="0" xfId="0" applyNumberFormat="1" applyFont="1" applyFill="1" applyBorder="1" applyAlignment="1">
      <alignment horizontal="center" wrapText="1"/>
    </xf>
    <xf numFmtId="164" fontId="27" fillId="0" borderId="0" xfId="0" applyNumberFormat="1" applyFont="1" applyBorder="1" applyAlignment="1">
      <alignment wrapText="1"/>
    </xf>
    <xf numFmtId="0" fontId="0" fillId="0" borderId="32" xfId="0" applyBorder="1" applyAlignment="1">
      <alignment/>
    </xf>
    <xf numFmtId="164"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3" fillId="0" borderId="0" xfId="0" applyFont="1" applyBorder="1" applyAlignment="1">
      <alignment wrapText="1"/>
    </xf>
    <xf numFmtId="0" fontId="53"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73"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164" fontId="0" fillId="0" borderId="0" xfId="0" applyNumberFormat="1" applyBorder="1" applyAlignment="1" applyProtection="1">
      <alignment horizontal="center"/>
      <protection/>
    </xf>
    <xf numFmtId="164"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75" fontId="0" fillId="26" borderId="15" xfId="42" applyNumberFormat="1" applyFont="1" applyFill="1" applyBorder="1" applyAlignment="1" applyProtection="1">
      <alignment/>
      <protection locked="0"/>
    </xf>
    <xf numFmtId="175" fontId="0" fillId="0" borderId="17" xfId="42" applyNumberFormat="1" applyFont="1" applyFill="1" applyBorder="1" applyAlignment="1" applyProtection="1">
      <alignment/>
      <protection locked="0"/>
    </xf>
    <xf numFmtId="175"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73"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72"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73" fontId="30" fillId="0" borderId="0" xfId="0" applyNumberFormat="1" applyFont="1" applyAlignment="1">
      <alignment horizontal="center"/>
    </xf>
    <xf numFmtId="173" fontId="30" fillId="0" borderId="0" xfId="0" applyNumberFormat="1" applyFont="1" applyAlignment="1" applyProtection="1">
      <alignment horizontal="center"/>
      <protection locked="0"/>
    </xf>
    <xf numFmtId="173" fontId="33" fillId="0" borderId="0" xfId="0" applyNumberFormat="1" applyFont="1" applyAlignment="1">
      <alignment horizontal="center"/>
    </xf>
    <xf numFmtId="173" fontId="33" fillId="0" borderId="0" xfId="59" applyNumberFormat="1" applyFont="1" applyAlignment="1">
      <alignment horizontal="center"/>
      <protection/>
    </xf>
    <xf numFmtId="173" fontId="35" fillId="0" borderId="0" xfId="59" applyNumberFormat="1" applyFont="1" applyAlignment="1">
      <alignment horizontal="center"/>
      <protection/>
    </xf>
    <xf numFmtId="173" fontId="30" fillId="0" borderId="0" xfId="59" applyNumberFormat="1" applyFont="1" applyAlignment="1" applyProtection="1">
      <alignment horizontal="center"/>
      <protection locked="0"/>
    </xf>
    <xf numFmtId="173" fontId="35" fillId="0" borderId="0" xfId="59" applyNumberFormat="1" applyFont="1" applyAlignment="1" applyProtection="1">
      <alignment horizontal="center"/>
      <protection locked="0"/>
    </xf>
    <xf numFmtId="173" fontId="33" fillId="0" borderId="0" xfId="59" applyNumberFormat="1" applyFont="1" applyAlignment="1" applyProtection="1">
      <alignment horizontal="center"/>
      <protection locked="0"/>
    </xf>
    <xf numFmtId="173" fontId="30" fillId="0" borderId="0" xfId="59" applyNumberFormat="1" applyFont="1" applyBorder="1" applyAlignment="1" applyProtection="1">
      <alignment horizontal="center"/>
      <protection locked="0"/>
    </xf>
    <xf numFmtId="173" fontId="30" fillId="0" borderId="0" xfId="0" applyNumberFormat="1" applyFont="1" applyBorder="1" applyAlignment="1" applyProtection="1">
      <alignment horizontal="center"/>
      <protection locked="0"/>
    </xf>
    <xf numFmtId="173" fontId="33" fillId="0" borderId="0" xfId="0" applyNumberFormat="1" applyFont="1" applyBorder="1" applyAlignment="1">
      <alignment horizontal="center"/>
    </xf>
    <xf numFmtId="173" fontId="33" fillId="0" borderId="0" xfId="0" applyNumberFormat="1" applyFont="1" applyAlignment="1" applyProtection="1">
      <alignment horizontal="center"/>
      <protection locked="0"/>
    </xf>
    <xf numFmtId="173"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164"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73" fontId="30" fillId="28" borderId="10" xfId="0" applyNumberFormat="1" applyFont="1" applyFill="1" applyBorder="1" applyAlignment="1" applyProtection="1">
      <alignment/>
      <protection/>
    </xf>
    <xf numFmtId="173" fontId="30" fillId="26" borderId="0" xfId="59" applyNumberFormat="1" applyFont="1" applyFill="1" applyAlignment="1" applyProtection="1">
      <alignment horizontal="left"/>
      <protection locked="0"/>
    </xf>
    <xf numFmtId="173"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73" fontId="30" fillId="26" borderId="0" xfId="0" applyNumberFormat="1" applyFont="1" applyFill="1" applyAlignment="1" applyProtection="1">
      <alignment horizontal="right"/>
      <protection locked="0"/>
    </xf>
    <xf numFmtId="173" fontId="30" fillId="26" borderId="0" xfId="0" applyNumberFormat="1" applyFont="1" applyFill="1" applyBorder="1" applyAlignment="1" applyProtection="1">
      <alignment horizontal="right"/>
      <protection locked="0"/>
    </xf>
    <xf numFmtId="173" fontId="30" fillId="26" borderId="0" xfId="0" applyNumberFormat="1" applyFont="1" applyFill="1" applyAlignment="1">
      <alignment horizontal="right"/>
    </xf>
    <xf numFmtId="173" fontId="30" fillId="26" borderId="0" xfId="0" applyNumberFormat="1" applyFont="1" applyFill="1" applyAlignment="1" applyProtection="1">
      <alignment horizontal="left"/>
      <protection locked="0"/>
    </xf>
    <xf numFmtId="173" fontId="34" fillId="26" borderId="0" xfId="0" applyNumberFormat="1" applyFont="1" applyFill="1" applyAlignment="1">
      <alignment horizontal="center"/>
    </xf>
    <xf numFmtId="173" fontId="30" fillId="26" borderId="0" xfId="59" applyNumberFormat="1" applyFont="1" applyFill="1" applyAlignment="1">
      <alignment horizontal="right"/>
      <protection/>
    </xf>
    <xf numFmtId="173" fontId="30" fillId="26" borderId="0" xfId="59" applyNumberFormat="1" applyFont="1" applyFill="1" applyAlignment="1" applyProtection="1">
      <alignment horizontal="right"/>
      <protection locked="0"/>
    </xf>
    <xf numFmtId="0" fontId="0" fillId="26" borderId="0" xfId="0" applyFill="1" applyAlignment="1">
      <alignment/>
    </xf>
    <xf numFmtId="173" fontId="30" fillId="26" borderId="0" xfId="59" applyNumberFormat="1" applyFont="1" applyFill="1" applyBorder="1" applyAlignment="1" applyProtection="1">
      <alignment horizontal="right"/>
      <protection locked="0"/>
    </xf>
    <xf numFmtId="173"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73" fontId="35" fillId="0" borderId="12" xfId="59" applyNumberFormat="1" applyFont="1" applyBorder="1" applyAlignment="1" applyProtection="1">
      <alignment horizontal="center"/>
      <protection locked="0"/>
    </xf>
    <xf numFmtId="173" fontId="30" fillId="0" borderId="15" xfId="0" applyNumberFormat="1" applyFont="1" applyBorder="1" applyAlignment="1" applyProtection="1">
      <alignment horizontal="left" wrapText="1" indent="1"/>
      <protection locked="0"/>
    </xf>
    <xf numFmtId="173" fontId="30" fillId="0" borderId="10" xfId="0" applyNumberFormat="1" applyFont="1" applyBorder="1" applyAlignment="1" applyProtection="1">
      <alignment horizontal="left" wrapText="1" indent="1"/>
      <protection locked="0"/>
    </xf>
    <xf numFmtId="177" fontId="35" fillId="0" borderId="12" xfId="59" applyNumberFormat="1" applyFont="1" applyBorder="1" applyAlignment="1" applyProtection="1">
      <alignment horizontal="center"/>
      <protection locked="0"/>
    </xf>
    <xf numFmtId="173" fontId="33" fillId="0" borderId="12" xfId="0" applyNumberFormat="1" applyFont="1" applyBorder="1" applyAlignment="1" applyProtection="1">
      <alignment/>
      <protection locked="0"/>
    </xf>
    <xf numFmtId="173" fontId="33" fillId="0" borderId="0" xfId="59" applyNumberFormat="1" applyFont="1" applyFill="1" applyBorder="1" applyAlignment="1">
      <alignment horizontal="right"/>
      <protection/>
    </xf>
    <xf numFmtId="173" fontId="33" fillId="0" borderId="0" xfId="0" applyNumberFormat="1" applyFont="1" applyBorder="1" applyAlignment="1">
      <alignment horizontal="left"/>
    </xf>
    <xf numFmtId="173" fontId="33" fillId="26" borderId="0" xfId="0" applyNumberFormat="1" applyFont="1" applyFill="1" applyBorder="1" applyAlignment="1">
      <alignment horizontal="right"/>
    </xf>
    <xf numFmtId="0" fontId="33" fillId="26" borderId="0" xfId="0" applyFont="1" applyFill="1" applyBorder="1" applyAlignment="1">
      <alignment/>
    </xf>
    <xf numFmtId="173" fontId="33" fillId="0" borderId="0" xfId="0" applyNumberFormat="1" applyFont="1" applyAlignment="1" applyProtection="1">
      <alignment horizontal="left"/>
      <protection/>
    </xf>
    <xf numFmtId="173" fontId="33" fillId="26" borderId="0" xfId="0" applyNumberFormat="1" applyFont="1" applyFill="1" applyAlignment="1" applyProtection="1">
      <alignment horizontal="right"/>
      <protection/>
    </xf>
    <xf numFmtId="0" fontId="33" fillId="26" borderId="0" xfId="0" applyFont="1" applyFill="1" applyAlignment="1">
      <alignment/>
    </xf>
    <xf numFmtId="173" fontId="33" fillId="0" borderId="0" xfId="59" applyNumberFormat="1" applyFont="1" applyAlignment="1">
      <alignment horizontal="left"/>
      <protection/>
    </xf>
    <xf numFmtId="173" fontId="33" fillId="26" borderId="0" xfId="59" applyNumberFormat="1" applyFont="1" applyFill="1" applyAlignment="1">
      <alignment horizontal="right"/>
      <protection/>
    </xf>
    <xf numFmtId="173" fontId="33" fillId="0" borderId="0" xfId="59" applyNumberFormat="1" applyFont="1" applyAlignment="1" applyProtection="1">
      <alignment horizontal="left"/>
      <protection/>
    </xf>
    <xf numFmtId="173" fontId="33" fillId="26" borderId="0" xfId="59" applyNumberFormat="1" applyFont="1" applyFill="1" applyAlignment="1" applyProtection="1">
      <alignment horizontal="right"/>
      <protection/>
    </xf>
    <xf numFmtId="173"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73"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73" fontId="30" fillId="0" borderId="0" xfId="0" applyNumberFormat="1" applyFont="1" applyBorder="1" applyAlignment="1">
      <alignment/>
    </xf>
    <xf numFmtId="173"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73" fontId="30" fillId="0" borderId="0" xfId="0" applyNumberFormat="1" applyFont="1" applyBorder="1" applyAlignment="1">
      <alignment horizontal="left" wrapText="1" indent="1"/>
    </xf>
    <xf numFmtId="173" fontId="33" fillId="29" borderId="12" xfId="0" applyNumberFormat="1" applyFont="1" applyFill="1" applyBorder="1" applyAlignment="1">
      <alignment wrapText="1"/>
    </xf>
    <xf numFmtId="173"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164"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164"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164" fontId="27" fillId="28" borderId="10" xfId="0" applyNumberFormat="1" applyFont="1" applyFill="1" applyBorder="1" applyAlignment="1">
      <alignment horizontal="center"/>
    </xf>
    <xf numFmtId="164"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164"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171"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75" fontId="0" fillId="29" borderId="22" xfId="42" applyNumberFormat="1" applyFont="1" applyFill="1" applyBorder="1" applyAlignment="1" applyProtection="1">
      <alignment/>
      <protection/>
    </xf>
    <xf numFmtId="175" fontId="0" fillId="29" borderId="38" xfId="42" applyNumberFormat="1" applyFont="1" applyFill="1" applyBorder="1" applyAlignment="1" applyProtection="1">
      <alignment/>
      <protection/>
    </xf>
    <xf numFmtId="175" fontId="0" fillId="29" borderId="39" xfId="42" applyNumberFormat="1" applyFont="1" applyFill="1" applyBorder="1" applyAlignment="1" applyProtection="1">
      <alignment/>
      <protection/>
    </xf>
    <xf numFmtId="175" fontId="0" fillId="29" borderId="40" xfId="42" applyNumberFormat="1" applyFont="1" applyFill="1" applyBorder="1" applyAlignment="1" applyProtection="1">
      <alignment/>
      <protection/>
    </xf>
    <xf numFmtId="175"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164" fontId="35" fillId="0" borderId="12" xfId="59" applyNumberFormat="1" applyFont="1" applyBorder="1" applyAlignment="1" applyProtection="1">
      <alignment horizontal="center"/>
      <protection locked="0"/>
    </xf>
    <xf numFmtId="164" fontId="27" fillId="27" borderId="42" xfId="42" applyNumberFormat="1" applyFont="1" applyFill="1" applyBorder="1" applyAlignment="1" applyProtection="1">
      <alignment/>
      <protection/>
    </xf>
    <xf numFmtId="164" fontId="27" fillId="27" borderId="10" xfId="42" applyNumberFormat="1" applyFont="1" applyFill="1" applyBorder="1" applyAlignment="1" applyProtection="1">
      <alignment/>
      <protection/>
    </xf>
    <xf numFmtId="164" fontId="27" fillId="27" borderId="0" xfId="42" applyNumberFormat="1" applyFont="1" applyFill="1" applyBorder="1" applyAlignment="1" applyProtection="1">
      <alignment/>
      <protection/>
    </xf>
    <xf numFmtId="164" fontId="0" fillId="0" borderId="0" xfId="0" applyNumberFormat="1" applyAlignment="1" applyProtection="1">
      <alignment/>
      <protection locked="0"/>
    </xf>
    <xf numFmtId="164" fontId="27" fillId="0" borderId="12" xfId="0" applyNumberFormat="1" applyFont="1" applyBorder="1" applyAlignment="1" applyProtection="1">
      <alignment/>
      <protection locked="0"/>
    </xf>
    <xf numFmtId="175" fontId="0" fillId="27" borderId="43" xfId="42" applyNumberFormat="1" applyFont="1" applyFill="1" applyBorder="1" applyAlignment="1" applyProtection="1">
      <alignment/>
      <protection locked="0"/>
    </xf>
    <xf numFmtId="175" fontId="0" fillId="27" borderId="44" xfId="42" applyNumberFormat="1" applyFont="1" applyFill="1" applyBorder="1" applyAlignment="1" applyProtection="1">
      <alignment/>
      <protection/>
    </xf>
    <xf numFmtId="175" fontId="0" fillId="27" borderId="45" xfId="42" applyNumberFormat="1" applyFont="1" applyFill="1" applyBorder="1" applyAlignment="1" applyProtection="1">
      <alignment/>
      <protection/>
    </xf>
    <xf numFmtId="175"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164" fontId="27" fillId="27" borderId="0" xfId="0" applyNumberFormat="1" applyFont="1" applyFill="1" applyBorder="1" applyAlignment="1" applyProtection="1">
      <alignment/>
      <protection/>
    </xf>
    <xf numFmtId="164"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164" fontId="30" fillId="28" borderId="10" xfId="0" applyNumberFormat="1" applyFont="1" applyFill="1" applyBorder="1" applyAlignment="1" applyProtection="1">
      <alignment horizontal="right"/>
      <protection/>
    </xf>
    <xf numFmtId="164" fontId="30" fillId="0" borderId="0" xfId="0" applyNumberFormat="1" applyFont="1" applyAlignment="1" applyProtection="1">
      <alignment horizontal="left"/>
      <protection locked="0"/>
    </xf>
    <xf numFmtId="164" fontId="30" fillId="26" borderId="0" xfId="0" applyNumberFormat="1" applyFont="1" applyFill="1" applyAlignment="1" applyProtection="1">
      <alignment horizontal="right"/>
      <protection locked="0"/>
    </xf>
    <xf numFmtId="164" fontId="30" fillId="26" borderId="0" xfId="0" applyNumberFormat="1" applyFont="1" applyFill="1" applyAlignment="1">
      <alignment/>
    </xf>
    <xf numFmtId="175"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75" fontId="0" fillId="26" borderId="0" xfId="42" applyNumberFormat="1" applyFont="1" applyFill="1" applyBorder="1" applyAlignment="1" applyProtection="1">
      <alignment/>
      <protection locked="0"/>
    </xf>
    <xf numFmtId="175"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164"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2" fillId="0" borderId="0" xfId="0" applyFont="1" applyFill="1" applyBorder="1" applyAlignment="1" applyProtection="1">
      <alignment wrapText="1"/>
      <protection/>
    </xf>
    <xf numFmtId="171" fontId="0" fillId="28" borderId="15" xfId="42" applyFont="1" applyFill="1" applyBorder="1" applyAlignment="1" applyProtection="1">
      <alignment horizontal="center"/>
      <protection/>
    </xf>
    <xf numFmtId="173"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73"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75"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164" fontId="27" fillId="0" borderId="33"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0"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73" fontId="33" fillId="28" borderId="12" xfId="0" applyNumberFormat="1" applyFont="1" applyFill="1" applyBorder="1" applyAlignment="1" applyProtection="1">
      <alignment horizontal="right"/>
      <protection/>
    </xf>
    <xf numFmtId="173" fontId="33" fillId="28" borderId="12" xfId="0" applyNumberFormat="1" applyFont="1" applyFill="1" applyBorder="1" applyAlignment="1" applyProtection="1">
      <alignment/>
      <protection/>
    </xf>
    <xf numFmtId="173" fontId="33" fillId="28" borderId="12" xfId="59" applyNumberFormat="1" applyFont="1" applyFill="1" applyBorder="1" applyAlignment="1">
      <alignment horizontal="right"/>
      <protection/>
    </xf>
    <xf numFmtId="173" fontId="33" fillId="28" borderId="12" xfId="59" applyNumberFormat="1" applyFont="1" applyFill="1" applyBorder="1" applyAlignment="1" applyProtection="1">
      <alignment horizontal="right"/>
      <protection/>
    </xf>
    <xf numFmtId="164" fontId="33" fillId="28" borderId="12" xfId="59" applyNumberFormat="1" applyFont="1" applyFill="1" applyBorder="1" applyAlignment="1">
      <alignment horizontal="right"/>
      <protection/>
    </xf>
    <xf numFmtId="164"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73" fontId="35" fillId="28" borderId="12" xfId="0" applyNumberFormat="1" applyFont="1" applyFill="1" applyBorder="1" applyAlignment="1" applyProtection="1">
      <alignment horizontal="center"/>
      <protection/>
    </xf>
    <xf numFmtId="173" fontId="30" fillId="28" borderId="12" xfId="59" applyNumberFormat="1" applyFont="1" applyFill="1" applyBorder="1" applyAlignment="1" applyProtection="1">
      <alignment horizontal="center"/>
      <protection/>
    </xf>
    <xf numFmtId="173" fontId="35" fillId="28" borderId="12" xfId="59" applyNumberFormat="1" applyFont="1" applyFill="1" applyBorder="1" applyAlignment="1" applyProtection="1">
      <alignment horizontal="center"/>
      <protection/>
    </xf>
    <xf numFmtId="173"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75" fontId="0" fillId="28" borderId="10" xfId="42" applyNumberFormat="1" applyFont="1" applyFill="1" applyBorder="1" applyAlignment="1" applyProtection="1">
      <alignment/>
      <protection/>
    </xf>
    <xf numFmtId="175" fontId="0" fillId="28" borderId="43" xfId="42" applyNumberFormat="1" applyFont="1" applyFill="1" applyBorder="1" applyAlignment="1" applyProtection="1">
      <alignment/>
      <protection/>
    </xf>
    <xf numFmtId="175" fontId="42"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75" fontId="0" fillId="28" borderId="15" xfId="42" applyNumberFormat="1" applyFont="1" applyFill="1" applyBorder="1" applyAlignment="1" applyProtection="1">
      <alignment/>
      <protection/>
    </xf>
    <xf numFmtId="175" fontId="0" fillId="28" borderId="48" xfId="42" applyNumberFormat="1" applyFont="1" applyFill="1" applyBorder="1" applyAlignment="1" applyProtection="1">
      <alignment/>
      <protection/>
    </xf>
    <xf numFmtId="0" fontId="43" fillId="28" borderId="15" xfId="0" applyFont="1" applyFill="1" applyBorder="1" applyAlignment="1" applyProtection="1">
      <alignment horizontal="left"/>
      <protection/>
    </xf>
    <xf numFmtId="0" fontId="43" fillId="28" borderId="10" xfId="0" applyFont="1" applyFill="1" applyBorder="1" applyAlignment="1" applyProtection="1">
      <alignment horizontal="left"/>
      <protection/>
    </xf>
    <xf numFmtId="0" fontId="43"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171"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75" fontId="0" fillId="29" borderId="21" xfId="42" applyNumberFormat="1" applyFont="1" applyFill="1" applyBorder="1" applyAlignment="1" applyProtection="1">
      <alignment/>
      <protection/>
    </xf>
    <xf numFmtId="171" fontId="0" fillId="29" borderId="40" xfId="42" applyFont="1" applyFill="1" applyBorder="1" applyAlignment="1" applyProtection="1">
      <alignment/>
      <protection/>
    </xf>
    <xf numFmtId="171" fontId="0" fillId="29" borderId="41" xfId="42" applyFont="1" applyFill="1" applyBorder="1" applyAlignment="1" applyProtection="1">
      <alignment/>
      <protection/>
    </xf>
    <xf numFmtId="0" fontId="27" fillId="29" borderId="12" xfId="0" applyFont="1" applyFill="1" applyBorder="1" applyAlignment="1" applyProtection="1">
      <alignment/>
      <protection/>
    </xf>
    <xf numFmtId="175" fontId="0" fillId="29" borderId="44" xfId="42" applyNumberFormat="1" applyFont="1" applyFill="1" applyBorder="1" applyAlignment="1" applyProtection="1">
      <alignment/>
      <protection/>
    </xf>
    <xf numFmtId="175"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75" fontId="27" fillId="28" borderId="12" xfId="0" applyNumberFormat="1" applyFont="1" applyFill="1" applyBorder="1" applyAlignment="1" applyProtection="1">
      <alignment horizontal="center"/>
      <protection/>
    </xf>
    <xf numFmtId="175"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164" fontId="27" fillId="28" borderId="12" xfId="42" applyNumberFormat="1" applyFont="1" applyFill="1" applyBorder="1" applyAlignment="1" applyProtection="1">
      <alignment/>
      <protection/>
    </xf>
    <xf numFmtId="175" fontId="27" fillId="28" borderId="12" xfId="0" applyNumberFormat="1" applyFont="1" applyFill="1" applyBorder="1" applyAlignment="1" applyProtection="1">
      <alignment/>
      <protection/>
    </xf>
    <xf numFmtId="164"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73" fontId="27" fillId="28" borderId="13" xfId="0" applyNumberFormat="1" applyFont="1" applyFill="1" applyBorder="1" applyAlignment="1">
      <alignment/>
    </xf>
    <xf numFmtId="173" fontId="26" fillId="28" borderId="12" xfId="0" applyNumberFormat="1" applyFont="1" applyFill="1" applyBorder="1" applyAlignment="1">
      <alignment/>
    </xf>
    <xf numFmtId="173" fontId="27" fillId="28" borderId="15" xfId="0" applyNumberFormat="1" applyFont="1" applyFill="1" applyBorder="1" applyAlignment="1">
      <alignment/>
    </xf>
    <xf numFmtId="173" fontId="0" fillId="28" borderId="15" xfId="0" applyNumberFormat="1" applyFill="1" applyBorder="1" applyAlignment="1">
      <alignment/>
    </xf>
    <xf numFmtId="173"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164" fontId="27" fillId="28" borderId="13" xfId="0" applyNumberFormat="1" applyFont="1" applyFill="1" applyBorder="1" applyAlignment="1">
      <alignment/>
    </xf>
    <xf numFmtId="164"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164"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164"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164"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166" fontId="0" fillId="28" borderId="52" xfId="0" applyNumberFormat="1" applyFill="1" applyBorder="1" applyAlignment="1">
      <alignment/>
    </xf>
    <xf numFmtId="166"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3" fillId="28" borderId="12" xfId="0" applyFont="1" applyFill="1" applyBorder="1" applyAlignment="1">
      <alignment wrapText="1"/>
    </xf>
    <xf numFmtId="173" fontId="53" fillId="28" borderId="12" xfId="0" applyNumberFormat="1" applyFont="1" applyFill="1" applyBorder="1" applyAlignment="1">
      <alignment horizontal="center" wrapText="1"/>
    </xf>
    <xf numFmtId="173" fontId="53" fillId="28" borderId="28" xfId="0" applyNumberFormat="1" applyFont="1" applyFill="1" applyBorder="1" applyAlignment="1">
      <alignment horizontal="center" wrapText="1"/>
    </xf>
    <xf numFmtId="164" fontId="27" fillId="28" borderId="12" xfId="0" applyNumberFormat="1" applyFont="1" applyFill="1" applyBorder="1" applyAlignment="1">
      <alignment wrapText="1"/>
    </xf>
    <xf numFmtId="0" fontId="53" fillId="28" borderId="37" xfId="0" applyFont="1" applyFill="1" applyBorder="1" applyAlignment="1">
      <alignment wrapText="1"/>
    </xf>
    <xf numFmtId="0" fontId="0" fillId="28" borderId="46" xfId="0" applyFont="1" applyFill="1" applyBorder="1" applyAlignment="1">
      <alignment/>
    </xf>
    <xf numFmtId="0" fontId="53" fillId="28" borderId="53" xfId="0" applyFont="1" applyFill="1" applyBorder="1" applyAlignment="1">
      <alignment wrapText="1"/>
    </xf>
    <xf numFmtId="0" fontId="53" fillId="28" borderId="28" xfId="0" applyFont="1" applyFill="1" applyBorder="1" applyAlignment="1">
      <alignment wrapText="1"/>
    </xf>
    <xf numFmtId="37" fontId="0" fillId="28" borderId="10" xfId="0" applyNumberFormat="1" applyFill="1" applyBorder="1" applyAlignment="1">
      <alignment horizontal="center"/>
    </xf>
    <xf numFmtId="164" fontId="0" fillId="28" borderId="52" xfId="0" applyNumberFormat="1" applyFill="1" applyBorder="1" applyAlignment="1">
      <alignment/>
    </xf>
    <xf numFmtId="0" fontId="0" fillId="28" borderId="48" xfId="0" applyFont="1" applyFill="1" applyBorder="1" applyAlignment="1">
      <alignment/>
    </xf>
    <xf numFmtId="0" fontId="53" fillId="28" borderId="54" xfId="0" applyFont="1" applyFill="1" applyBorder="1" applyAlignment="1">
      <alignment wrapText="1"/>
    </xf>
    <xf numFmtId="0" fontId="53" fillId="28" borderId="30" xfId="0" applyFont="1" applyFill="1" applyBorder="1" applyAlignment="1">
      <alignment wrapText="1"/>
    </xf>
    <xf numFmtId="173"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85" fontId="27" fillId="28" borderId="12" xfId="0" applyNumberFormat="1" applyFont="1" applyFill="1" applyBorder="1" applyAlignment="1">
      <alignment horizontal="right"/>
    </xf>
    <xf numFmtId="185" fontId="27" fillId="28" borderId="12" xfId="0" applyNumberFormat="1" applyFont="1" applyFill="1" applyBorder="1" applyAlignment="1">
      <alignment/>
    </xf>
    <xf numFmtId="186" fontId="27" fillId="28" borderId="15" xfId="0" applyNumberFormat="1" applyFont="1" applyFill="1" applyBorder="1" applyAlignment="1">
      <alignment/>
    </xf>
    <xf numFmtId="185"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73" fontId="27" fillId="28" borderId="10" xfId="0" applyNumberFormat="1" applyFont="1" applyFill="1" applyBorder="1" applyAlignment="1" applyProtection="1">
      <alignment horizontal="right"/>
      <protection/>
    </xf>
    <xf numFmtId="164" fontId="27" fillId="28" borderId="28" xfId="0" applyNumberFormat="1" applyFont="1" applyFill="1" applyBorder="1" applyAlignment="1" applyProtection="1">
      <alignment horizontal="right"/>
      <protection/>
    </xf>
    <xf numFmtId="164" fontId="27" fillId="0" borderId="33" xfId="0" applyNumberFormat="1" applyFont="1" applyBorder="1" applyAlignment="1" applyProtection="1">
      <alignment horizontal="right"/>
      <protection/>
    </xf>
    <xf numFmtId="0" fontId="47" fillId="0" borderId="0" xfId="0" applyFont="1" applyAlignment="1">
      <alignment horizontal="center"/>
    </xf>
    <xf numFmtId="164" fontId="35" fillId="28" borderId="12" xfId="59" applyNumberFormat="1" applyFont="1" applyFill="1" applyBorder="1" applyAlignment="1" applyProtection="1">
      <alignment horizontal="center"/>
      <protection/>
    </xf>
    <xf numFmtId="173" fontId="30" fillId="26" borderId="10" xfId="0" applyNumberFormat="1" applyFont="1" applyFill="1" applyBorder="1" applyAlignment="1" applyProtection="1">
      <alignment/>
      <protection locked="0"/>
    </xf>
    <xf numFmtId="164" fontId="30" fillId="0" borderId="0" xfId="0" applyNumberFormat="1" applyFont="1" applyBorder="1" applyAlignment="1" applyProtection="1">
      <alignment/>
      <protection locked="0"/>
    </xf>
    <xf numFmtId="164" fontId="30" fillId="26" borderId="0" xfId="0" applyNumberFormat="1" applyFont="1" applyFill="1" applyBorder="1" applyAlignment="1" applyProtection="1">
      <alignment/>
      <protection locked="0"/>
    </xf>
    <xf numFmtId="164" fontId="30" fillId="0" borderId="0" xfId="0" applyNumberFormat="1" applyFont="1" applyAlignment="1" applyProtection="1">
      <alignment/>
      <protection/>
    </xf>
    <xf numFmtId="164" fontId="30" fillId="26" borderId="0" xfId="0" applyNumberFormat="1" applyFont="1" applyFill="1" applyAlignment="1" applyProtection="1">
      <alignment/>
      <protection/>
    </xf>
    <xf numFmtId="164" fontId="33" fillId="0" borderId="0" xfId="0" applyNumberFormat="1" applyFont="1" applyAlignment="1" applyProtection="1">
      <alignment/>
      <protection locked="0"/>
    </xf>
    <xf numFmtId="164" fontId="33" fillId="26" borderId="0" xfId="0" applyNumberFormat="1" applyFont="1" applyFill="1" applyAlignment="1" applyProtection="1">
      <alignment/>
      <protection locked="0"/>
    </xf>
    <xf numFmtId="164" fontId="30" fillId="26" borderId="0" xfId="0" applyNumberFormat="1" applyFont="1" applyFill="1" applyAlignment="1" applyProtection="1">
      <alignment/>
      <protection locked="0"/>
    </xf>
    <xf numFmtId="177"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164"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164" fontId="27" fillId="26" borderId="0" xfId="0" applyNumberFormat="1" applyFont="1" applyFill="1" applyBorder="1" applyAlignment="1">
      <alignment/>
    </xf>
    <xf numFmtId="164" fontId="27" fillId="26" borderId="0" xfId="0" applyNumberFormat="1" applyFont="1" applyFill="1" applyBorder="1" applyAlignment="1">
      <alignment horizontal="center"/>
    </xf>
    <xf numFmtId="187" fontId="27" fillId="29" borderId="12" xfId="0" applyNumberFormat="1" applyFont="1" applyFill="1" applyBorder="1" applyAlignment="1">
      <alignment horizontal="center"/>
    </xf>
    <xf numFmtId="164"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8"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73" fontId="35" fillId="25" borderId="12" xfId="59" applyNumberFormat="1" applyFont="1" applyFill="1" applyBorder="1" applyAlignment="1" applyProtection="1">
      <alignment horizontal="center"/>
      <protection locked="0"/>
    </xf>
    <xf numFmtId="173" fontId="30" fillId="25" borderId="12" xfId="59" applyNumberFormat="1" applyFont="1" applyFill="1" applyBorder="1" applyAlignment="1" applyProtection="1">
      <alignment horizontal="center"/>
      <protection locked="0"/>
    </xf>
    <xf numFmtId="175"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77" fontId="0" fillId="0" borderId="0" xfId="0" applyNumberFormat="1" applyAlignment="1" applyProtection="1">
      <alignment/>
      <protection locked="0"/>
    </xf>
    <xf numFmtId="177" fontId="0" fillId="0" borderId="0" xfId="0" applyNumberFormat="1" applyAlignment="1">
      <alignment/>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177" fontId="49" fillId="28" borderId="12" xfId="59" applyNumberFormat="1" applyFont="1" applyFill="1" applyBorder="1" applyAlignment="1" applyProtection="1">
      <alignment horizontal="right"/>
      <protection/>
    </xf>
    <xf numFmtId="174" fontId="0" fillId="0" borderId="0" xfId="0" applyNumberFormat="1" applyAlignment="1">
      <alignment/>
    </xf>
    <xf numFmtId="174" fontId="49"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40"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167"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0"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77"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3" fillId="28" borderId="15" xfId="0" applyFont="1" applyFill="1" applyBorder="1" applyAlignment="1" applyProtection="1" quotePrefix="1">
      <alignment vertical="top"/>
      <protection/>
    </xf>
    <xf numFmtId="0" fontId="43"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173" fontId="30" fillId="28" borderId="10" xfId="59" applyNumberFormat="1" applyFont="1" applyFill="1" applyBorder="1" applyAlignment="1" applyProtection="1">
      <alignment horizontal="right"/>
      <protection/>
    </xf>
    <xf numFmtId="164" fontId="27" fillId="26" borderId="10" xfId="42" applyNumberFormat="1" applyFont="1" applyFill="1" applyBorder="1" applyAlignment="1" applyProtection="1">
      <alignment/>
      <protection locked="0"/>
    </xf>
    <xf numFmtId="175"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75"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75" fontId="0" fillId="28" borderId="44" xfId="42" applyNumberFormat="1" applyFont="1" applyFill="1" applyBorder="1" applyAlignment="1" applyProtection="1">
      <alignment/>
      <protection/>
    </xf>
    <xf numFmtId="175" fontId="43" fillId="28" borderId="10" xfId="42" applyNumberFormat="1" applyFont="1" applyFill="1" applyBorder="1" applyAlignment="1" applyProtection="1">
      <alignment horizontal="center"/>
      <protection/>
    </xf>
    <xf numFmtId="175" fontId="0" fillId="28" borderId="57" xfId="42" applyNumberFormat="1" applyFont="1" applyFill="1" applyBorder="1" applyAlignment="1" applyProtection="1">
      <alignment/>
      <protection/>
    </xf>
    <xf numFmtId="175" fontId="0" fillId="29" borderId="58" xfId="42" applyNumberFormat="1" applyFont="1" applyFill="1" applyBorder="1" applyAlignment="1" applyProtection="1">
      <alignment/>
      <protection/>
    </xf>
    <xf numFmtId="175" fontId="0" fillId="28" borderId="12" xfId="42" applyNumberFormat="1" applyFont="1" applyFill="1" applyBorder="1" applyAlignment="1" applyProtection="1">
      <alignment/>
      <protection/>
    </xf>
    <xf numFmtId="0" fontId="0" fillId="27" borderId="0" xfId="0" applyFill="1" applyAlignment="1" applyProtection="1">
      <alignment/>
      <protection/>
    </xf>
    <xf numFmtId="175"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164" fontId="27" fillId="27" borderId="42" xfId="0" applyNumberFormat="1" applyFont="1" applyFill="1" applyBorder="1" applyAlignment="1" applyProtection="1">
      <alignment/>
      <protection/>
    </xf>
    <xf numFmtId="164"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164" fontId="0" fillId="27" borderId="42" xfId="0" applyNumberFormat="1" applyFill="1" applyBorder="1" applyAlignment="1" applyProtection="1">
      <alignment/>
      <protection/>
    </xf>
    <xf numFmtId="164"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75" fontId="0" fillId="26" borderId="22"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locked="0"/>
    </xf>
    <xf numFmtId="175" fontId="0" fillId="27" borderId="59" xfId="42" applyNumberFormat="1" applyFont="1" applyFill="1" applyBorder="1" applyAlignment="1" applyProtection="1">
      <alignment/>
      <protection/>
    </xf>
    <xf numFmtId="175" fontId="0" fillId="29" borderId="12" xfId="42" applyNumberFormat="1" applyFont="1" applyFill="1" applyBorder="1" applyAlignment="1" applyProtection="1">
      <alignment/>
      <protection/>
    </xf>
    <xf numFmtId="171" fontId="39" fillId="29" borderId="11" xfId="42" applyFont="1" applyFill="1" applyBorder="1" applyAlignment="1" applyProtection="1">
      <alignment/>
      <protection/>
    </xf>
    <xf numFmtId="171" fontId="39" fillId="29" borderId="12" xfId="42" applyFont="1" applyFill="1" applyBorder="1" applyAlignment="1" applyProtection="1">
      <alignment/>
      <protection/>
    </xf>
    <xf numFmtId="171" fontId="27" fillId="29" borderId="12" xfId="42" applyFont="1" applyFill="1" applyBorder="1" applyAlignment="1" applyProtection="1">
      <alignment/>
      <protection/>
    </xf>
    <xf numFmtId="171" fontId="27" fillId="29" borderId="37" xfId="42" applyFont="1" applyFill="1" applyBorder="1" applyAlignment="1" applyProtection="1">
      <alignment/>
      <protection/>
    </xf>
    <xf numFmtId="171" fontId="0" fillId="8" borderId="10" xfId="42" applyFont="1" applyFill="1" applyBorder="1" applyAlignment="1" applyProtection="1">
      <alignment/>
      <protection/>
    </xf>
    <xf numFmtId="171" fontId="0" fillId="0" borderId="15" xfId="42" applyFont="1" applyFill="1" applyBorder="1" applyAlignment="1" applyProtection="1">
      <alignment/>
      <protection/>
    </xf>
    <xf numFmtId="171" fontId="0" fillId="8" borderId="13" xfId="42" applyFont="1" applyFill="1" applyBorder="1" applyAlignment="1" applyProtection="1">
      <alignment/>
      <protection/>
    </xf>
    <xf numFmtId="171" fontId="0" fillId="0" borderId="13" xfId="42" applyFont="1" applyFill="1" applyBorder="1" applyAlignment="1" applyProtection="1">
      <alignment/>
      <protection/>
    </xf>
    <xf numFmtId="175" fontId="43" fillId="28" borderId="43" xfId="42" applyNumberFormat="1" applyFont="1" applyFill="1" applyBorder="1" applyAlignment="1" applyProtection="1">
      <alignment horizontal="center"/>
      <protection/>
    </xf>
    <xf numFmtId="175"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164" fontId="27" fillId="27" borderId="22" xfId="0" applyNumberFormat="1" applyFont="1" applyFill="1" applyBorder="1" applyAlignment="1" applyProtection="1">
      <alignment/>
      <protection/>
    </xf>
    <xf numFmtId="164" fontId="27" fillId="27" borderId="0" xfId="0" applyNumberFormat="1" applyFont="1" applyFill="1" applyAlignment="1" applyProtection="1">
      <alignment/>
      <protection/>
    </xf>
    <xf numFmtId="164" fontId="0" fillId="27" borderId="0" xfId="0" applyNumberFormat="1" applyFill="1" applyAlignment="1" applyProtection="1">
      <alignment/>
      <protection/>
    </xf>
    <xf numFmtId="164" fontId="27" fillId="28" borderId="15" xfId="0" applyNumberFormat="1" applyFont="1" applyFill="1" applyBorder="1" applyAlignment="1" applyProtection="1">
      <alignment horizontal="center"/>
      <protection/>
    </xf>
    <xf numFmtId="164"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73" fontId="27" fillId="0" borderId="0" xfId="0" applyNumberFormat="1" applyFont="1" applyBorder="1" applyAlignment="1" applyProtection="1">
      <alignment horizontal="right"/>
      <protection locked="0"/>
    </xf>
    <xf numFmtId="173"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75" fontId="27" fillId="24" borderId="10" xfId="42" applyNumberFormat="1" applyFont="1" applyFill="1" applyBorder="1" applyAlignment="1" applyProtection="1" quotePrefix="1">
      <alignment horizontal="center"/>
      <protection locked="0"/>
    </xf>
    <xf numFmtId="175" fontId="27" fillId="24" borderId="10" xfId="42" applyNumberFormat="1" applyFont="1" applyFill="1" applyBorder="1" applyAlignment="1" applyProtection="1">
      <alignment horizontal="center"/>
      <protection locked="0"/>
    </xf>
    <xf numFmtId="164" fontId="27" fillId="28" borderId="10" xfId="42" applyNumberFormat="1" applyFont="1" applyFill="1" applyBorder="1" applyAlignment="1" applyProtection="1">
      <alignment horizontal="center"/>
      <protection/>
    </xf>
    <xf numFmtId="164" fontId="27" fillId="24" borderId="10" xfId="42" applyNumberFormat="1" applyFont="1" applyFill="1" applyBorder="1" applyAlignment="1" applyProtection="1">
      <alignment horizontal="center"/>
      <protection locked="0"/>
    </xf>
    <xf numFmtId="164" fontId="27" fillId="26" borderId="0" xfId="42" applyNumberFormat="1" applyFont="1" applyFill="1" applyBorder="1" applyAlignment="1" applyProtection="1">
      <alignment horizontal="center"/>
      <protection/>
    </xf>
    <xf numFmtId="164" fontId="27" fillId="26" borderId="0" xfId="42" applyNumberFormat="1" applyFont="1" applyFill="1" applyBorder="1" applyAlignment="1" applyProtection="1">
      <alignment horizontal="center"/>
      <protection locked="0"/>
    </xf>
    <xf numFmtId="164" fontId="27" fillId="0" borderId="0" xfId="0" applyNumberFormat="1" applyFont="1" applyAlignment="1" applyProtection="1">
      <alignment horizontal="center"/>
      <protection locked="0"/>
    </xf>
    <xf numFmtId="164"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175"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73" fontId="33" fillId="0" borderId="0" xfId="0" applyNumberFormat="1" applyFont="1" applyBorder="1" applyAlignment="1" applyProtection="1">
      <alignment horizontal="left"/>
      <protection/>
    </xf>
    <xf numFmtId="173"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164" fontId="33" fillId="28" borderId="12" xfId="59" applyNumberFormat="1" applyFont="1" applyFill="1" applyBorder="1" applyAlignment="1" applyProtection="1">
      <alignment horizontal="right"/>
      <protection/>
    </xf>
    <xf numFmtId="173" fontId="33" fillId="0" borderId="0" xfId="59" applyNumberFormat="1" applyFont="1" applyFill="1" applyBorder="1" applyAlignment="1" applyProtection="1">
      <alignment horizontal="right"/>
      <protection/>
    </xf>
    <xf numFmtId="173" fontId="30" fillId="0" borderId="0" xfId="0" applyNumberFormat="1" applyFont="1" applyBorder="1" applyAlignment="1" applyProtection="1">
      <alignment/>
      <protection/>
    </xf>
    <xf numFmtId="173"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164" fontId="30" fillId="0" borderId="0" xfId="0" applyNumberFormat="1" applyFont="1" applyBorder="1" applyAlignment="1" applyProtection="1">
      <alignment/>
      <protection/>
    </xf>
    <xf numFmtId="164" fontId="30" fillId="26" borderId="0" xfId="0" applyNumberFormat="1" applyFont="1" applyFill="1" applyBorder="1" applyAlignment="1" applyProtection="1">
      <alignment/>
      <protection/>
    </xf>
    <xf numFmtId="164" fontId="33" fillId="0" borderId="0" xfId="0" applyNumberFormat="1" applyFont="1" applyAlignment="1" applyProtection="1">
      <alignment/>
      <protection/>
    </xf>
    <xf numFmtId="164" fontId="33" fillId="26" borderId="0" xfId="0" applyNumberFormat="1" applyFont="1" applyFill="1" applyAlignment="1" applyProtection="1">
      <alignment/>
      <protection/>
    </xf>
    <xf numFmtId="164"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73" fontId="30" fillId="0" borderId="0" xfId="0" applyNumberFormat="1" applyFont="1" applyAlignment="1" applyProtection="1">
      <alignment horizontal="right"/>
      <protection/>
    </xf>
    <xf numFmtId="173" fontId="30" fillId="0" borderId="0" xfId="0" applyNumberFormat="1" applyFont="1" applyAlignment="1" applyProtection="1">
      <alignment horizontal="left"/>
      <protection/>
    </xf>
    <xf numFmtId="173" fontId="30" fillId="26" borderId="0" xfId="0" applyNumberFormat="1" applyFont="1" applyFill="1" applyAlignment="1" applyProtection="1">
      <alignment horizontal="right"/>
      <protection/>
    </xf>
    <xf numFmtId="164" fontId="30" fillId="0" borderId="0" xfId="0" applyNumberFormat="1" applyFont="1" applyAlignment="1" applyProtection="1">
      <alignment horizontal="left"/>
      <protection/>
    </xf>
    <xf numFmtId="164" fontId="30" fillId="26" borderId="0" xfId="0" applyNumberFormat="1" applyFont="1" applyFill="1" applyAlignment="1" applyProtection="1">
      <alignment horizontal="right"/>
      <protection/>
    </xf>
    <xf numFmtId="173" fontId="30" fillId="26" borderId="0" xfId="0" applyNumberFormat="1" applyFont="1" applyFill="1" applyBorder="1" applyAlignment="1" applyProtection="1">
      <alignment horizontal="right"/>
      <protection/>
    </xf>
    <xf numFmtId="173" fontId="30" fillId="26" borderId="0" xfId="0" applyNumberFormat="1" applyFont="1" applyFill="1" applyAlignment="1" applyProtection="1">
      <alignment horizontal="left"/>
      <protection/>
    </xf>
    <xf numFmtId="173" fontId="34" fillId="0" borderId="0" xfId="0" applyNumberFormat="1" applyFont="1" applyAlignment="1" applyProtection="1">
      <alignment horizontal="center"/>
      <protection/>
    </xf>
    <xf numFmtId="173" fontId="34" fillId="26" borderId="0" xfId="0" applyNumberFormat="1" applyFont="1" applyFill="1" applyAlignment="1" applyProtection="1">
      <alignment horizontal="center"/>
      <protection/>
    </xf>
    <xf numFmtId="173" fontId="30" fillId="0" borderId="0" xfId="59" applyNumberFormat="1" applyFont="1" applyAlignment="1" applyProtection="1">
      <alignment horizontal="left"/>
      <protection/>
    </xf>
    <xf numFmtId="173" fontId="30" fillId="26" borderId="0" xfId="59" applyNumberFormat="1" applyFont="1" applyFill="1" applyAlignment="1" applyProtection="1">
      <alignment horizontal="right"/>
      <protection/>
    </xf>
    <xf numFmtId="173" fontId="33" fillId="26" borderId="0" xfId="59" applyNumberFormat="1" applyFont="1" applyFill="1" applyBorder="1" applyAlignment="1" applyProtection="1">
      <alignment horizontal="right"/>
      <protection/>
    </xf>
    <xf numFmtId="173" fontId="33" fillId="26" borderId="0" xfId="59" applyNumberFormat="1" applyFont="1" applyFill="1" applyAlignment="1" applyProtection="1">
      <alignment horizontal="left"/>
      <protection/>
    </xf>
    <xf numFmtId="173" fontId="30" fillId="26" borderId="0" xfId="59" applyNumberFormat="1" applyFont="1" applyFill="1" applyAlignment="1" applyProtection="1">
      <alignment horizontal="left"/>
      <protection/>
    </xf>
    <xf numFmtId="173" fontId="30" fillId="26" borderId="0" xfId="0" applyNumberFormat="1" applyFont="1" applyFill="1" applyAlignment="1" applyProtection="1">
      <alignment/>
      <protection/>
    </xf>
    <xf numFmtId="173" fontId="30" fillId="0" borderId="0" xfId="59" applyNumberFormat="1" applyFont="1" applyAlignment="1" applyProtection="1">
      <alignment horizontal="right"/>
      <protection/>
    </xf>
    <xf numFmtId="173" fontId="30" fillId="0" borderId="0" xfId="59" applyNumberFormat="1" applyFont="1" applyBorder="1" applyAlignment="1" applyProtection="1">
      <alignment horizontal="right"/>
      <protection/>
    </xf>
    <xf numFmtId="173" fontId="30" fillId="0" borderId="0" xfId="59" applyNumberFormat="1" applyFont="1" applyBorder="1" applyAlignment="1" applyProtection="1">
      <alignment horizontal="left"/>
      <protection/>
    </xf>
    <xf numFmtId="173"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77" fontId="0" fillId="28" borderId="15" xfId="0" applyNumberFormat="1" applyFill="1" applyBorder="1" applyAlignment="1" applyProtection="1">
      <alignment/>
      <protection/>
    </xf>
    <xf numFmtId="177" fontId="0" fillId="28" borderId="10" xfId="0" applyNumberFormat="1" applyFill="1" applyBorder="1" applyAlignment="1" applyProtection="1">
      <alignment/>
      <protection/>
    </xf>
    <xf numFmtId="177" fontId="0" fillId="0" borderId="0" xfId="0" applyNumberFormat="1" applyAlignment="1" applyProtection="1">
      <alignment/>
      <protection/>
    </xf>
    <xf numFmtId="177" fontId="26" fillId="28" borderId="12" xfId="0" applyNumberFormat="1" applyFont="1" applyFill="1" applyBorder="1" applyAlignment="1" applyProtection="1">
      <alignment/>
      <protection/>
    </xf>
    <xf numFmtId="177" fontId="26" fillId="26" borderId="0" xfId="0" applyNumberFormat="1" applyFont="1" applyFill="1" applyBorder="1" applyAlignment="1" applyProtection="1">
      <alignment/>
      <protection/>
    </xf>
    <xf numFmtId="177"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74" fontId="0" fillId="28" borderId="15" xfId="0" applyNumberFormat="1" applyFill="1" applyBorder="1" applyAlignment="1" applyProtection="1">
      <alignment/>
      <protection/>
    </xf>
    <xf numFmtId="174" fontId="26" fillId="28" borderId="12" xfId="0" applyNumberFormat="1" applyFont="1" applyFill="1" applyBorder="1" applyAlignment="1" applyProtection="1">
      <alignment/>
      <protection/>
    </xf>
    <xf numFmtId="174" fontId="26" fillId="26" borderId="0" xfId="0" applyNumberFormat="1" applyFont="1" applyFill="1" applyBorder="1" applyAlignment="1" applyProtection="1">
      <alignment/>
      <protection/>
    </xf>
    <xf numFmtId="174" fontId="0" fillId="28" borderId="10" xfId="0" applyNumberFormat="1" applyFill="1" applyBorder="1" applyAlignment="1" applyProtection="1">
      <alignment/>
      <protection/>
    </xf>
    <xf numFmtId="174" fontId="33" fillId="28" borderId="12" xfId="59" applyNumberFormat="1" applyFont="1" applyFill="1" applyBorder="1" applyAlignment="1" applyProtection="1">
      <alignment horizontal="right"/>
      <protection/>
    </xf>
    <xf numFmtId="175"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164" fontId="33" fillId="26" borderId="0" xfId="0" applyNumberFormat="1" applyFont="1" applyFill="1" applyBorder="1" applyAlignment="1">
      <alignment/>
    </xf>
    <xf numFmtId="164" fontId="33" fillId="26" borderId="0" xfId="0" applyNumberFormat="1" applyFont="1" applyFill="1" applyBorder="1" applyAlignment="1" applyProtection="1">
      <alignment/>
      <protection/>
    </xf>
    <xf numFmtId="172"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73" fontId="35" fillId="25" borderId="12" xfId="59" applyNumberFormat="1" applyFont="1" applyFill="1" applyBorder="1" applyAlignment="1" applyProtection="1">
      <alignment horizontal="center"/>
      <protection/>
    </xf>
    <xf numFmtId="173" fontId="35" fillId="0" borderId="12" xfId="59" applyNumberFormat="1" applyFont="1" applyBorder="1" applyAlignment="1" applyProtection="1">
      <alignment horizontal="center"/>
      <protection/>
    </xf>
    <xf numFmtId="177" fontId="35" fillId="0" borderId="12" xfId="59" applyNumberFormat="1" applyFont="1" applyBorder="1" applyAlignment="1" applyProtection="1">
      <alignment horizontal="center"/>
      <protection/>
    </xf>
    <xf numFmtId="173"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164"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164" fontId="27" fillId="29" borderId="10" xfId="0" applyNumberFormat="1" applyFont="1" applyFill="1" applyBorder="1" applyAlignment="1" applyProtection="1">
      <alignment horizontal="center"/>
      <protection/>
    </xf>
    <xf numFmtId="164"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171"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164" fontId="0" fillId="28" borderId="10" xfId="42" applyNumberFormat="1" applyFont="1" applyFill="1" applyBorder="1" applyAlignment="1" applyProtection="1">
      <alignment/>
      <protection/>
    </xf>
    <xf numFmtId="164"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171"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0" fontId="0" fillId="26" borderId="17" xfId="0" applyFill="1" applyBorder="1" applyAlignment="1" applyProtection="1">
      <alignment/>
      <protection locked="0"/>
    </xf>
    <xf numFmtId="164"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171"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27" borderId="43" xfId="0" applyFill="1" applyBorder="1" applyAlignment="1" applyProtection="1">
      <alignment/>
      <protection/>
    </xf>
    <xf numFmtId="49" fontId="50" fillId="33" borderId="12" xfId="0" applyNumberFormat="1" applyFont="1" applyFill="1" applyBorder="1" applyAlignment="1">
      <alignment horizontal="left" vertical="top" wrapText="1"/>
    </xf>
    <xf numFmtId="0" fontId="26" fillId="0" borderId="33" xfId="0" applyFont="1" applyBorder="1" applyAlignment="1">
      <alignment horizontal="left" vertical="top" wrapText="1"/>
    </xf>
    <xf numFmtId="0" fontId="40" fillId="0" borderId="33" xfId="0" applyFont="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26" xfId="0" applyFont="1" applyBorder="1" applyAlignment="1">
      <alignment/>
    </xf>
    <xf numFmtId="0" fontId="22" fillId="0" borderId="26" xfId="0" applyFont="1" applyBorder="1" applyAlignment="1">
      <alignment vertical="top" wrapText="1"/>
    </xf>
    <xf numFmtId="0" fontId="40" fillId="0" borderId="26" xfId="0" applyFont="1" applyBorder="1" applyAlignment="1">
      <alignment vertical="top" wrapText="1"/>
    </xf>
    <xf numFmtId="173"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73"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37" fillId="25" borderId="28" xfId="0" applyFont="1" applyFill="1" applyBorder="1" applyAlignment="1" applyProtection="1">
      <alignment horizontal="center"/>
      <protection/>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6" borderId="34" xfId="0" applyFont="1" applyFill="1" applyBorder="1" applyAlignment="1">
      <alignment horizontal="center" wrapText="1"/>
    </xf>
    <xf numFmtId="0" fontId="27" fillId="28" borderId="28" xfId="0" applyFont="1" applyFill="1" applyBorder="1" applyAlignment="1">
      <alignment horizontal="center" wrapText="1"/>
    </xf>
    <xf numFmtId="0" fontId="27" fillId="28" borderId="21" xfId="0" applyFont="1" applyFill="1" applyBorder="1" applyAlignment="1">
      <alignment horizontal="center"/>
    </xf>
    <xf numFmtId="0" fontId="27" fillId="29" borderId="29" xfId="0" applyFont="1" applyFill="1" applyBorder="1" applyAlignment="1">
      <alignment horizontal="center"/>
    </xf>
    <xf numFmtId="0" fontId="27" fillId="28" borderId="28" xfId="0" applyFont="1" applyFill="1" applyBorder="1" applyAlignment="1">
      <alignment horizontal="center"/>
    </xf>
    <xf numFmtId="0" fontId="27" fillId="28" borderId="21" xfId="0" applyFont="1" applyFill="1" applyBorder="1" applyAlignment="1">
      <alignment horizontal="center" wrapText="1"/>
    </xf>
    <xf numFmtId="166" fontId="0" fillId="28" borderId="19" xfId="0" applyNumberFormat="1" applyFill="1" applyBorder="1" applyAlignment="1">
      <alignment/>
    </xf>
    <xf numFmtId="166" fontId="27" fillId="28" borderId="21" xfId="0" applyNumberFormat="1" applyFont="1" applyFill="1" applyBorder="1" applyAlignment="1">
      <alignment/>
    </xf>
    <xf numFmtId="164" fontId="27" fillId="28" borderId="21" xfId="0" applyNumberFormat="1" applyFont="1" applyFill="1" applyBorder="1" applyAlignment="1">
      <alignment wrapText="1"/>
    </xf>
    <xf numFmtId="164" fontId="0" fillId="28" borderId="19" xfId="0" applyNumberFormat="1" applyFill="1" applyBorder="1" applyAlignment="1">
      <alignment/>
    </xf>
    <xf numFmtId="164" fontId="27" fillId="28" borderId="21" xfId="0" applyNumberFormat="1" applyFont="1" applyFill="1" applyBorder="1" applyAlignment="1">
      <alignment/>
    </xf>
    <xf numFmtId="0" fontId="0" fillId="0" borderId="10" xfId="0" applyFont="1" applyBorder="1" applyAlignment="1" applyProtection="1">
      <alignment vertical="top"/>
      <protection locked="0"/>
    </xf>
    <xf numFmtId="0" fontId="0" fillId="0" borderId="15" xfId="0" applyFont="1" applyBorder="1" applyAlignment="1" applyProtection="1">
      <alignment/>
      <protection locked="0"/>
    </xf>
    <xf numFmtId="0" fontId="0" fillId="26" borderId="10" xfId="0" applyFont="1" applyFill="1" applyBorder="1" applyAlignment="1" applyProtection="1">
      <alignment horizontal="left"/>
      <protection locked="0"/>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2" fillId="29" borderId="21" xfId="0" applyFont="1" applyFill="1" applyBorder="1" applyAlignment="1">
      <alignment horizontal="left" wrapText="1"/>
    </xf>
    <xf numFmtId="0" fontId="42" fillId="29" borderId="29" xfId="0" applyFont="1" applyFill="1" applyBorder="1" applyAlignment="1">
      <alignment horizontal="left" wrapText="1"/>
    </xf>
    <xf numFmtId="0" fontId="42"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2" fillId="29" borderId="34" xfId="0" applyFont="1" applyFill="1" applyBorder="1" applyAlignment="1">
      <alignment horizontal="left" wrapText="1"/>
    </xf>
    <xf numFmtId="0" fontId="42" fillId="29" borderId="31" xfId="0" applyFont="1" applyFill="1" applyBorder="1" applyAlignment="1">
      <alignment horizontal="left" wrapText="1"/>
    </xf>
    <xf numFmtId="0" fontId="42" fillId="29" borderId="32" xfId="0" applyFont="1" applyFill="1" applyBorder="1" applyAlignment="1">
      <alignment horizontal="left" wrapText="1"/>
    </xf>
    <xf numFmtId="0" fontId="42" fillId="29" borderId="27" xfId="0" applyFont="1" applyFill="1" applyBorder="1" applyAlignment="1">
      <alignment horizontal="left" wrapText="1"/>
    </xf>
    <xf numFmtId="0" fontId="42" fillId="29" borderId="25" xfId="0" applyFont="1" applyFill="1" applyBorder="1" applyAlignment="1">
      <alignment horizontal="left" wrapText="1"/>
    </xf>
    <xf numFmtId="0" fontId="42"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7" fillId="28" borderId="34" xfId="0" applyFont="1" applyFill="1" applyBorder="1" applyAlignment="1">
      <alignment horizontal="center" wrapText="1"/>
    </xf>
    <xf numFmtId="0" fontId="27" fillId="28" borderId="27" xfId="0" applyFont="1" applyFill="1" applyBorder="1" applyAlignment="1">
      <alignment horizontal="center" wrapText="1"/>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0" fillId="28" borderId="21" xfId="0" applyFont="1" applyFill="1" applyBorder="1" applyAlignment="1">
      <alignment horizontal="left"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73" fontId="33" fillId="29" borderId="32" xfId="0" applyNumberFormat="1" applyFont="1" applyFill="1" applyBorder="1" applyAlignment="1" applyProtection="1">
      <alignment horizontal="center" wrapText="1"/>
      <protection/>
    </xf>
    <xf numFmtId="173" fontId="33" fillId="29" borderId="26" xfId="0" applyNumberFormat="1" applyFont="1" applyFill="1" applyBorder="1" applyAlignment="1" applyProtection="1">
      <alignment horizontal="center" wrapText="1"/>
      <protection/>
    </xf>
    <xf numFmtId="173" fontId="33" fillId="29" borderId="30" xfId="0" applyNumberFormat="1" applyFont="1" applyFill="1" applyBorder="1" applyAlignment="1" applyProtection="1">
      <alignment horizontal="center" wrapText="1"/>
      <protection/>
    </xf>
    <xf numFmtId="173" fontId="33" fillId="29" borderId="14" xfId="0" applyNumberFormat="1" applyFont="1" applyFill="1" applyBorder="1" applyAlignment="1" applyProtection="1">
      <alignment horizontal="center" wrapText="1"/>
      <protection/>
    </xf>
    <xf numFmtId="173" fontId="33" fillId="29" borderId="33" xfId="0" applyNumberFormat="1" applyFont="1" applyFill="1" applyBorder="1" applyAlignment="1" applyProtection="1">
      <alignment horizontal="center" wrapText="1"/>
      <protection/>
    </xf>
    <xf numFmtId="173"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0" fillId="29" borderId="14" xfId="0" applyFont="1" applyFill="1" applyBorder="1" applyAlignment="1" applyProtection="1">
      <alignment horizontal="center" vertical="top" wrapText="1"/>
      <protection/>
    </xf>
    <xf numFmtId="0" fontId="40" fillId="29" borderId="28" xfId="0" applyFont="1" applyFill="1" applyBorder="1" applyAlignment="1" applyProtection="1">
      <alignment horizontal="center" vertical="top" wrapText="1"/>
      <protection/>
    </xf>
    <xf numFmtId="173" fontId="30" fillId="29" borderId="14" xfId="0" applyNumberFormat="1" applyFont="1" applyFill="1" applyBorder="1" applyAlignment="1" applyProtection="1">
      <alignment horizontal="center"/>
      <protection/>
    </xf>
    <xf numFmtId="173" fontId="30" fillId="29" borderId="33" xfId="0" applyNumberFormat="1" applyFont="1" applyFill="1" applyBorder="1" applyAlignment="1" applyProtection="1">
      <alignment horizontal="center"/>
      <protection/>
    </xf>
    <xf numFmtId="173" fontId="30" fillId="29" borderId="28" xfId="0" applyNumberFormat="1" applyFont="1" applyFill="1" applyBorder="1" applyAlignment="1" applyProtection="1">
      <alignment horizontal="center"/>
      <protection/>
    </xf>
    <xf numFmtId="173" fontId="33" fillId="29" borderId="14" xfId="0" applyNumberFormat="1" applyFont="1" applyFill="1" applyBorder="1" applyAlignment="1">
      <alignment horizontal="center" wrapText="1"/>
    </xf>
    <xf numFmtId="173" fontId="33" fillId="29" borderId="33" xfId="0" applyNumberFormat="1" applyFont="1" applyFill="1" applyBorder="1" applyAlignment="1">
      <alignment horizontal="center" wrapText="1"/>
    </xf>
    <xf numFmtId="173" fontId="33" fillId="29" borderId="28" xfId="0" applyNumberFormat="1" applyFont="1" applyFill="1" applyBorder="1" applyAlignment="1">
      <alignment horizontal="center" wrapText="1"/>
    </xf>
    <xf numFmtId="177" fontId="21" fillId="29" borderId="21" xfId="0" applyNumberFormat="1" applyFont="1" applyFill="1" applyBorder="1" applyAlignment="1" applyProtection="1">
      <alignment horizontal="center"/>
      <protection/>
    </xf>
    <xf numFmtId="177" fontId="21" fillId="29" borderId="29" xfId="0" applyNumberFormat="1" applyFont="1" applyFill="1" applyBorder="1" applyAlignment="1" applyProtection="1">
      <alignment horizontal="center"/>
      <protection/>
    </xf>
    <xf numFmtId="177" fontId="21" fillId="29" borderId="37" xfId="0" applyNumberFormat="1" applyFont="1" applyFill="1" applyBorder="1" applyAlignment="1" applyProtection="1">
      <alignment horizontal="center"/>
      <protection/>
    </xf>
    <xf numFmtId="0" fontId="40" fillId="29" borderId="14" xfId="0" applyFont="1" applyFill="1" applyBorder="1" applyAlignment="1" applyProtection="1">
      <alignment horizontal="center" wrapText="1"/>
      <protection/>
    </xf>
    <xf numFmtId="0" fontId="40"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0">
    <dxf>
      <fill>
        <patternFill>
          <bgColor indexed="10"/>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52400" cy="266700"/>
    <xdr:sp fLocksText="0">
      <xdr:nvSpPr>
        <xdr:cNvPr id="1" name="TextBox 1"/>
        <xdr:cNvSpPr txBox="1">
          <a:spLocks noChangeArrowheads="1"/>
        </xdr:cNvSpPr>
      </xdr:nvSpPr>
      <xdr:spPr>
        <a:xfrm>
          <a:off x="2686050" y="2962275"/>
          <a:ext cx="1524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52400" cy="276225"/>
    <xdr:sp fLocksText="0">
      <xdr:nvSpPr>
        <xdr:cNvPr id="2" name="TextBox 2"/>
        <xdr:cNvSpPr txBox="1">
          <a:spLocks noChangeArrowheads="1"/>
        </xdr:cNvSpPr>
      </xdr:nvSpPr>
      <xdr:spPr>
        <a:xfrm>
          <a:off x="7505700" y="31842075"/>
          <a:ext cx="1524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52400" cy="257175"/>
    <xdr:sp fLocksText="0">
      <xdr:nvSpPr>
        <xdr:cNvPr id="1" name="TextBox 1"/>
        <xdr:cNvSpPr txBox="1">
          <a:spLocks noChangeArrowheads="1"/>
        </xdr:cNvSpPr>
      </xdr:nvSpPr>
      <xdr:spPr>
        <a:xfrm>
          <a:off x="2686050" y="2219325"/>
          <a:ext cx="1524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61925" cy="285750"/>
    <xdr:sp fLocksText="0">
      <xdr:nvSpPr>
        <xdr:cNvPr id="2" name="TextBox 2"/>
        <xdr:cNvSpPr txBox="1">
          <a:spLocks noChangeArrowheads="1"/>
        </xdr:cNvSpPr>
      </xdr:nvSpPr>
      <xdr:spPr>
        <a:xfrm>
          <a:off x="7315200" y="6143625"/>
          <a:ext cx="16192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14"/>
  <sheetViews>
    <sheetView tabSelected="1" workbookViewId="0" topLeftCell="A1">
      <selection activeCell="A1" sqref="A1"/>
    </sheetView>
  </sheetViews>
  <sheetFormatPr defaultColWidth="8.8515625" defaultRowHeight="12.75"/>
  <cols>
    <col min="1" max="1" width="9.140625" style="5" customWidth="1"/>
    <col min="2" max="2" width="84.421875" style="0" customWidth="1"/>
  </cols>
  <sheetData>
    <row r="1" spans="1:2" ht="30" customHeight="1" thickBot="1">
      <c r="A1" s="5" t="s">
        <v>65</v>
      </c>
      <c r="B1" s="738" t="s">
        <v>448</v>
      </c>
    </row>
    <row r="3" ht="15">
      <c r="B3" s="649"/>
    </row>
    <row r="4" ht="12.75" thickBot="1"/>
    <row r="5" spans="1:2" ht="24" customHeight="1" thickBot="1">
      <c r="A5" s="113"/>
      <c r="B5" s="115" t="s">
        <v>349</v>
      </c>
    </row>
    <row r="6" spans="1:2" ht="44.25" customHeight="1" thickBot="1">
      <c r="A6" s="695">
        <v>1</v>
      </c>
      <c r="B6" s="718" t="s">
        <v>521</v>
      </c>
    </row>
    <row r="7" spans="1:2" ht="45.75" customHeight="1" thickBot="1">
      <c r="A7" s="695">
        <v>2</v>
      </c>
      <c r="B7" s="718" t="s">
        <v>571</v>
      </c>
    </row>
    <row r="8" spans="1:2" ht="31.5" customHeight="1" thickBot="1">
      <c r="A8" s="695">
        <v>3</v>
      </c>
      <c r="B8" s="718" t="s">
        <v>381</v>
      </c>
    </row>
    <row r="9" spans="1:2" ht="30.75" customHeight="1" thickBot="1">
      <c r="A9" s="695">
        <v>4</v>
      </c>
      <c r="B9" s="718" t="s">
        <v>345</v>
      </c>
    </row>
    <row r="10" spans="1:2" ht="48" customHeight="1">
      <c r="A10" s="719"/>
      <c r="B10" s="722" t="s">
        <v>545</v>
      </c>
    </row>
    <row r="11" spans="1:2" ht="6" customHeight="1">
      <c r="A11" s="721"/>
      <c r="B11" s="723"/>
    </row>
    <row r="12" spans="1:2" ht="15.75" customHeight="1">
      <c r="A12" s="721"/>
      <c r="B12" s="724" t="s">
        <v>402</v>
      </c>
    </row>
    <row r="13" spans="1:2" ht="5.25" customHeight="1">
      <c r="A13" s="721"/>
      <c r="B13" s="724"/>
    </row>
    <row r="14" spans="1:2" ht="16.5" customHeight="1" thickBot="1">
      <c r="A14" s="720">
        <v>5</v>
      </c>
      <c r="B14" s="725" t="s">
        <v>444</v>
      </c>
    </row>
    <row r="15" spans="1:2" ht="18.75" customHeight="1" thickBot="1">
      <c r="A15" s="695">
        <v>6</v>
      </c>
      <c r="B15" s="726" t="s">
        <v>546</v>
      </c>
    </row>
    <row r="16" spans="1:2" ht="33.75" customHeight="1" thickBot="1">
      <c r="A16" s="695">
        <v>7</v>
      </c>
      <c r="B16" s="726" t="s">
        <v>382</v>
      </c>
    </row>
    <row r="17" spans="1:2" ht="59.25" customHeight="1" thickBot="1">
      <c r="A17" s="695">
        <v>8</v>
      </c>
      <c r="B17" s="991" t="s">
        <v>472</v>
      </c>
    </row>
    <row r="18" spans="1:2" ht="27" thickBot="1">
      <c r="A18" s="102">
        <v>9</v>
      </c>
      <c r="B18" s="462" t="s">
        <v>340</v>
      </c>
    </row>
    <row r="19" spans="1:2" ht="12.75">
      <c r="A19" s="1024">
        <v>10</v>
      </c>
      <c r="B19" s="275" t="s">
        <v>371</v>
      </c>
    </row>
    <row r="20" spans="1:2" ht="12.75">
      <c r="A20" s="1025"/>
      <c r="B20" s="276" t="s">
        <v>372</v>
      </c>
    </row>
    <row r="21" spans="1:2" ht="12.75">
      <c r="A21" s="1025"/>
      <c r="B21" s="276" t="s">
        <v>348</v>
      </c>
    </row>
    <row r="22" spans="1:2" ht="12.75">
      <c r="A22" s="1025"/>
      <c r="B22" s="276" t="s">
        <v>473</v>
      </c>
    </row>
    <row r="23" spans="1:2" ht="12.75">
      <c r="A23" s="1025"/>
      <c r="B23" s="276" t="s">
        <v>474</v>
      </c>
    </row>
    <row r="24" spans="1:2" ht="12.75">
      <c r="A24" s="1025"/>
      <c r="B24" s="728" t="s">
        <v>475</v>
      </c>
    </row>
    <row r="25" spans="1:2" ht="12.75">
      <c r="A25" s="1025"/>
      <c r="B25" s="276" t="s">
        <v>476</v>
      </c>
    </row>
    <row r="26" spans="1:2" ht="14.25" customHeight="1">
      <c r="A26" s="1025"/>
      <c r="B26" s="728" t="s">
        <v>477</v>
      </c>
    </row>
    <row r="27" spans="1:2" ht="14.25" customHeight="1">
      <c r="A27" s="1025"/>
      <c r="B27" s="728" t="s">
        <v>478</v>
      </c>
    </row>
    <row r="28" spans="1:2" ht="13.5" thickBot="1">
      <c r="A28" s="1026"/>
      <c r="B28" s="273" t="s">
        <v>479</v>
      </c>
    </row>
    <row r="29" spans="1:2" ht="16.5" customHeight="1" thickBot="1">
      <c r="A29" s="86"/>
      <c r="B29" s="99"/>
    </row>
    <row r="30" spans="1:2" ht="24" customHeight="1" thickBot="1">
      <c r="A30" s="113"/>
      <c r="B30" s="114" t="s">
        <v>347</v>
      </c>
    </row>
    <row r="31" spans="1:2" ht="25.5" customHeight="1" thickBot="1">
      <c r="A31" s="113"/>
      <c r="B31" s="114" t="s">
        <v>59</v>
      </c>
    </row>
    <row r="32" spans="1:2" ht="117" customHeight="1">
      <c r="A32" s="102"/>
      <c r="B32" s="464" t="s">
        <v>442</v>
      </c>
    </row>
    <row r="33" spans="1:2" ht="6.75" customHeight="1">
      <c r="A33" s="274"/>
      <c r="B33" s="276"/>
    </row>
    <row r="34" spans="1:2" ht="45.75" customHeight="1">
      <c r="A34" s="274"/>
      <c r="B34" s="993" t="s">
        <v>547</v>
      </c>
    </row>
    <row r="35" spans="1:2" ht="9.75" customHeight="1">
      <c r="A35" s="274"/>
      <c r="B35" s="992"/>
    </row>
    <row r="36" spans="1:2" ht="48" customHeight="1" thickBot="1">
      <c r="A36" s="189">
        <v>1</v>
      </c>
      <c r="B36" s="479" t="s">
        <v>500</v>
      </c>
    </row>
    <row r="37" spans="1:2" ht="28.5" customHeight="1" thickBot="1">
      <c r="A37" s="784"/>
      <c r="B37" s="466" t="s">
        <v>304</v>
      </c>
    </row>
    <row r="38" spans="1:2" ht="61.5" customHeight="1">
      <c r="A38" s="102"/>
      <c r="B38" s="777" t="s">
        <v>503</v>
      </c>
    </row>
    <row r="39" spans="1:2" ht="35.25" customHeight="1">
      <c r="A39" s="274"/>
      <c r="B39" s="778" t="s">
        <v>504</v>
      </c>
    </row>
    <row r="40" spans="1:2" ht="33" customHeight="1">
      <c r="A40" s="274"/>
      <c r="B40" s="778" t="s">
        <v>505</v>
      </c>
    </row>
    <row r="41" spans="1:2" ht="79.5" customHeight="1">
      <c r="A41" s="274"/>
      <c r="B41" s="778" t="s">
        <v>506</v>
      </c>
    </row>
    <row r="42" spans="1:2" ht="9" customHeight="1">
      <c r="A42" s="274"/>
      <c r="B42" s="778"/>
    </row>
    <row r="43" spans="1:2" ht="32.25" customHeight="1">
      <c r="A43" s="274"/>
      <c r="B43" s="778" t="s">
        <v>380</v>
      </c>
    </row>
    <row r="44" spans="1:2" ht="15" customHeight="1">
      <c r="A44" s="274"/>
      <c r="B44" s="778" t="s">
        <v>383</v>
      </c>
    </row>
    <row r="45" spans="1:2" ht="15" customHeight="1">
      <c r="A45" s="274"/>
      <c r="B45" s="778" t="s">
        <v>376</v>
      </c>
    </row>
    <row r="46" spans="1:2" ht="15" customHeight="1">
      <c r="A46" s="274"/>
      <c r="B46" s="778" t="s">
        <v>377</v>
      </c>
    </row>
    <row r="47" spans="1:2" ht="15" customHeight="1">
      <c r="A47" s="274"/>
      <c r="B47" s="778" t="s">
        <v>378</v>
      </c>
    </row>
    <row r="48" spans="1:2" ht="15" customHeight="1">
      <c r="A48" s="274"/>
      <c r="B48" s="778" t="s">
        <v>379</v>
      </c>
    </row>
    <row r="49" spans="1:2" ht="15" customHeight="1">
      <c r="A49" s="274"/>
      <c r="B49" s="778" t="s">
        <v>409</v>
      </c>
    </row>
    <row r="50" spans="1:2" ht="6.75" customHeight="1">
      <c r="A50" s="274"/>
      <c r="B50" s="778"/>
    </row>
    <row r="51" spans="1:2" ht="58.5" customHeight="1">
      <c r="A51" s="274">
        <v>2</v>
      </c>
      <c r="B51" s="778" t="s">
        <v>480</v>
      </c>
    </row>
    <row r="52" spans="1:2" ht="6.75" customHeight="1" thickBot="1">
      <c r="A52" s="274"/>
      <c r="B52" s="778"/>
    </row>
    <row r="53" spans="1:2" ht="80.25" customHeight="1" hidden="1" thickBot="1">
      <c r="A53" s="274">
        <v>2</v>
      </c>
      <c r="B53" s="936"/>
    </row>
    <row r="54" spans="1:2" ht="141" customHeight="1" thickBot="1">
      <c r="A54" s="85">
        <v>3</v>
      </c>
      <c r="B54" s="474" t="s">
        <v>557</v>
      </c>
    </row>
    <row r="55" spans="1:2" ht="87" customHeight="1" thickBot="1">
      <c r="A55" s="85">
        <v>4</v>
      </c>
      <c r="B55" s="729" t="s">
        <v>507</v>
      </c>
    </row>
    <row r="56" spans="1:2" ht="51" customHeight="1" thickBot="1">
      <c r="A56" s="85">
        <v>5</v>
      </c>
      <c r="B56" s="997" t="s">
        <v>508</v>
      </c>
    </row>
    <row r="57" spans="1:2" ht="36.75" customHeight="1" thickBot="1">
      <c r="A57" s="85">
        <v>6</v>
      </c>
      <c r="B57" s="997" t="s">
        <v>558</v>
      </c>
    </row>
    <row r="58" spans="1:2" ht="56.25" customHeight="1" thickBot="1">
      <c r="A58" s="85">
        <v>7</v>
      </c>
      <c r="B58" s="465" t="s">
        <v>481</v>
      </c>
    </row>
    <row r="59" spans="1:2" ht="66" thickBot="1">
      <c r="A59" s="85">
        <v>8</v>
      </c>
      <c r="B59" s="475" t="s">
        <v>574</v>
      </c>
    </row>
    <row r="60" spans="1:2" ht="39.75" thickBot="1">
      <c r="A60" s="85">
        <v>9</v>
      </c>
      <c r="B60" s="475" t="s">
        <v>314</v>
      </c>
    </row>
    <row r="61" spans="1:2" ht="27" thickBot="1">
      <c r="A61" s="85">
        <v>10</v>
      </c>
      <c r="B61" s="475" t="s">
        <v>315</v>
      </c>
    </row>
    <row r="62" spans="1:2" ht="37.5" customHeight="1" thickBot="1">
      <c r="A62" s="85">
        <v>11</v>
      </c>
      <c r="B62" s="475" t="s">
        <v>316</v>
      </c>
    </row>
    <row r="63" spans="1:2" ht="30" customHeight="1" thickBot="1">
      <c r="A63" s="85">
        <v>12</v>
      </c>
      <c r="B63" s="475" t="s">
        <v>317</v>
      </c>
    </row>
    <row r="64" spans="1:2" ht="48" customHeight="1" thickBot="1">
      <c r="A64" s="85">
        <v>13</v>
      </c>
      <c r="B64" s="476" t="s">
        <v>385</v>
      </c>
    </row>
    <row r="65" spans="1:2" ht="21" customHeight="1" thickBot="1">
      <c r="A65" s="85">
        <v>14</v>
      </c>
      <c r="B65" s="465" t="s">
        <v>404</v>
      </c>
    </row>
    <row r="66" spans="1:2" ht="93.75" customHeight="1" thickBot="1">
      <c r="A66" s="85">
        <v>15</v>
      </c>
      <c r="B66" s="465" t="s">
        <v>445</v>
      </c>
    </row>
    <row r="67" spans="1:2" ht="90.75" customHeight="1" thickBot="1">
      <c r="A67" s="85">
        <v>16</v>
      </c>
      <c r="B67" s="463" t="s">
        <v>559</v>
      </c>
    </row>
    <row r="68" spans="1:2" ht="52.5" thickBot="1">
      <c r="A68" s="85">
        <v>17</v>
      </c>
      <c r="B68" s="474" t="s">
        <v>405</v>
      </c>
    </row>
    <row r="69" spans="1:2" ht="39.75" thickBot="1">
      <c r="A69" s="85">
        <v>18</v>
      </c>
      <c r="B69" s="474" t="s">
        <v>384</v>
      </c>
    </row>
    <row r="70" spans="1:2" ht="122.25" customHeight="1" thickBot="1">
      <c r="A70" s="85">
        <v>19</v>
      </c>
      <c r="B70" s="465" t="s">
        <v>482</v>
      </c>
    </row>
    <row r="71" spans="1:2" ht="40.5" customHeight="1" thickBot="1">
      <c r="A71" s="86"/>
      <c r="B71" s="975"/>
    </row>
    <row r="72" spans="1:2" ht="37.5" customHeight="1" thickBot="1">
      <c r="A72" s="113"/>
      <c r="B72" s="114" t="s">
        <v>490</v>
      </c>
    </row>
    <row r="73" spans="1:2" ht="36" customHeight="1">
      <c r="A73" s="784"/>
      <c r="B73" s="466" t="s">
        <v>59</v>
      </c>
    </row>
    <row r="74" spans="1:2" ht="60" customHeight="1">
      <c r="A74" s="976">
        <v>1</v>
      </c>
      <c r="B74" s="978" t="s">
        <v>575</v>
      </c>
    </row>
    <row r="75" spans="1:2" ht="28.5" customHeight="1">
      <c r="A75" s="977"/>
      <c r="B75" s="979" t="s">
        <v>304</v>
      </c>
    </row>
    <row r="76" spans="1:2" ht="64.5" customHeight="1">
      <c r="A76" s="375">
        <v>2</v>
      </c>
      <c r="B76" s="980" t="s">
        <v>576</v>
      </c>
    </row>
    <row r="77" spans="1:2" ht="49.5" customHeight="1">
      <c r="A77" s="375">
        <v>3</v>
      </c>
      <c r="B77" s="980" t="s">
        <v>548</v>
      </c>
    </row>
    <row r="78" spans="1:2" ht="38.25" customHeight="1">
      <c r="A78" s="375">
        <v>4</v>
      </c>
      <c r="B78" s="980" t="s">
        <v>492</v>
      </c>
    </row>
    <row r="79" spans="1:2" ht="38.25" customHeight="1">
      <c r="A79" s="375">
        <v>5</v>
      </c>
      <c r="B79" s="980" t="s">
        <v>522</v>
      </c>
    </row>
    <row r="80" spans="1:2" ht="77.25" customHeight="1">
      <c r="A80" s="375">
        <v>6</v>
      </c>
      <c r="B80" s="980" t="s">
        <v>549</v>
      </c>
    </row>
    <row r="81" spans="1:2" s="97" customFormat="1" ht="18.75" customHeight="1" thickBot="1">
      <c r="A81" s="86"/>
      <c r="B81" s="96"/>
    </row>
    <row r="82" spans="1:2" s="97" customFormat="1" ht="24.75" customHeight="1" thickBot="1">
      <c r="A82" s="113"/>
      <c r="B82" s="733" t="s">
        <v>491</v>
      </c>
    </row>
    <row r="83" spans="1:2" s="97" customFormat="1" ht="24.75" customHeight="1" thickBot="1">
      <c r="A83" s="113"/>
      <c r="B83" s="733" t="s">
        <v>59</v>
      </c>
    </row>
    <row r="84" spans="1:2" s="97" customFormat="1" ht="65.25" customHeight="1" thickBot="1">
      <c r="A84" s="85">
        <v>1</v>
      </c>
      <c r="B84" s="734" t="s">
        <v>523</v>
      </c>
    </row>
    <row r="85" spans="1:2" s="97" customFormat="1" ht="30.75" customHeight="1" thickBot="1">
      <c r="A85" s="113"/>
      <c r="B85" s="735" t="s">
        <v>305</v>
      </c>
    </row>
    <row r="86" spans="1:2" s="97" customFormat="1" ht="15.75" customHeight="1">
      <c r="A86" s="102"/>
      <c r="B86" s="464" t="s">
        <v>301</v>
      </c>
    </row>
    <row r="87" spans="1:2" s="97" customFormat="1" ht="30.75" customHeight="1">
      <c r="A87" s="274"/>
      <c r="B87" s="276" t="s">
        <v>407</v>
      </c>
    </row>
    <row r="88" spans="1:2" s="97" customFormat="1" ht="25.5">
      <c r="A88" s="274"/>
      <c r="B88" s="276" t="s">
        <v>408</v>
      </c>
    </row>
    <row r="89" spans="1:2" s="97" customFormat="1" ht="25.5">
      <c r="A89" s="274"/>
      <c r="B89" s="276" t="s">
        <v>406</v>
      </c>
    </row>
    <row r="90" spans="1:2" s="97" customFormat="1" ht="12.75">
      <c r="A90" s="274"/>
      <c r="B90" s="276" t="s">
        <v>483</v>
      </c>
    </row>
    <row r="91" spans="1:2" s="97" customFormat="1" ht="12.75">
      <c r="A91" s="274"/>
      <c r="B91" s="276" t="s">
        <v>484</v>
      </c>
    </row>
    <row r="92" spans="1:2" s="97" customFormat="1" ht="64.5">
      <c r="A92" s="274"/>
      <c r="B92" s="276" t="s">
        <v>486</v>
      </c>
    </row>
    <row r="93" spans="1:2" s="97" customFormat="1" ht="12.75">
      <c r="A93" s="274"/>
      <c r="B93" s="276" t="s">
        <v>485</v>
      </c>
    </row>
    <row r="94" spans="1:2" s="97" customFormat="1" ht="9.75" customHeight="1">
      <c r="A94" s="274"/>
      <c r="B94" s="276"/>
    </row>
    <row r="95" spans="1:2" s="97" customFormat="1" ht="56.25" customHeight="1">
      <c r="A95" s="274"/>
      <c r="B95" s="276" t="s">
        <v>487</v>
      </c>
    </row>
    <row r="96" spans="1:2" s="97" customFormat="1" ht="6" customHeight="1">
      <c r="A96" s="274"/>
      <c r="B96" s="276"/>
    </row>
    <row r="97" spans="1:2" s="97" customFormat="1" ht="47.25" customHeight="1">
      <c r="A97" s="274"/>
      <c r="B97" s="276" t="s">
        <v>488</v>
      </c>
    </row>
    <row r="98" spans="1:2" s="97" customFormat="1" ht="5.25" customHeight="1">
      <c r="A98" s="274"/>
      <c r="B98" s="276"/>
    </row>
    <row r="99" spans="1:2" s="97" customFormat="1" ht="74.25" customHeight="1">
      <c r="A99" s="274"/>
      <c r="B99" s="276" t="s">
        <v>577</v>
      </c>
    </row>
    <row r="100" spans="1:2" s="97" customFormat="1" ht="12.75">
      <c r="A100" s="274"/>
      <c r="B100" s="276"/>
    </row>
    <row r="101" spans="1:2" s="97" customFormat="1" ht="27" thickBot="1">
      <c r="A101" s="189">
        <v>2</v>
      </c>
      <c r="B101" s="273" t="s">
        <v>302</v>
      </c>
    </row>
    <row r="102" spans="1:2" s="97" customFormat="1" ht="27" customHeight="1" thickBot="1">
      <c r="A102" s="113"/>
      <c r="B102" s="477" t="s">
        <v>318</v>
      </c>
    </row>
    <row r="103" spans="1:2" s="97" customFormat="1" ht="71.25" customHeight="1" thickBot="1">
      <c r="A103" s="85">
        <v>3</v>
      </c>
      <c r="B103" s="465" t="s">
        <v>524</v>
      </c>
    </row>
    <row r="104" spans="1:2" s="97" customFormat="1" ht="27" customHeight="1" thickBot="1">
      <c r="A104" s="784"/>
      <c r="B104" s="467" t="s">
        <v>303</v>
      </c>
    </row>
    <row r="105" spans="1:2" s="97" customFormat="1" ht="98.25" customHeight="1" thickBot="1">
      <c r="A105" s="102"/>
      <c r="B105" s="734" t="s">
        <v>512</v>
      </c>
    </row>
    <row r="106" spans="1:2" s="97" customFormat="1" ht="16.5" customHeight="1" thickBot="1">
      <c r="A106" s="274"/>
      <c r="B106" s="734" t="s">
        <v>509</v>
      </c>
    </row>
    <row r="107" spans="1:2" s="97" customFormat="1" ht="16.5" customHeight="1" thickBot="1">
      <c r="A107" s="274"/>
      <c r="B107" s="734" t="s">
        <v>510</v>
      </c>
    </row>
    <row r="108" spans="1:2" s="97" customFormat="1" ht="16.5" customHeight="1" thickBot="1">
      <c r="A108" s="274"/>
      <c r="B108" s="734" t="s">
        <v>525</v>
      </c>
    </row>
    <row r="109" spans="1:2" s="97" customFormat="1" ht="51.75" customHeight="1" thickBot="1">
      <c r="A109" s="189">
        <v>4</v>
      </c>
      <c r="B109" s="998" t="s">
        <v>511</v>
      </c>
    </row>
    <row r="110" spans="1:2" s="97" customFormat="1" ht="13.5" customHeight="1" thickBot="1">
      <c r="A110" s="189"/>
      <c r="B110" s="465"/>
    </row>
    <row r="111" spans="1:2" s="97" customFormat="1" ht="33.75" customHeight="1" thickBot="1">
      <c r="A111" s="113"/>
      <c r="B111" s="467" t="s">
        <v>336</v>
      </c>
    </row>
    <row r="112" spans="1:2" s="97" customFormat="1" ht="39.75" thickBot="1">
      <c r="A112" s="85">
        <v>5</v>
      </c>
      <c r="B112" s="465" t="s">
        <v>550</v>
      </c>
    </row>
    <row r="113" spans="1:2" s="97" customFormat="1" ht="4.5" customHeight="1">
      <c r="A113" s="102"/>
      <c r="B113" s="478"/>
    </row>
    <row r="114" spans="1:2" s="97" customFormat="1" ht="39">
      <c r="A114" s="274"/>
      <c r="B114" s="478" t="s">
        <v>527</v>
      </c>
    </row>
    <row r="115" spans="1:2" s="97" customFormat="1" ht="3" customHeight="1">
      <c r="A115" s="274"/>
      <c r="B115" s="478"/>
    </row>
    <row r="116" spans="1:2" s="97" customFormat="1" ht="39">
      <c r="A116" s="274"/>
      <c r="B116" s="478" t="s">
        <v>526</v>
      </c>
    </row>
    <row r="117" spans="1:2" s="97" customFormat="1" ht="3.75" customHeight="1">
      <c r="A117" s="274"/>
      <c r="B117" s="478"/>
    </row>
    <row r="118" spans="1:2" s="97" customFormat="1" ht="61.5" customHeight="1">
      <c r="A118" s="274"/>
      <c r="B118" s="478" t="s">
        <v>528</v>
      </c>
    </row>
    <row r="119" spans="1:2" s="97" customFormat="1" ht="3.75" customHeight="1">
      <c r="A119" s="274"/>
      <c r="B119" s="478"/>
    </row>
    <row r="120" spans="1:2" s="97" customFormat="1" ht="46.5" customHeight="1" thickBot="1">
      <c r="A120" s="189">
        <v>6</v>
      </c>
      <c r="B120" s="479" t="s">
        <v>489</v>
      </c>
    </row>
    <row r="121" spans="1:2" s="97" customFormat="1" ht="8.25" customHeight="1">
      <c r="A121" s="102"/>
      <c r="B121" s="478"/>
    </row>
    <row r="122" spans="1:2" s="97" customFormat="1" ht="30" customHeight="1">
      <c r="A122" s="274"/>
      <c r="B122" s="737" t="s">
        <v>373</v>
      </c>
    </row>
    <row r="123" spans="1:2" s="97" customFormat="1" ht="17.25" customHeight="1">
      <c r="A123" s="274"/>
      <c r="B123" s="478" t="s">
        <v>374</v>
      </c>
    </row>
    <row r="124" spans="1:2" s="97" customFormat="1" ht="17.25" customHeight="1">
      <c r="A124" s="274"/>
      <c r="B124" s="478" t="s">
        <v>375</v>
      </c>
    </row>
    <row r="125" spans="1:2" s="97" customFormat="1" ht="17.25" customHeight="1">
      <c r="A125" s="274"/>
      <c r="B125" s="478" t="s">
        <v>396</v>
      </c>
    </row>
    <row r="126" spans="1:2" s="97" customFormat="1" ht="5.25" customHeight="1">
      <c r="A126" s="274"/>
      <c r="B126" s="478"/>
    </row>
    <row r="127" spans="1:2" s="97" customFormat="1" ht="63.75" customHeight="1" thickBot="1">
      <c r="A127" s="189">
        <v>7</v>
      </c>
      <c r="B127" s="478" t="s">
        <v>529</v>
      </c>
    </row>
    <row r="128" spans="1:2" s="97" customFormat="1" ht="27" customHeight="1" thickBot="1">
      <c r="A128" s="113"/>
      <c r="B128" s="477" t="s">
        <v>319</v>
      </c>
    </row>
    <row r="129" spans="1:2" s="97" customFormat="1" ht="66.75" customHeight="1" thickBot="1">
      <c r="A129" s="85">
        <v>8</v>
      </c>
      <c r="B129" s="480" t="s">
        <v>560</v>
      </c>
    </row>
    <row r="130" spans="1:2" s="97" customFormat="1" ht="25.5" customHeight="1" thickBot="1">
      <c r="A130" s="113"/>
      <c r="B130" s="467" t="s">
        <v>320</v>
      </c>
    </row>
    <row r="131" spans="1:2" s="97" customFormat="1" ht="153.75" customHeight="1" thickBot="1">
      <c r="A131" s="102">
        <v>9</v>
      </c>
      <c r="B131" s="982" t="s">
        <v>561</v>
      </c>
    </row>
    <row r="132" spans="1:2" s="97" customFormat="1" ht="94.5" customHeight="1">
      <c r="A132" s="981">
        <v>10</v>
      </c>
      <c r="B132" s="983" t="s">
        <v>535</v>
      </c>
    </row>
    <row r="133" spans="1:2" s="97" customFormat="1" ht="207.75" customHeight="1">
      <c r="A133" s="976"/>
      <c r="B133" s="986" t="s">
        <v>567</v>
      </c>
    </row>
    <row r="134" spans="1:2" s="97" customFormat="1" ht="27" thickBot="1">
      <c r="A134" s="987">
        <v>11</v>
      </c>
      <c r="B134" s="689" t="s">
        <v>536</v>
      </c>
    </row>
    <row r="135" spans="1:2" s="97" customFormat="1" ht="12">
      <c r="A135" s="86"/>
      <c r="B135" s="96"/>
    </row>
    <row r="136" spans="1:2" s="97" customFormat="1" ht="12.75">
      <c r="A136" s="86"/>
      <c r="B136" s="99"/>
    </row>
    <row r="137" spans="1:2" s="97" customFormat="1" ht="12.75" thickBot="1">
      <c r="A137" s="86"/>
      <c r="B137" s="96"/>
    </row>
    <row r="138" spans="1:2" s="97" customFormat="1" ht="24" customHeight="1" thickBot="1">
      <c r="A138" s="113"/>
      <c r="B138" s="277" t="s">
        <v>494</v>
      </c>
    </row>
    <row r="139" spans="1:2" s="97" customFormat="1" ht="12.75">
      <c r="A139" s="102"/>
      <c r="B139" s="275" t="s">
        <v>337</v>
      </c>
    </row>
    <row r="140" spans="1:2" s="97" customFormat="1" ht="15" customHeight="1">
      <c r="A140" s="274"/>
      <c r="B140" s="276" t="s">
        <v>386</v>
      </c>
    </row>
    <row r="141" spans="1:2" s="97" customFormat="1" ht="15" customHeight="1">
      <c r="A141" s="274"/>
      <c r="B141" s="276" t="s">
        <v>387</v>
      </c>
    </row>
    <row r="142" spans="1:2" s="97" customFormat="1" ht="15" customHeight="1">
      <c r="A142" s="274"/>
      <c r="B142" s="276" t="s">
        <v>388</v>
      </c>
    </row>
    <row r="143" spans="1:2" s="97" customFormat="1" ht="15" customHeight="1">
      <c r="A143" s="274"/>
      <c r="B143" s="276" t="s">
        <v>397</v>
      </c>
    </row>
    <row r="144" spans="1:2" s="97" customFormat="1" ht="15" customHeight="1" thickBot="1">
      <c r="A144" s="189">
        <v>1</v>
      </c>
      <c r="B144" s="273" t="s">
        <v>389</v>
      </c>
    </row>
    <row r="145" spans="1:2" s="97" customFormat="1" ht="158.25" customHeight="1" thickBot="1">
      <c r="A145" s="85">
        <v>2</v>
      </c>
      <c r="B145" s="693" t="s">
        <v>537</v>
      </c>
    </row>
    <row r="146" spans="1:2" ht="103.5" customHeight="1">
      <c r="A146" s="102"/>
      <c r="B146" s="690" t="s">
        <v>554</v>
      </c>
    </row>
    <row r="147" spans="1:2" ht="8.25" customHeight="1">
      <c r="A147" s="274"/>
      <c r="B147" s="692"/>
    </row>
    <row r="148" spans="1:2" ht="63" customHeight="1">
      <c r="A148" s="274"/>
      <c r="B148" s="692" t="s">
        <v>562</v>
      </c>
    </row>
    <row r="149" spans="1:2" ht="8.25" customHeight="1">
      <c r="A149" s="274"/>
      <c r="B149" s="692"/>
    </row>
    <row r="150" spans="1:2" ht="60.75" customHeight="1" thickBot="1">
      <c r="A150" s="189">
        <v>3</v>
      </c>
      <c r="B150" s="693" t="s">
        <v>443</v>
      </c>
    </row>
    <row r="151" spans="1:2" ht="39.75" thickBot="1">
      <c r="A151" s="189">
        <v>4</v>
      </c>
      <c r="B151" s="691" t="s">
        <v>568</v>
      </c>
    </row>
    <row r="152" spans="1:2" ht="95.25" customHeight="1">
      <c r="A152" s="102"/>
      <c r="B152" s="481" t="s">
        <v>538</v>
      </c>
    </row>
    <row r="153" spans="1:2" ht="6" customHeight="1">
      <c r="A153" s="274"/>
      <c r="B153" s="276"/>
    </row>
    <row r="154" spans="1:2" ht="153.75" customHeight="1" thickBot="1">
      <c r="A154" s="189">
        <v>5</v>
      </c>
      <c r="B154" s="689" t="s">
        <v>446</v>
      </c>
    </row>
    <row r="155" spans="1:2" ht="78.75" thickBot="1">
      <c r="A155" s="85">
        <v>6</v>
      </c>
      <c r="B155" s="1004" t="s">
        <v>539</v>
      </c>
    </row>
    <row r="156" spans="1:2" ht="27" thickBot="1">
      <c r="A156" s="85">
        <v>7</v>
      </c>
      <c r="B156" s="98" t="s">
        <v>540</v>
      </c>
    </row>
    <row r="157" ht="12.75">
      <c r="B157" s="1"/>
    </row>
    <row r="158" spans="1:2" ht="12.75">
      <c r="A158" s="86"/>
      <c r="B158" s="99"/>
    </row>
    <row r="159" spans="1:2" ht="13.5" thickBot="1">
      <c r="A159" s="86"/>
      <c r="B159" s="99"/>
    </row>
    <row r="160" spans="1:2" ht="24" customHeight="1" thickBot="1">
      <c r="A160" s="113"/>
      <c r="B160" s="114" t="s">
        <v>495</v>
      </c>
    </row>
    <row r="161" spans="1:2" ht="24" customHeight="1" thickBot="1">
      <c r="A161" s="113"/>
      <c r="B161" s="466" t="s">
        <v>59</v>
      </c>
    </row>
    <row r="162" spans="1:2" s="335" customFormat="1" ht="18" customHeight="1" thickBot="1">
      <c r="A162" s="699">
        <v>1</v>
      </c>
      <c r="B162" s="718" t="s">
        <v>350</v>
      </c>
    </row>
    <row r="163" spans="1:2" s="335" customFormat="1" ht="48" customHeight="1" thickBot="1">
      <c r="A163" s="695">
        <v>2</v>
      </c>
      <c r="B163" s="718" t="s">
        <v>398</v>
      </c>
    </row>
    <row r="164" spans="1:2" s="335" customFormat="1" ht="47.25" customHeight="1" thickBot="1">
      <c r="A164" s="719">
        <v>3</v>
      </c>
      <c r="B164" s="718" t="s">
        <v>410</v>
      </c>
    </row>
    <row r="165" spans="1:2" s="335" customFormat="1" ht="31.5" customHeight="1" thickBot="1">
      <c r="A165" s="719"/>
      <c r="B165" s="999" t="s">
        <v>555</v>
      </c>
    </row>
    <row r="166" spans="1:2" s="335" customFormat="1" ht="16.5" customHeight="1" thickBot="1">
      <c r="A166" s="721"/>
      <c r="B166" s="999" t="s">
        <v>513</v>
      </c>
    </row>
    <row r="167" spans="1:2" s="335" customFormat="1" ht="16.5" customHeight="1" thickBot="1">
      <c r="A167" s="721"/>
      <c r="B167" s="999" t="s">
        <v>514</v>
      </c>
    </row>
    <row r="168" spans="1:2" s="335" customFormat="1" ht="16.5" customHeight="1" thickBot="1">
      <c r="A168" s="721"/>
      <c r="B168" s="999" t="s">
        <v>517</v>
      </c>
    </row>
    <row r="169" spans="1:2" s="335" customFormat="1" ht="16.5" customHeight="1" thickBot="1">
      <c r="A169" s="721"/>
      <c r="B169" s="999" t="s">
        <v>515</v>
      </c>
    </row>
    <row r="170" spans="1:2" s="335" customFormat="1" ht="16.5" customHeight="1" thickBot="1">
      <c r="A170" s="721"/>
      <c r="B170" s="999" t="s">
        <v>518</v>
      </c>
    </row>
    <row r="171" spans="1:2" s="335" customFormat="1" ht="32.25" customHeight="1" thickBot="1">
      <c r="A171" s="720">
        <v>4</v>
      </c>
      <c r="B171" s="999" t="s">
        <v>516</v>
      </c>
    </row>
    <row r="172" spans="1:2" s="335" customFormat="1" ht="36.75" customHeight="1" thickBot="1">
      <c r="A172" s="185">
        <v>5</v>
      </c>
      <c r="B172" s="718" t="s">
        <v>411</v>
      </c>
    </row>
    <row r="173" spans="1:2" s="335" customFormat="1" ht="34.5" customHeight="1" thickBot="1">
      <c r="A173" s="699">
        <v>6</v>
      </c>
      <c r="B173" s="718" t="s">
        <v>412</v>
      </c>
    </row>
    <row r="174" spans="1:2" ht="48.75" customHeight="1" thickBot="1">
      <c r="A174" s="695">
        <v>7</v>
      </c>
      <c r="B174" s="783" t="s">
        <v>394</v>
      </c>
    </row>
    <row r="175" spans="1:2" ht="34.5" customHeight="1" thickBot="1">
      <c r="A175" s="699">
        <v>8</v>
      </c>
      <c r="B175" s="731" t="s">
        <v>413</v>
      </c>
    </row>
    <row r="176" spans="1:2" ht="36.75" customHeight="1" thickBot="1">
      <c r="A176" s="695">
        <v>9</v>
      </c>
      <c r="B176" s="732" t="s">
        <v>572</v>
      </c>
    </row>
    <row r="177" spans="1:2" ht="30" customHeight="1" thickBot="1">
      <c r="A177" s="719">
        <v>10</v>
      </c>
      <c r="B177" s="731" t="s">
        <v>351</v>
      </c>
    </row>
    <row r="178" spans="1:2" ht="36" customHeight="1" thickBot="1">
      <c r="A178" s="719">
        <v>11</v>
      </c>
      <c r="B178" s="776" t="s">
        <v>541</v>
      </c>
    </row>
    <row r="179" spans="1:2" ht="17.25" customHeight="1" thickBot="1">
      <c r="A179" s="719">
        <v>12</v>
      </c>
      <c r="B179" s="465" t="s">
        <v>542</v>
      </c>
    </row>
    <row r="180" spans="1:2" ht="58.5" customHeight="1" thickBot="1">
      <c r="A180" s="695">
        <v>13</v>
      </c>
      <c r="B180" s="730" t="s">
        <v>414</v>
      </c>
    </row>
    <row r="181" spans="1:2" ht="24.75" customHeight="1" thickBot="1">
      <c r="A181" s="736"/>
      <c r="B181" s="774" t="s">
        <v>353</v>
      </c>
    </row>
    <row r="182" spans="1:2" ht="22.5" customHeight="1" thickBot="1">
      <c r="A182" s="85">
        <v>14</v>
      </c>
      <c r="B182" s="476" t="s">
        <v>519</v>
      </c>
    </row>
    <row r="183" spans="1:2" ht="0.75" customHeight="1" thickBot="1">
      <c r="A183" s="85">
        <v>2</v>
      </c>
      <c r="B183" s="98"/>
    </row>
    <row r="184" spans="1:2" ht="0.75" customHeight="1" thickBot="1">
      <c r="A184" s="85"/>
      <c r="B184" s="98"/>
    </row>
    <row r="185" spans="1:2" ht="40.5" customHeight="1" thickBot="1">
      <c r="A185" s="85">
        <v>15</v>
      </c>
      <c r="B185" s="475" t="s">
        <v>415</v>
      </c>
    </row>
    <row r="186" spans="1:2" ht="91.5" customHeight="1" thickBot="1">
      <c r="A186" s="85">
        <v>16</v>
      </c>
      <c r="B186" s="98" t="s">
        <v>395</v>
      </c>
    </row>
    <row r="187" spans="1:2" ht="62.25" customHeight="1">
      <c r="A187" s="102"/>
      <c r="B187" s="481" t="s">
        <v>447</v>
      </c>
    </row>
    <row r="188" spans="1:2" ht="12.75" customHeight="1">
      <c r="A188" s="274"/>
      <c r="B188" s="1000" t="s">
        <v>354</v>
      </c>
    </row>
    <row r="189" spans="1:2" ht="12.75" customHeight="1">
      <c r="A189" s="274"/>
      <c r="B189" s="1000" t="s">
        <v>355</v>
      </c>
    </row>
    <row r="190" spans="1:2" ht="12.75" customHeight="1">
      <c r="A190" s="274"/>
      <c r="B190" s="1000" t="s">
        <v>356</v>
      </c>
    </row>
    <row r="191" spans="1:2" ht="12.75" customHeight="1">
      <c r="A191" s="274"/>
      <c r="B191" s="1000" t="s">
        <v>357</v>
      </c>
    </row>
    <row r="192" spans="1:2" ht="12.75" customHeight="1">
      <c r="A192" s="274"/>
      <c r="B192" s="1000" t="s">
        <v>358</v>
      </c>
    </row>
    <row r="193" spans="1:2" ht="48" customHeight="1">
      <c r="A193" s="274"/>
      <c r="B193" s="1001" t="s">
        <v>416</v>
      </c>
    </row>
    <row r="194" spans="1:2" ht="37.5" customHeight="1">
      <c r="A194" s="274"/>
      <c r="B194" s="1001" t="s">
        <v>417</v>
      </c>
    </row>
    <row r="195" spans="1:2" ht="30.75" customHeight="1">
      <c r="A195" s="274"/>
      <c r="B195" s="1001" t="s">
        <v>418</v>
      </c>
    </row>
    <row r="196" spans="1:2" ht="74.25" customHeight="1">
      <c r="A196" s="274"/>
      <c r="B196" s="1002" t="s">
        <v>556</v>
      </c>
    </row>
    <row r="197" spans="1:2" ht="35.25" customHeight="1">
      <c r="A197" s="274"/>
      <c r="B197" s="1001" t="s">
        <v>359</v>
      </c>
    </row>
    <row r="198" spans="1:2" ht="64.5" customHeight="1" thickBot="1">
      <c r="A198" s="189">
        <v>17</v>
      </c>
      <c r="B198" s="480" t="s">
        <v>419</v>
      </c>
    </row>
    <row r="199" spans="1:2" ht="52.5" thickBot="1">
      <c r="A199" s="189">
        <v>18</v>
      </c>
      <c r="B199" s="480" t="s">
        <v>569</v>
      </c>
    </row>
    <row r="200" spans="1:2" ht="20.25" customHeight="1" thickBot="1">
      <c r="A200" s="86"/>
      <c r="B200" s="97"/>
    </row>
    <row r="201" spans="1:2" ht="20.25" customHeight="1" thickBot="1">
      <c r="A201" s="113"/>
      <c r="B201" s="114" t="s">
        <v>496</v>
      </c>
    </row>
    <row r="202" spans="1:2" ht="46.5" customHeight="1" thickBot="1">
      <c r="A202" s="85">
        <v>1</v>
      </c>
      <c r="B202" s="465" t="s">
        <v>543</v>
      </c>
    </row>
    <row r="203" spans="1:2" ht="26.25" customHeight="1" thickBot="1">
      <c r="A203" s="86"/>
      <c r="B203" s="3"/>
    </row>
    <row r="204" spans="1:2" ht="24" customHeight="1" thickBot="1">
      <c r="A204" s="113"/>
      <c r="B204" s="115" t="s">
        <v>497</v>
      </c>
    </row>
    <row r="205" spans="1:2" ht="34.5" customHeight="1" thickBot="1">
      <c r="A205" s="772">
        <v>1</v>
      </c>
      <c r="B205" s="771" t="s">
        <v>399</v>
      </c>
    </row>
    <row r="206" spans="1:2" ht="21" customHeight="1" thickBot="1">
      <c r="A206" s="773" t="s">
        <v>367</v>
      </c>
      <c r="B206" s="771" t="s">
        <v>400</v>
      </c>
    </row>
    <row r="207" spans="1:2" ht="21.75" customHeight="1" thickBot="1">
      <c r="A207" s="772">
        <v>3</v>
      </c>
      <c r="B207" s="771" t="s">
        <v>368</v>
      </c>
    </row>
    <row r="208" spans="1:2" s="97" customFormat="1" ht="24" customHeight="1" thickBot="1">
      <c r="A208" s="772">
        <v>4</v>
      </c>
      <c r="B208" s="771" t="s">
        <v>393</v>
      </c>
    </row>
    <row r="209" spans="1:2" ht="64.5" customHeight="1" thickBot="1">
      <c r="A209" s="772">
        <v>5</v>
      </c>
      <c r="B209" s="771" t="s">
        <v>401</v>
      </c>
    </row>
    <row r="210" ht="12.75">
      <c r="B210" s="1"/>
    </row>
    <row r="211" ht="13.5" thickBot="1">
      <c r="B211" s="1"/>
    </row>
    <row r="212" spans="1:2" ht="24" customHeight="1" thickBot="1">
      <c r="A212" s="113"/>
      <c r="B212" s="114" t="s">
        <v>498</v>
      </c>
    </row>
    <row r="213" spans="1:2" ht="39.75" thickBot="1">
      <c r="A213" s="85">
        <v>1</v>
      </c>
      <c r="B213" s="98" t="s">
        <v>578</v>
      </c>
    </row>
    <row r="214" ht="12.75">
      <c r="B214" s="1"/>
    </row>
  </sheetData>
  <sheetProtection password="CC59" sheet="1" formatColumns="0" formatRows="0"/>
  <mergeCells count="1">
    <mergeCell ref="A19:A28"/>
  </mergeCells>
  <printOptions/>
  <pageMargins left="0.7" right="0.7" top="0.75" bottom="0.75" header="0.3" footer="0.3"/>
  <pageSetup horizontalDpi="600" verticalDpi="600" orientation="portrait" paperSize="5" scale="70"/>
  <headerFooter alignWithMargins="0">
    <oddHeader>&amp;C2014 RFP Financial Forms</oddHeader>
  </headerFooter>
</worksheet>
</file>

<file path=xl/worksheets/sheet2.xml><?xml version="1.0" encoding="utf-8"?>
<worksheet xmlns="http://schemas.openxmlformats.org/spreadsheetml/2006/main" xmlns:r="http://schemas.openxmlformats.org/officeDocument/2006/relationships">
  <dimension ref="A1:O204"/>
  <sheetViews>
    <sheetView zoomScale="125" zoomScaleNormal="125" workbookViewId="0" topLeftCell="A73">
      <selection activeCell="G47" sqref="G47"/>
    </sheetView>
  </sheetViews>
  <sheetFormatPr defaultColWidth="8.8515625" defaultRowHeight="12.75"/>
  <cols>
    <col min="1" max="1" width="79.00390625" style="0" customWidth="1"/>
    <col min="2" max="2" width="17.7109375" style="0" hidden="1" customWidth="1"/>
    <col min="3" max="3" width="12.7109375" style="0" hidden="1" customWidth="1"/>
    <col min="4" max="4" width="1.421875" style="0" customWidth="1"/>
    <col min="5" max="5" width="15.7109375" style="0" customWidth="1"/>
    <col min="6" max="6" width="1.421875" style="0" customWidth="1"/>
    <col min="7" max="7" width="15.7109375" style="0" customWidth="1"/>
    <col min="8" max="8" width="1.28515625" style="0" customWidth="1"/>
    <col min="9" max="9" width="15.7109375" style="0" customWidth="1"/>
    <col min="10" max="10" width="1.421875" style="0" customWidth="1"/>
    <col min="11" max="11" width="15.7109375" style="0" customWidth="1"/>
    <col min="12" max="12" width="1.421875" style="0" customWidth="1"/>
    <col min="13" max="13" width="15.7109375" style="0" customWidth="1"/>
    <col min="14" max="14" width="1.421875" style="0" customWidth="1"/>
    <col min="15" max="15" width="15.7109375" style="0" customWidth="1"/>
  </cols>
  <sheetData>
    <row r="1" spans="1:15" ht="18" thickBot="1">
      <c r="A1" s="1032" t="str">
        <f>'Budget with Assumptions'!$A$2</f>
        <v>STARS Project Engineering Academy Charter School</v>
      </c>
      <c r="B1" s="1033"/>
      <c r="C1" s="93"/>
      <c r="D1" s="93"/>
      <c r="E1" s="93"/>
      <c r="F1" s="93"/>
      <c r="G1" s="92"/>
      <c r="H1" s="92"/>
      <c r="I1" s="92"/>
      <c r="J1" s="92"/>
      <c r="K1" s="73"/>
      <c r="L1" s="73"/>
      <c r="M1" s="73"/>
      <c r="N1" s="73"/>
      <c r="O1" s="73"/>
    </row>
    <row r="2" spans="1:15" ht="19.5" customHeight="1">
      <c r="A2" s="396"/>
      <c r="B2" s="74"/>
      <c r="C2" s="74"/>
      <c r="D2" s="74"/>
      <c r="E2" s="74"/>
      <c r="F2" s="74"/>
      <c r="G2" s="74"/>
      <c r="H2" s="74"/>
      <c r="I2" s="74"/>
      <c r="J2" s="74"/>
      <c r="K2" s="74"/>
      <c r="L2" s="74"/>
      <c r="M2" s="74"/>
      <c r="N2" s="74"/>
      <c r="O2" s="74"/>
    </row>
    <row r="3" spans="1:15" ht="12.75" thickBot="1">
      <c r="A3" s="75"/>
      <c r="B3" s="75"/>
      <c r="C3" s="75"/>
      <c r="D3" s="75"/>
      <c r="E3" s="75"/>
      <c r="F3" s="75"/>
      <c r="G3" s="75"/>
      <c r="H3" s="75"/>
      <c r="I3" s="75"/>
      <c r="J3" s="75"/>
      <c r="K3" s="75"/>
      <c r="L3" s="75"/>
      <c r="M3" s="75"/>
      <c r="N3" s="75"/>
      <c r="O3" s="75"/>
    </row>
    <row r="4" spans="1:15" ht="19.5" customHeight="1" thickBot="1">
      <c r="A4" s="76"/>
      <c r="B4" s="1027" t="s">
        <v>60</v>
      </c>
      <c r="C4" s="1028"/>
      <c r="D4" s="1028"/>
      <c r="E4" s="1028"/>
      <c r="F4" s="1028"/>
      <c r="G4" s="1028"/>
      <c r="H4" s="1028"/>
      <c r="I4" s="1028"/>
      <c r="J4" s="1028"/>
      <c r="K4" s="1028"/>
      <c r="L4" s="1028"/>
      <c r="M4" s="1028"/>
      <c r="N4" s="1028"/>
      <c r="O4" s="1029"/>
    </row>
    <row r="5" spans="1:15" ht="32.25" customHeight="1" thickBot="1">
      <c r="A5" s="450"/>
      <c r="B5" s="282"/>
      <c r="C5" s="283"/>
      <c r="D5" s="1027" t="s">
        <v>168</v>
      </c>
      <c r="E5" s="1028"/>
      <c r="F5" s="1028"/>
      <c r="G5" s="1028"/>
      <c r="H5" s="1028"/>
      <c r="I5" s="1028"/>
      <c r="J5" s="1028"/>
      <c r="K5" s="1028"/>
      <c r="L5" s="1028"/>
      <c r="M5" s="1028"/>
      <c r="N5" s="1028"/>
      <c r="O5" s="1029"/>
    </row>
    <row r="6" spans="1:15" ht="40.5" customHeight="1" thickBot="1">
      <c r="A6" s="994" t="s">
        <v>502</v>
      </c>
      <c r="B6" s="823"/>
      <c r="C6" s="824"/>
      <c r="D6" s="825"/>
      <c r="E6" s="826" t="s">
        <v>167</v>
      </c>
      <c r="F6" s="827"/>
      <c r="G6" s="395">
        <f>'Budget with Assumptions'!L9</f>
        <v>2017</v>
      </c>
      <c r="H6" s="395"/>
      <c r="I6" s="395">
        <f>'Budget with Assumptions'!N9</f>
        <v>2018</v>
      </c>
      <c r="J6" s="395"/>
      <c r="K6" s="395">
        <f>'Budget with Assumptions'!P9</f>
        <v>2019</v>
      </c>
      <c r="L6" s="395"/>
      <c r="M6" s="395">
        <f>'Budget with Assumptions'!R9</f>
        <v>2020</v>
      </c>
      <c r="N6" s="395"/>
      <c r="O6" s="395">
        <f>'Budget with Assumptions'!T9</f>
        <v>2021</v>
      </c>
    </row>
    <row r="7" spans="1:15" ht="12">
      <c r="A7" s="117" t="s">
        <v>66</v>
      </c>
      <c r="B7" s="796" t="s">
        <v>204</v>
      </c>
      <c r="C7" s="828"/>
      <c r="D7" s="829"/>
      <c r="E7" s="451">
        <v>0</v>
      </c>
      <c r="F7" s="141"/>
      <c r="G7" s="110">
        <v>12</v>
      </c>
      <c r="H7" s="110"/>
      <c r="I7" s="110">
        <v>21</v>
      </c>
      <c r="J7" s="110"/>
      <c r="K7" s="110">
        <v>23</v>
      </c>
      <c r="L7" s="110"/>
      <c r="M7" s="110">
        <v>30</v>
      </c>
      <c r="N7" s="110"/>
      <c r="O7" s="110">
        <v>30</v>
      </c>
    </row>
    <row r="8" spans="1:15" ht="12">
      <c r="A8" s="493" t="s">
        <v>67</v>
      </c>
      <c r="B8" s="796" t="s">
        <v>204</v>
      </c>
      <c r="C8" s="828"/>
      <c r="D8" s="120"/>
      <c r="E8" s="451">
        <v>0</v>
      </c>
      <c r="F8" s="119"/>
      <c r="G8" s="119">
        <v>4</v>
      </c>
      <c r="H8" s="119"/>
      <c r="I8" s="119">
        <v>5</v>
      </c>
      <c r="J8" s="119"/>
      <c r="K8" s="119">
        <v>6</v>
      </c>
      <c r="L8" s="119"/>
      <c r="M8" s="119">
        <v>7</v>
      </c>
      <c r="N8" s="119"/>
      <c r="O8" s="119">
        <v>7</v>
      </c>
    </row>
    <row r="9" spans="1:15" ht="12">
      <c r="A9" s="493" t="s">
        <v>68</v>
      </c>
      <c r="B9" s="796" t="s">
        <v>204</v>
      </c>
      <c r="C9" s="111"/>
      <c r="D9" s="120"/>
      <c r="E9" s="451">
        <v>0</v>
      </c>
      <c r="F9" s="120"/>
      <c r="G9" s="119"/>
      <c r="H9" s="119"/>
      <c r="I9" s="119"/>
      <c r="J9" s="119"/>
      <c r="K9" s="119"/>
      <c r="L9" s="119"/>
      <c r="M9" s="119"/>
      <c r="N9" s="119"/>
      <c r="O9" s="119"/>
    </row>
    <row r="10" spans="1:15" ht="12">
      <c r="A10" s="493" t="s">
        <v>69</v>
      </c>
      <c r="B10" s="796" t="s">
        <v>204</v>
      </c>
      <c r="C10" s="828"/>
      <c r="D10" s="120"/>
      <c r="E10" s="451">
        <v>0</v>
      </c>
      <c r="F10" s="119"/>
      <c r="G10" s="119"/>
      <c r="H10" s="119"/>
      <c r="I10" s="119"/>
      <c r="J10" s="119"/>
      <c r="K10" s="119"/>
      <c r="L10" s="119"/>
      <c r="M10" s="119"/>
      <c r="N10" s="119"/>
      <c r="O10" s="119"/>
    </row>
    <row r="11" spans="1:15" ht="12">
      <c r="A11" s="493" t="s">
        <v>70</v>
      </c>
      <c r="B11" s="796" t="s">
        <v>204</v>
      </c>
      <c r="C11" s="828"/>
      <c r="D11" s="120"/>
      <c r="E11" s="451">
        <v>0</v>
      </c>
      <c r="F11" s="119"/>
      <c r="G11" s="119"/>
      <c r="H11" s="119"/>
      <c r="I11" s="119"/>
      <c r="J11" s="119"/>
      <c r="K11" s="119"/>
      <c r="L11" s="119"/>
      <c r="M11" s="119"/>
      <c r="N11" s="119"/>
      <c r="O11" s="119"/>
    </row>
    <row r="12" spans="1:15" ht="12">
      <c r="A12" s="493" t="s">
        <v>71</v>
      </c>
      <c r="B12" s="796" t="s">
        <v>204</v>
      </c>
      <c r="C12" s="828"/>
      <c r="D12" s="120"/>
      <c r="E12" s="451">
        <v>0</v>
      </c>
      <c r="F12" s="119"/>
      <c r="G12" s="119"/>
      <c r="H12" s="119"/>
      <c r="I12" s="119"/>
      <c r="J12" s="119"/>
      <c r="K12" s="119"/>
      <c r="L12" s="119"/>
      <c r="M12" s="119"/>
      <c r="N12" s="119"/>
      <c r="O12" s="119"/>
    </row>
    <row r="13" spans="1:15" ht="12">
      <c r="A13" s="493" t="s">
        <v>72</v>
      </c>
      <c r="B13" s="796" t="s">
        <v>204</v>
      </c>
      <c r="C13" s="828"/>
      <c r="D13" s="120"/>
      <c r="E13" s="451">
        <v>0</v>
      </c>
      <c r="F13" s="119"/>
      <c r="G13" s="119"/>
      <c r="H13" s="119"/>
      <c r="I13" s="119"/>
      <c r="J13" s="119"/>
      <c r="K13" s="119"/>
      <c r="L13" s="119"/>
      <c r="M13" s="119"/>
      <c r="N13" s="119"/>
      <c r="O13" s="119"/>
    </row>
    <row r="14" spans="1:15" ht="12.75">
      <c r="A14" s="493" t="s">
        <v>73</v>
      </c>
      <c r="B14" s="796" t="s">
        <v>204</v>
      </c>
      <c r="C14" s="828"/>
      <c r="D14" s="120"/>
      <c r="E14" s="451">
        <v>0</v>
      </c>
      <c r="F14" s="119"/>
      <c r="G14" s="119"/>
      <c r="H14" s="119"/>
      <c r="I14" s="119"/>
      <c r="J14" s="119"/>
      <c r="K14" s="119"/>
      <c r="L14" s="119"/>
      <c r="M14" s="119"/>
      <c r="N14" s="119"/>
      <c r="O14" s="119"/>
    </row>
    <row r="15" spans="1:15" ht="12.75">
      <c r="A15" s="493" t="s">
        <v>74</v>
      </c>
      <c r="B15" s="796" t="s">
        <v>204</v>
      </c>
      <c r="C15" s="828"/>
      <c r="D15" s="120"/>
      <c r="E15" s="451">
        <v>0</v>
      </c>
      <c r="F15" s="119"/>
      <c r="G15" s="119"/>
      <c r="H15" s="119"/>
      <c r="I15" s="119"/>
      <c r="J15" s="119"/>
      <c r="K15" s="119"/>
      <c r="L15" s="119"/>
      <c r="M15" s="119"/>
      <c r="N15" s="119"/>
      <c r="O15" s="119"/>
    </row>
    <row r="16" spans="1:15" ht="12.75">
      <c r="A16" s="118" t="s">
        <v>75</v>
      </c>
      <c r="B16" s="796" t="s">
        <v>204</v>
      </c>
      <c r="C16" s="828"/>
      <c r="D16" s="120"/>
      <c r="E16" s="451">
        <v>0</v>
      </c>
      <c r="F16" s="119"/>
      <c r="G16" s="119"/>
      <c r="H16" s="119"/>
      <c r="I16" s="119"/>
      <c r="J16" s="119"/>
      <c r="K16" s="119"/>
      <c r="L16" s="119"/>
      <c r="M16" s="119"/>
      <c r="N16" s="119"/>
      <c r="O16" s="119"/>
    </row>
    <row r="17" spans="1:15" ht="12">
      <c r="A17" s="1021" t="s">
        <v>607</v>
      </c>
      <c r="B17" s="796" t="s">
        <v>204</v>
      </c>
      <c r="C17" s="828"/>
      <c r="D17" s="120"/>
      <c r="E17" s="451">
        <v>0</v>
      </c>
      <c r="F17" s="119"/>
      <c r="G17" s="119"/>
      <c r="H17" s="119"/>
      <c r="I17" s="119"/>
      <c r="J17" s="119"/>
      <c r="K17" s="119"/>
      <c r="L17" s="119"/>
      <c r="M17" s="119"/>
      <c r="N17" s="119"/>
      <c r="O17" s="119"/>
    </row>
    <row r="18" spans="1:15" ht="12">
      <c r="A18" s="118" t="s">
        <v>76</v>
      </c>
      <c r="B18" s="796" t="s">
        <v>204</v>
      </c>
      <c r="C18" s="828"/>
      <c r="D18" s="120"/>
      <c r="E18" s="451">
        <v>0</v>
      </c>
      <c r="F18" s="119"/>
      <c r="G18" s="119"/>
      <c r="H18" s="119"/>
      <c r="I18" s="119"/>
      <c r="J18" s="119"/>
      <c r="K18" s="119"/>
      <c r="L18" s="119"/>
      <c r="M18" s="119"/>
      <c r="N18" s="119"/>
      <c r="O18" s="119"/>
    </row>
    <row r="19" spans="1:15" ht="12">
      <c r="A19" s="117" t="s">
        <v>77</v>
      </c>
      <c r="B19" s="796" t="s">
        <v>204</v>
      </c>
      <c r="C19" s="828"/>
      <c r="D19" s="120"/>
      <c r="E19" s="451">
        <v>0</v>
      </c>
      <c r="F19" s="119"/>
      <c r="G19" s="119"/>
      <c r="H19" s="119"/>
      <c r="I19" s="119"/>
      <c r="J19" s="119"/>
      <c r="K19" s="119"/>
      <c r="L19" s="119"/>
      <c r="M19" s="119"/>
      <c r="N19" s="119"/>
      <c r="O19" s="119"/>
    </row>
    <row r="20" spans="1:15" ht="12">
      <c r="A20" s="118" t="s">
        <v>33</v>
      </c>
      <c r="B20" s="796" t="s">
        <v>204</v>
      </c>
      <c r="C20" s="828"/>
      <c r="D20" s="120"/>
      <c r="E20" s="451">
        <v>0</v>
      </c>
      <c r="F20" s="119"/>
      <c r="G20" s="119"/>
      <c r="H20" s="119"/>
      <c r="I20" s="119"/>
      <c r="J20" s="119"/>
      <c r="K20" s="119"/>
      <c r="L20" s="119"/>
      <c r="M20" s="119"/>
      <c r="N20" s="119"/>
      <c r="O20" s="119"/>
    </row>
    <row r="21" spans="1:15" ht="12">
      <c r="A21" s="117" t="s">
        <v>34</v>
      </c>
      <c r="B21" s="796" t="s">
        <v>204</v>
      </c>
      <c r="C21" s="111"/>
      <c r="D21" s="120"/>
      <c r="E21" s="451">
        <v>0</v>
      </c>
      <c r="F21" s="120"/>
      <c r="G21" s="119"/>
      <c r="H21" s="119"/>
      <c r="I21" s="119"/>
      <c r="J21" s="119"/>
      <c r="K21" s="119"/>
      <c r="L21" s="119"/>
      <c r="M21" s="119"/>
      <c r="N21" s="119"/>
      <c r="O21" s="119"/>
    </row>
    <row r="22" spans="1:15" ht="12">
      <c r="A22" s="133" t="s">
        <v>266</v>
      </c>
      <c r="B22" s="796" t="s">
        <v>204</v>
      </c>
      <c r="C22" s="111"/>
      <c r="D22" s="120"/>
      <c r="E22" s="451">
        <v>0</v>
      </c>
      <c r="F22" s="120"/>
      <c r="G22" s="119"/>
      <c r="H22" s="119"/>
      <c r="I22" s="119"/>
      <c r="J22" s="119"/>
      <c r="K22" s="119"/>
      <c r="L22" s="119"/>
      <c r="M22" s="119"/>
      <c r="N22" s="119"/>
      <c r="O22" s="119"/>
    </row>
    <row r="23" spans="1:15" ht="12">
      <c r="A23" s="117" t="s">
        <v>260</v>
      </c>
      <c r="B23" s="796" t="s">
        <v>204</v>
      </c>
      <c r="C23" s="111"/>
      <c r="D23" s="120"/>
      <c r="E23" s="451">
        <v>0</v>
      </c>
      <c r="F23" s="120"/>
      <c r="G23" s="119"/>
      <c r="H23" s="119"/>
      <c r="I23" s="119"/>
      <c r="J23" s="119"/>
      <c r="K23" s="119"/>
      <c r="L23" s="119"/>
      <c r="M23" s="119"/>
      <c r="N23" s="119"/>
      <c r="O23" s="119"/>
    </row>
    <row r="24" spans="1:15" ht="12">
      <c r="A24" s="117" t="s">
        <v>261</v>
      </c>
      <c r="B24" s="796" t="s">
        <v>204</v>
      </c>
      <c r="C24" s="111"/>
      <c r="D24" s="120"/>
      <c r="E24" s="451">
        <v>0</v>
      </c>
      <c r="F24" s="120"/>
      <c r="G24" s="119"/>
      <c r="H24" s="119"/>
      <c r="I24" s="119"/>
      <c r="J24" s="119"/>
      <c r="K24" s="119"/>
      <c r="L24" s="119"/>
      <c r="M24" s="119"/>
      <c r="N24" s="119"/>
      <c r="O24" s="119"/>
    </row>
    <row r="25" spans="1:15" ht="12">
      <c r="A25" s="117" t="s">
        <v>267</v>
      </c>
      <c r="B25" s="796" t="s">
        <v>204</v>
      </c>
      <c r="C25" s="111"/>
      <c r="D25" s="120"/>
      <c r="E25" s="451">
        <v>0</v>
      </c>
      <c r="F25" s="120"/>
      <c r="G25" s="119"/>
      <c r="H25" s="119"/>
      <c r="I25" s="119"/>
      <c r="J25" s="119"/>
      <c r="K25" s="119"/>
      <c r="L25" s="119"/>
      <c r="M25" s="119"/>
      <c r="N25" s="119"/>
      <c r="O25" s="119"/>
    </row>
    <row r="26" spans="1:15" ht="12">
      <c r="A26" s="117" t="s">
        <v>262</v>
      </c>
      <c r="B26" s="796" t="s">
        <v>204</v>
      </c>
      <c r="C26" s="111"/>
      <c r="D26" s="120"/>
      <c r="E26" s="451">
        <v>0</v>
      </c>
      <c r="F26" s="120"/>
      <c r="G26" s="119"/>
      <c r="H26" s="119"/>
      <c r="I26" s="119"/>
      <c r="J26" s="119"/>
      <c r="K26" s="119"/>
      <c r="L26" s="119"/>
      <c r="M26" s="119"/>
      <c r="N26" s="119"/>
      <c r="O26" s="119"/>
    </row>
    <row r="27" spans="1:15" ht="12">
      <c r="A27" s="117" t="s">
        <v>263</v>
      </c>
      <c r="B27" s="796" t="s">
        <v>204</v>
      </c>
      <c r="C27" s="111"/>
      <c r="D27" s="120"/>
      <c r="E27" s="451">
        <v>0</v>
      </c>
      <c r="F27" s="120"/>
      <c r="G27" s="119"/>
      <c r="H27" s="119"/>
      <c r="I27" s="119"/>
      <c r="J27" s="119"/>
      <c r="K27" s="119"/>
      <c r="L27" s="119"/>
      <c r="M27" s="119"/>
      <c r="N27" s="119"/>
      <c r="O27" s="119"/>
    </row>
    <row r="28" spans="1:15" ht="12">
      <c r="A28" s="118" t="s">
        <v>264</v>
      </c>
      <c r="B28" s="796" t="s">
        <v>204</v>
      </c>
      <c r="C28" s="828"/>
      <c r="D28" s="120"/>
      <c r="E28" s="451">
        <v>0</v>
      </c>
      <c r="F28" s="119"/>
      <c r="G28" s="119"/>
      <c r="H28" s="119"/>
      <c r="I28" s="119"/>
      <c r="J28" s="119"/>
      <c r="K28" s="119"/>
      <c r="L28" s="119"/>
      <c r="M28" s="119"/>
      <c r="N28" s="119"/>
      <c r="O28" s="119"/>
    </row>
    <row r="29" spans="1:15" ht="12.75" thickBot="1">
      <c r="A29" s="118" t="s">
        <v>265</v>
      </c>
      <c r="B29" s="796" t="s">
        <v>204</v>
      </c>
      <c r="C29" s="830"/>
      <c r="D29" s="831"/>
      <c r="E29" s="451">
        <v>0</v>
      </c>
      <c r="F29" s="147"/>
      <c r="G29" s="148"/>
      <c r="H29" s="148"/>
      <c r="I29" s="119"/>
      <c r="J29" s="148"/>
      <c r="K29" s="119"/>
      <c r="L29" s="148"/>
      <c r="M29" s="119"/>
      <c r="N29" s="148"/>
      <c r="O29" s="119"/>
    </row>
    <row r="30" spans="1:15" ht="40.5" customHeight="1" thickBot="1">
      <c r="A30" s="394" t="s">
        <v>501</v>
      </c>
      <c r="B30" s="402"/>
      <c r="C30" s="517"/>
      <c r="D30" s="517"/>
      <c r="E30" s="517"/>
      <c r="F30" s="517"/>
      <c r="G30" s="517"/>
      <c r="H30" s="517"/>
      <c r="I30" s="517"/>
      <c r="J30" s="517"/>
      <c r="K30" s="517"/>
      <c r="L30" s="517"/>
      <c r="M30" s="517"/>
      <c r="N30" s="517"/>
      <c r="O30" s="518"/>
    </row>
    <row r="31" spans="1:15" ht="12">
      <c r="A31" s="134" t="s">
        <v>51</v>
      </c>
      <c r="B31" s="796" t="s">
        <v>204</v>
      </c>
      <c r="C31" s="149"/>
      <c r="D31" s="141"/>
      <c r="E31" s="141"/>
      <c r="F31" s="141"/>
      <c r="G31" s="141"/>
      <c r="H31" s="141"/>
      <c r="I31" s="141"/>
      <c r="J31" s="141"/>
      <c r="K31" s="141">
        <v>5</v>
      </c>
      <c r="L31" s="141"/>
      <c r="M31" s="141">
        <v>6</v>
      </c>
      <c r="N31" s="141"/>
      <c r="O31" s="141">
        <v>6</v>
      </c>
    </row>
    <row r="32" spans="1:15" ht="12">
      <c r="A32" s="494" t="s">
        <v>78</v>
      </c>
      <c r="B32" s="796" t="s">
        <v>204</v>
      </c>
      <c r="C32" s="77"/>
      <c r="D32" s="110"/>
      <c r="E32" s="141"/>
      <c r="F32" s="110"/>
      <c r="G32" s="110"/>
      <c r="H32" s="110"/>
      <c r="I32" s="110"/>
      <c r="J32" s="110"/>
      <c r="K32" s="110"/>
      <c r="L32" s="110"/>
      <c r="M32" s="110"/>
      <c r="N32" s="110"/>
      <c r="O32" s="110"/>
    </row>
    <row r="33" spans="1:15" ht="12">
      <c r="A33" s="494" t="s">
        <v>79</v>
      </c>
      <c r="B33" s="796" t="s">
        <v>204</v>
      </c>
      <c r="C33" s="77"/>
      <c r="D33" s="110"/>
      <c r="E33" s="141"/>
      <c r="F33" s="110"/>
      <c r="G33" s="110"/>
      <c r="H33" s="110"/>
      <c r="I33" s="110"/>
      <c r="J33" s="110"/>
      <c r="K33" s="110"/>
      <c r="L33" s="110"/>
      <c r="M33" s="110"/>
      <c r="N33" s="110"/>
      <c r="O33" s="110"/>
    </row>
    <row r="34" spans="1:15" ht="12">
      <c r="A34" s="494" t="s">
        <v>69</v>
      </c>
      <c r="B34" s="796" t="s">
        <v>204</v>
      </c>
      <c r="C34" s="77"/>
      <c r="D34" s="110"/>
      <c r="E34" s="141"/>
      <c r="F34" s="110"/>
      <c r="G34" s="110"/>
      <c r="H34" s="110"/>
      <c r="I34" s="110"/>
      <c r="J34" s="110"/>
      <c r="K34" s="110"/>
      <c r="L34" s="110"/>
      <c r="M34" s="110"/>
      <c r="N34" s="110"/>
      <c r="O34" s="110"/>
    </row>
    <row r="35" spans="1:15" ht="12">
      <c r="A35" s="494" t="s">
        <v>70</v>
      </c>
      <c r="B35" s="796" t="s">
        <v>204</v>
      </c>
      <c r="C35" s="77"/>
      <c r="D35" s="110"/>
      <c r="E35" s="141"/>
      <c r="F35" s="110"/>
      <c r="G35" s="110"/>
      <c r="H35" s="110"/>
      <c r="I35" s="110"/>
      <c r="J35" s="110"/>
      <c r="K35" s="110"/>
      <c r="L35" s="110"/>
      <c r="M35" s="110"/>
      <c r="N35" s="110"/>
      <c r="O35" s="110"/>
    </row>
    <row r="36" spans="1:15" ht="12">
      <c r="A36" s="494" t="s">
        <v>71</v>
      </c>
      <c r="B36" s="796" t="s">
        <v>204</v>
      </c>
      <c r="C36" s="77"/>
      <c r="D36" s="110"/>
      <c r="E36" s="141"/>
      <c r="F36" s="110"/>
      <c r="G36" s="110"/>
      <c r="H36" s="110"/>
      <c r="I36" s="110"/>
      <c r="J36" s="110"/>
      <c r="K36" s="110"/>
      <c r="L36" s="110"/>
      <c r="M36" s="110"/>
      <c r="N36" s="110"/>
      <c r="O36" s="110"/>
    </row>
    <row r="37" spans="1:15" ht="12">
      <c r="A37" s="494" t="s">
        <v>72</v>
      </c>
      <c r="B37" s="796" t="s">
        <v>204</v>
      </c>
      <c r="C37" s="77"/>
      <c r="D37" s="110"/>
      <c r="E37" s="141"/>
      <c r="F37" s="110"/>
      <c r="G37" s="110"/>
      <c r="H37" s="110"/>
      <c r="I37" s="110"/>
      <c r="J37" s="110"/>
      <c r="K37" s="110"/>
      <c r="L37" s="110"/>
      <c r="M37" s="110"/>
      <c r="N37" s="110"/>
      <c r="O37" s="110"/>
    </row>
    <row r="38" spans="1:15" ht="12">
      <c r="A38" s="494" t="s">
        <v>73</v>
      </c>
      <c r="B38" s="796" t="s">
        <v>204</v>
      </c>
      <c r="C38" s="77"/>
      <c r="D38" s="110"/>
      <c r="E38" s="141"/>
      <c r="F38" s="110"/>
      <c r="G38" s="110"/>
      <c r="H38" s="110"/>
      <c r="I38" s="110"/>
      <c r="J38" s="110"/>
      <c r="K38" s="110"/>
      <c r="L38" s="110"/>
      <c r="M38" s="110"/>
      <c r="N38" s="110"/>
      <c r="O38" s="110"/>
    </row>
    <row r="39" spans="1:15" ht="12">
      <c r="A39" s="494" t="s">
        <v>74</v>
      </c>
      <c r="B39" s="796" t="s">
        <v>204</v>
      </c>
      <c r="C39" s="77"/>
      <c r="D39" s="110"/>
      <c r="E39" s="141"/>
      <c r="F39" s="110"/>
      <c r="G39" s="110"/>
      <c r="H39" s="110"/>
      <c r="I39" s="110"/>
      <c r="J39" s="110"/>
      <c r="K39" s="110"/>
      <c r="L39" s="110"/>
      <c r="M39" s="110"/>
      <c r="N39" s="110"/>
      <c r="O39" s="110"/>
    </row>
    <row r="40" spans="1:15" ht="12">
      <c r="A40" s="1022" t="s">
        <v>615</v>
      </c>
      <c r="B40" s="796" t="s">
        <v>204</v>
      </c>
      <c r="C40" s="77"/>
      <c r="D40" s="110"/>
      <c r="E40" s="141">
        <v>0.35</v>
      </c>
      <c r="F40" s="110"/>
      <c r="G40" s="110">
        <v>1</v>
      </c>
      <c r="H40" s="110"/>
      <c r="I40" s="110">
        <v>1</v>
      </c>
      <c r="J40" s="110"/>
      <c r="K40" s="110">
        <v>1</v>
      </c>
      <c r="L40" s="110"/>
      <c r="M40" s="110">
        <v>1</v>
      </c>
      <c r="N40" s="110"/>
      <c r="O40" s="110">
        <v>1</v>
      </c>
    </row>
    <row r="41" spans="1:15" ht="12">
      <c r="A41" s="1022" t="s">
        <v>580</v>
      </c>
      <c r="B41" s="796" t="s">
        <v>204</v>
      </c>
      <c r="C41" s="77"/>
      <c r="D41" s="110"/>
      <c r="E41" s="141">
        <v>0.4</v>
      </c>
      <c r="F41" s="110"/>
      <c r="G41" s="110">
        <v>1</v>
      </c>
      <c r="H41" s="110"/>
      <c r="I41" s="110">
        <v>1</v>
      </c>
      <c r="J41" s="110"/>
      <c r="K41" s="110">
        <v>1</v>
      </c>
      <c r="L41" s="110"/>
      <c r="M41" s="110">
        <v>1</v>
      </c>
      <c r="N41" s="110"/>
      <c r="O41" s="110">
        <v>1</v>
      </c>
    </row>
    <row r="42" spans="1:15" ht="12">
      <c r="A42" s="1022" t="s">
        <v>581</v>
      </c>
      <c r="B42" s="796" t="s">
        <v>204</v>
      </c>
      <c r="C42" s="77"/>
      <c r="D42" s="110"/>
      <c r="E42" s="141">
        <v>0.4</v>
      </c>
      <c r="F42" s="110"/>
      <c r="G42" s="110">
        <v>1</v>
      </c>
      <c r="H42" s="110"/>
      <c r="I42" s="110">
        <v>1</v>
      </c>
      <c r="J42" s="110"/>
      <c r="K42" s="110">
        <v>1</v>
      </c>
      <c r="L42" s="110"/>
      <c r="M42" s="110">
        <v>1</v>
      </c>
      <c r="N42" s="110"/>
      <c r="O42" s="110">
        <v>1</v>
      </c>
    </row>
    <row r="43" spans="1:15" ht="12">
      <c r="A43" s="1022" t="s">
        <v>582</v>
      </c>
      <c r="B43" s="796" t="s">
        <v>204</v>
      </c>
      <c r="C43" s="77"/>
      <c r="D43" s="110"/>
      <c r="E43" s="141"/>
      <c r="F43" s="110"/>
      <c r="G43" s="110"/>
      <c r="H43" s="110"/>
      <c r="I43" s="110">
        <v>1</v>
      </c>
      <c r="J43" s="110"/>
      <c r="K43" s="110">
        <v>1</v>
      </c>
      <c r="L43" s="110"/>
      <c r="M43" s="110">
        <v>1</v>
      </c>
      <c r="N43" s="110"/>
      <c r="O43" s="110">
        <v>1</v>
      </c>
    </row>
    <row r="44" spans="1:15" ht="12">
      <c r="A44" s="1022" t="s">
        <v>589</v>
      </c>
      <c r="B44" s="796" t="s">
        <v>204</v>
      </c>
      <c r="C44" s="77"/>
      <c r="D44" s="110"/>
      <c r="E44" s="141">
        <v>0.4</v>
      </c>
      <c r="F44" s="110"/>
      <c r="G44" s="110">
        <v>0.5</v>
      </c>
      <c r="H44" s="110"/>
      <c r="I44" s="110">
        <v>1</v>
      </c>
      <c r="J44" s="110"/>
      <c r="K44" s="110">
        <v>1</v>
      </c>
      <c r="L44" s="110"/>
      <c r="M44" s="110">
        <v>1</v>
      </c>
      <c r="N44" s="110"/>
      <c r="O44" s="110">
        <v>1</v>
      </c>
    </row>
    <row r="45" spans="1:15" ht="12">
      <c r="A45" s="1022" t="s">
        <v>590</v>
      </c>
      <c r="B45" s="796" t="s">
        <v>204</v>
      </c>
      <c r="C45" s="77"/>
      <c r="D45" s="110"/>
      <c r="E45" s="141"/>
      <c r="F45" s="110"/>
      <c r="G45" s="110"/>
      <c r="H45" s="110"/>
      <c r="I45" s="110">
        <v>1</v>
      </c>
      <c r="J45" s="110"/>
      <c r="K45" s="110">
        <v>1</v>
      </c>
      <c r="L45" s="110"/>
      <c r="M45" s="110">
        <v>1</v>
      </c>
      <c r="N45" s="110"/>
      <c r="O45" s="110">
        <v>1</v>
      </c>
    </row>
    <row r="46" spans="1:15" ht="12">
      <c r="A46" s="1022" t="s">
        <v>591</v>
      </c>
      <c r="B46" s="796" t="s">
        <v>204</v>
      </c>
      <c r="C46" s="77"/>
      <c r="D46" s="110"/>
      <c r="E46" s="141">
        <v>0.4</v>
      </c>
      <c r="F46" s="110"/>
      <c r="G46" s="110">
        <v>1</v>
      </c>
      <c r="H46" s="110"/>
      <c r="I46" s="110">
        <v>1</v>
      </c>
      <c r="J46" s="110"/>
      <c r="K46" s="110">
        <v>1</v>
      </c>
      <c r="L46" s="110"/>
      <c r="M46" s="110">
        <v>1</v>
      </c>
      <c r="N46" s="110"/>
      <c r="O46" s="110">
        <v>1</v>
      </c>
    </row>
    <row r="47" spans="1:15" ht="12">
      <c r="A47" s="1022" t="s">
        <v>583</v>
      </c>
      <c r="B47" s="796" t="s">
        <v>204</v>
      </c>
      <c r="C47" s="77"/>
      <c r="D47" s="110"/>
      <c r="E47" s="141">
        <v>0.4</v>
      </c>
      <c r="F47" s="110"/>
      <c r="G47" s="110">
        <v>2</v>
      </c>
      <c r="H47" s="110"/>
      <c r="I47" s="110">
        <v>2</v>
      </c>
      <c r="J47" s="110"/>
      <c r="K47" s="110">
        <v>2</v>
      </c>
      <c r="L47" s="110"/>
      <c r="M47" s="110">
        <v>2</v>
      </c>
      <c r="N47" s="110"/>
      <c r="O47" s="110">
        <v>2</v>
      </c>
    </row>
    <row r="48" spans="1:15" ht="12">
      <c r="A48" s="1022" t="s">
        <v>611</v>
      </c>
      <c r="B48" s="796" t="s">
        <v>204</v>
      </c>
      <c r="C48" s="77"/>
      <c r="D48" s="110"/>
      <c r="E48" s="141"/>
      <c r="F48" s="110"/>
      <c r="G48" s="110">
        <v>1</v>
      </c>
      <c r="H48" s="110"/>
      <c r="I48" s="110">
        <v>2</v>
      </c>
      <c r="J48" s="110"/>
      <c r="K48" s="110">
        <v>3</v>
      </c>
      <c r="L48" s="110"/>
      <c r="M48" s="110">
        <v>4</v>
      </c>
      <c r="N48" s="110"/>
      <c r="O48" s="110">
        <v>4</v>
      </c>
    </row>
    <row r="49" spans="1:15" ht="12">
      <c r="A49" s="1022" t="s">
        <v>584</v>
      </c>
      <c r="B49" s="796" t="s">
        <v>204</v>
      </c>
      <c r="C49" s="77"/>
      <c r="D49" s="110"/>
      <c r="E49" s="141"/>
      <c r="F49" s="110"/>
      <c r="G49" s="110"/>
      <c r="H49" s="110"/>
      <c r="I49" s="110"/>
      <c r="J49" s="110"/>
      <c r="K49" s="110"/>
      <c r="L49" s="110"/>
      <c r="M49" s="110"/>
      <c r="N49" s="110"/>
      <c r="O49" s="110"/>
    </row>
    <row r="50" spans="1:15" ht="12">
      <c r="A50" s="1022" t="s">
        <v>613</v>
      </c>
      <c r="B50" s="796" t="s">
        <v>204</v>
      </c>
      <c r="C50" s="77"/>
      <c r="D50" s="110"/>
      <c r="E50" s="141">
        <v>0.5</v>
      </c>
      <c r="F50" s="110"/>
      <c r="G50" s="110">
        <v>1</v>
      </c>
      <c r="H50" s="110"/>
      <c r="I50" s="110">
        <v>1</v>
      </c>
      <c r="J50" s="110"/>
      <c r="K50" s="110">
        <v>1</v>
      </c>
      <c r="L50" s="110"/>
      <c r="M50" s="110">
        <v>1</v>
      </c>
      <c r="N50" s="110"/>
      <c r="O50" s="110">
        <v>1</v>
      </c>
    </row>
    <row r="51" spans="1:15" ht="12">
      <c r="A51" s="1022" t="s">
        <v>585</v>
      </c>
      <c r="B51" s="796" t="s">
        <v>204</v>
      </c>
      <c r="C51" s="77"/>
      <c r="D51" s="110"/>
      <c r="E51" s="141"/>
      <c r="F51" s="110"/>
      <c r="G51" s="110">
        <v>2</v>
      </c>
      <c r="H51" s="110"/>
      <c r="I51" s="110">
        <v>2</v>
      </c>
      <c r="J51" s="110"/>
      <c r="K51" s="110">
        <v>2</v>
      </c>
      <c r="L51" s="110"/>
      <c r="M51" s="110">
        <v>2</v>
      </c>
      <c r="N51" s="110"/>
      <c r="O51" s="110">
        <v>2</v>
      </c>
    </row>
    <row r="52" spans="1:15" ht="12">
      <c r="A52" s="1022" t="s">
        <v>579</v>
      </c>
      <c r="B52" s="796" t="s">
        <v>204</v>
      </c>
      <c r="C52" s="77"/>
      <c r="D52" s="110"/>
      <c r="E52" s="141"/>
      <c r="F52" s="110"/>
      <c r="G52" s="110"/>
      <c r="H52" s="110"/>
      <c r="I52" s="110">
        <v>1</v>
      </c>
      <c r="J52" s="110"/>
      <c r="K52" s="110">
        <v>2</v>
      </c>
      <c r="L52" s="110"/>
      <c r="M52" s="110">
        <v>3</v>
      </c>
      <c r="N52" s="110"/>
      <c r="O52" s="110">
        <v>4</v>
      </c>
    </row>
    <row r="53" spans="1:15" ht="12">
      <c r="A53" s="137" t="s">
        <v>76</v>
      </c>
      <c r="B53" s="796" t="s">
        <v>204</v>
      </c>
      <c r="C53" s="77"/>
      <c r="D53" s="110"/>
      <c r="E53" s="141"/>
      <c r="F53" s="110"/>
      <c r="G53" s="110"/>
      <c r="H53" s="110"/>
      <c r="I53" s="110">
        <v>1</v>
      </c>
      <c r="J53" s="110"/>
      <c r="K53" s="110">
        <v>1</v>
      </c>
      <c r="L53" s="110"/>
      <c r="M53" s="110">
        <v>1</v>
      </c>
      <c r="N53" s="110"/>
      <c r="O53" s="110">
        <v>1</v>
      </c>
    </row>
    <row r="54" spans="1:15" ht="12">
      <c r="A54" s="78" t="s">
        <v>586</v>
      </c>
      <c r="B54" s="796" t="s">
        <v>204</v>
      </c>
      <c r="C54" s="77"/>
      <c r="D54" s="110"/>
      <c r="E54" s="141"/>
      <c r="F54" s="110"/>
      <c r="G54" s="110">
        <v>1</v>
      </c>
      <c r="H54" s="110"/>
      <c r="I54" s="110">
        <v>1</v>
      </c>
      <c r="J54" s="110"/>
      <c r="K54" s="110">
        <v>2</v>
      </c>
      <c r="L54" s="110"/>
      <c r="M54" s="110">
        <v>2</v>
      </c>
      <c r="N54" s="110"/>
      <c r="O54" s="110">
        <v>2</v>
      </c>
    </row>
    <row r="55" spans="1:15" ht="12">
      <c r="A55" s="78" t="s">
        <v>587</v>
      </c>
      <c r="B55" s="796" t="s">
        <v>204</v>
      </c>
      <c r="C55" s="77"/>
      <c r="D55" s="110"/>
      <c r="E55" s="141"/>
      <c r="F55" s="110"/>
      <c r="G55" s="110">
        <v>1</v>
      </c>
      <c r="H55" s="110"/>
      <c r="I55" s="110">
        <v>2</v>
      </c>
      <c r="J55" s="110"/>
      <c r="K55" s="110">
        <v>2</v>
      </c>
      <c r="L55" s="110"/>
      <c r="M55" s="110">
        <v>3</v>
      </c>
      <c r="N55" s="110"/>
      <c r="O55" s="110">
        <v>3</v>
      </c>
    </row>
    <row r="56" spans="1:15" ht="12">
      <c r="A56" s="132" t="s">
        <v>588</v>
      </c>
      <c r="B56" s="796" t="s">
        <v>204</v>
      </c>
      <c r="C56" s="77"/>
      <c r="D56" s="110"/>
      <c r="E56" s="141"/>
      <c r="F56" s="110"/>
      <c r="G56" s="110">
        <v>1</v>
      </c>
      <c r="H56" s="110"/>
      <c r="I56" s="110">
        <v>3</v>
      </c>
      <c r="J56" s="110"/>
      <c r="K56" s="110">
        <v>3</v>
      </c>
      <c r="L56" s="110"/>
      <c r="M56" s="110">
        <v>3</v>
      </c>
      <c r="N56" s="110"/>
      <c r="O56" s="110">
        <v>3</v>
      </c>
    </row>
    <row r="57" spans="1:15" ht="12">
      <c r="A57" s="1023" t="s">
        <v>35</v>
      </c>
      <c r="B57" s="796" t="s">
        <v>204</v>
      </c>
      <c r="C57" s="111"/>
      <c r="D57" s="120"/>
      <c r="E57" s="141"/>
      <c r="F57" s="120"/>
      <c r="G57" s="110">
        <v>2</v>
      </c>
      <c r="H57" s="119"/>
      <c r="I57" s="110">
        <v>3</v>
      </c>
      <c r="J57" s="119"/>
      <c r="K57" s="110">
        <v>3</v>
      </c>
      <c r="L57" s="119"/>
      <c r="M57" s="110">
        <v>4</v>
      </c>
      <c r="N57" s="119"/>
      <c r="O57" s="119">
        <v>4</v>
      </c>
    </row>
    <row r="58" spans="1:15" ht="23.25" customHeight="1">
      <c r="A58" s="79"/>
      <c r="B58" s="79"/>
      <c r="C58" s="79"/>
      <c r="D58" s="79"/>
      <c r="E58" s="79"/>
      <c r="F58" s="79"/>
      <c r="G58" s="79"/>
      <c r="H58" s="79"/>
      <c r="I58" s="79"/>
      <c r="J58" s="79"/>
      <c r="K58" s="79"/>
      <c r="L58" s="79"/>
      <c r="M58" s="79"/>
      <c r="N58" s="79"/>
      <c r="O58" s="79"/>
    </row>
    <row r="59" spans="1:15" ht="12.75" thickBot="1">
      <c r="A59" s="74"/>
      <c r="B59" s="74"/>
      <c r="C59" s="74"/>
      <c r="D59" s="74"/>
      <c r="E59" s="74"/>
      <c r="F59" s="74"/>
      <c r="G59" s="74"/>
      <c r="H59" s="74"/>
      <c r="I59" s="74"/>
      <c r="J59" s="74"/>
      <c r="K59" s="74"/>
      <c r="L59" s="74"/>
      <c r="M59" s="74"/>
      <c r="N59" s="74"/>
      <c r="O59" s="74"/>
    </row>
    <row r="60" spans="1:15" ht="23.25" customHeight="1" thickBot="1">
      <c r="A60" s="80"/>
      <c r="B60" s="1027" t="s">
        <v>61</v>
      </c>
      <c r="C60" s="1028"/>
      <c r="D60" s="1028"/>
      <c r="E60" s="1028"/>
      <c r="F60" s="1028"/>
      <c r="G60" s="1028"/>
      <c r="H60" s="1028"/>
      <c r="I60" s="1028"/>
      <c r="J60" s="1028"/>
      <c r="K60" s="1028"/>
      <c r="L60" s="1028"/>
      <c r="M60" s="1028"/>
      <c r="N60" s="1028"/>
      <c r="O60" s="1029"/>
    </row>
    <row r="61" spans="1:15" ht="12">
      <c r="A61" s="81"/>
      <c r="B61" s="129"/>
      <c r="C61" s="130" t="s">
        <v>50</v>
      </c>
      <c r="D61" s="130"/>
      <c r="E61" s="398" t="str">
        <f>E6</f>
        <v>Incubation Year</v>
      </c>
      <c r="F61" s="399"/>
      <c r="G61" s="400">
        <f>$G$6</f>
        <v>2017</v>
      </c>
      <c r="H61" s="400"/>
      <c r="I61" s="400">
        <f>$I$6</f>
        <v>2018</v>
      </c>
      <c r="J61" s="400"/>
      <c r="K61" s="400">
        <f>$K$6</f>
        <v>2019</v>
      </c>
      <c r="L61" s="400"/>
      <c r="M61" s="400">
        <f>$M$6</f>
        <v>2020</v>
      </c>
      <c r="N61" s="400"/>
      <c r="O61" s="400">
        <f>$O$6</f>
        <v>2021</v>
      </c>
    </row>
    <row r="62" spans="1:15" ht="19.5" customHeight="1">
      <c r="A62" s="1030" t="s">
        <v>441</v>
      </c>
      <c r="B62" s="1031"/>
      <c r="C62" s="82"/>
      <c r="D62" s="116"/>
      <c r="E62" s="495" t="s">
        <v>204</v>
      </c>
      <c r="F62" s="116"/>
      <c r="G62" s="116"/>
      <c r="H62" s="116"/>
      <c r="I62" s="116">
        <v>0.02</v>
      </c>
      <c r="J62" s="116"/>
      <c r="K62" s="116">
        <v>0.02</v>
      </c>
      <c r="L62" s="116"/>
      <c r="M62" s="116">
        <v>0.02</v>
      </c>
      <c r="N62" s="116"/>
      <c r="O62" s="116">
        <v>0.02</v>
      </c>
    </row>
    <row r="63" spans="1:15" ht="12.75" thickBot="1">
      <c r="A63" s="4"/>
      <c r="B63" s="4"/>
      <c r="C63" s="83"/>
      <c r="D63" s="145"/>
      <c r="E63" s="145"/>
      <c r="F63" s="145"/>
      <c r="G63" s="145"/>
      <c r="H63" s="145"/>
      <c r="I63" s="145"/>
      <c r="J63" s="145"/>
      <c r="K63" s="145"/>
      <c r="L63" s="145"/>
      <c r="M63" s="145"/>
      <c r="N63" s="145"/>
      <c r="O63" s="145"/>
    </row>
    <row r="64" spans="1:15" ht="40.5" customHeight="1" thickBot="1">
      <c r="A64" s="995" t="str">
        <f aca="true" t="shared" si="0" ref="A64:A89">A6</f>
        <v>Positions that Participate in the Chicago Teachers Pension Fund (ALL Contract School employees do NOT participate in the CTPF):         </v>
      </c>
      <c r="B64" s="395" t="s">
        <v>52</v>
      </c>
      <c r="C64" s="401"/>
      <c r="D64" s="402"/>
      <c r="E64" s="403"/>
      <c r="F64" s="403"/>
      <c r="G64" s="404"/>
      <c r="H64" s="404"/>
      <c r="I64" s="404"/>
      <c r="J64" s="404"/>
      <c r="K64" s="404"/>
      <c r="L64" s="404"/>
      <c r="M64" s="404"/>
      <c r="N64" s="404"/>
      <c r="O64" s="405"/>
    </row>
    <row r="65" spans="1:15" ht="12">
      <c r="A65" s="390" t="str">
        <f t="shared" si="0"/>
        <v>Teachers </v>
      </c>
      <c r="B65" s="140">
        <v>55000</v>
      </c>
      <c r="C65" s="84">
        <f aca="true" t="shared" si="1" ref="C65:C73">B65*(1+C$62)</f>
        <v>55000</v>
      </c>
      <c r="D65" s="146"/>
      <c r="E65" s="926">
        <v>0</v>
      </c>
      <c r="F65" s="146"/>
      <c r="G65" s="461">
        <f aca="true" t="shared" si="2" ref="G65:G87">C65*(1+G$62)</f>
        <v>55000</v>
      </c>
      <c r="H65" s="461"/>
      <c r="I65" s="461">
        <f>G65*(1+I$62)</f>
        <v>56100</v>
      </c>
      <c r="J65" s="461"/>
      <c r="K65" s="461">
        <f>I65*(1+K$62)</f>
        <v>57222</v>
      </c>
      <c r="L65" s="461"/>
      <c r="M65" s="461">
        <f>K65*(1+M$62)</f>
        <v>58366.44</v>
      </c>
      <c r="N65" s="461"/>
      <c r="O65" s="461">
        <f>M65*(1+O$62)</f>
        <v>59533.768800000005</v>
      </c>
    </row>
    <row r="66" spans="1:15" ht="12">
      <c r="A66" s="496" t="str">
        <f t="shared" si="0"/>
        <v>SPED Teachers (reimbursed by CPS)</v>
      </c>
      <c r="B66" s="138"/>
      <c r="C66" s="84">
        <f t="shared" si="1"/>
        <v>0</v>
      </c>
      <c r="D66" s="135"/>
      <c r="E66" s="926">
        <v>0</v>
      </c>
      <c r="F66" s="278"/>
      <c r="G66" s="461">
        <f t="shared" si="2"/>
        <v>0</v>
      </c>
      <c r="H66" s="461"/>
      <c r="I66" s="461">
        <f aca="true" t="shared" si="3" ref="I66:I87">G66*(1+I$62)</f>
        <v>0</v>
      </c>
      <c r="J66" s="461"/>
      <c r="K66" s="461">
        <f aca="true" t="shared" si="4" ref="K66:K87">I66*(1+K$62)</f>
        <v>0</v>
      </c>
      <c r="L66" s="461"/>
      <c r="M66" s="461">
        <f aca="true" t="shared" si="5" ref="M66:M87">K66*(1+M$62)</f>
        <v>0</v>
      </c>
      <c r="N66" s="461"/>
      <c r="O66" s="461">
        <f aca="true" t="shared" si="6" ref="O66:O87">M66*(1+O$62)</f>
        <v>0</v>
      </c>
    </row>
    <row r="67" spans="1:15" ht="12">
      <c r="A67" s="496" t="str">
        <f t="shared" si="0"/>
        <v>SPED Aides (reimbursed by CPS)</v>
      </c>
      <c r="B67" s="138"/>
      <c r="C67" s="109">
        <f t="shared" si="1"/>
        <v>0</v>
      </c>
      <c r="D67" s="136"/>
      <c r="E67" s="926">
        <v>0</v>
      </c>
      <c r="F67" s="278"/>
      <c r="G67" s="461">
        <f t="shared" si="2"/>
        <v>0</v>
      </c>
      <c r="H67" s="461"/>
      <c r="I67" s="461">
        <f t="shared" si="3"/>
        <v>0</v>
      </c>
      <c r="J67" s="461"/>
      <c r="K67" s="461">
        <f t="shared" si="4"/>
        <v>0</v>
      </c>
      <c r="L67" s="461"/>
      <c r="M67" s="461">
        <f t="shared" si="5"/>
        <v>0</v>
      </c>
      <c r="N67" s="461"/>
      <c r="O67" s="461">
        <f t="shared" si="6"/>
        <v>0</v>
      </c>
    </row>
    <row r="68" spans="1:15" ht="12">
      <c r="A68" s="496" t="str">
        <f t="shared" si="0"/>
        <v>SPED Clinicians-Psychologist (reimbursed by CPS)</v>
      </c>
      <c r="B68" s="138"/>
      <c r="C68" s="84">
        <f t="shared" si="1"/>
        <v>0</v>
      </c>
      <c r="D68" s="135"/>
      <c r="E68" s="926">
        <v>0</v>
      </c>
      <c r="F68" s="278"/>
      <c r="G68" s="461">
        <f t="shared" si="2"/>
        <v>0</v>
      </c>
      <c r="H68" s="461"/>
      <c r="I68" s="461">
        <f t="shared" si="3"/>
        <v>0</v>
      </c>
      <c r="J68" s="461"/>
      <c r="K68" s="461">
        <f t="shared" si="4"/>
        <v>0</v>
      </c>
      <c r="L68" s="461"/>
      <c r="M68" s="461">
        <f t="shared" si="5"/>
        <v>0</v>
      </c>
      <c r="N68" s="461"/>
      <c r="O68" s="461">
        <f t="shared" si="6"/>
        <v>0</v>
      </c>
    </row>
    <row r="69" spans="1:15" ht="12">
      <c r="A69" s="496" t="str">
        <f t="shared" si="0"/>
        <v>SPED Clinicians-Social Worker (reimbursed by CPS)</v>
      </c>
      <c r="B69" s="138"/>
      <c r="C69" s="84">
        <f t="shared" si="1"/>
        <v>0</v>
      </c>
      <c r="D69" s="135"/>
      <c r="E69" s="926">
        <v>0</v>
      </c>
      <c r="F69" s="278"/>
      <c r="G69" s="461">
        <f t="shared" si="2"/>
        <v>0</v>
      </c>
      <c r="H69" s="461"/>
      <c r="I69" s="461">
        <f t="shared" si="3"/>
        <v>0</v>
      </c>
      <c r="J69" s="461"/>
      <c r="K69" s="461">
        <f t="shared" si="4"/>
        <v>0</v>
      </c>
      <c r="L69" s="461"/>
      <c r="M69" s="461">
        <f t="shared" si="5"/>
        <v>0</v>
      </c>
      <c r="N69" s="461"/>
      <c r="O69" s="461">
        <f t="shared" si="6"/>
        <v>0</v>
      </c>
    </row>
    <row r="70" spans="1:15" ht="12">
      <c r="A70" s="496" t="str">
        <f t="shared" si="0"/>
        <v>SPED Clinicians-Speech Therapist (reimbursed by CPS)</v>
      </c>
      <c r="B70" s="138"/>
      <c r="C70" s="84">
        <f t="shared" si="1"/>
        <v>0</v>
      </c>
      <c r="D70" s="135"/>
      <c r="E70" s="926">
        <v>0</v>
      </c>
      <c r="F70" s="278"/>
      <c r="G70" s="461">
        <f t="shared" si="2"/>
        <v>0</v>
      </c>
      <c r="H70" s="461"/>
      <c r="I70" s="461">
        <f t="shared" si="3"/>
        <v>0</v>
      </c>
      <c r="J70" s="461"/>
      <c r="K70" s="461">
        <f t="shared" si="4"/>
        <v>0</v>
      </c>
      <c r="L70" s="461"/>
      <c r="M70" s="461">
        <f t="shared" si="5"/>
        <v>0</v>
      </c>
      <c r="N70" s="461"/>
      <c r="O70" s="461">
        <f t="shared" si="6"/>
        <v>0</v>
      </c>
    </row>
    <row r="71" spans="1:15" ht="12">
      <c r="A71" s="496" t="str">
        <f t="shared" si="0"/>
        <v>SPED Clinicians-Physical Therapist (reimbursed by CPS)</v>
      </c>
      <c r="B71" s="138"/>
      <c r="C71" s="84">
        <f t="shared" si="1"/>
        <v>0</v>
      </c>
      <c r="D71" s="135"/>
      <c r="E71" s="926">
        <v>0</v>
      </c>
      <c r="F71" s="278"/>
      <c r="G71" s="461">
        <f t="shared" si="2"/>
        <v>0</v>
      </c>
      <c r="H71" s="461"/>
      <c r="I71" s="461">
        <f t="shared" si="3"/>
        <v>0</v>
      </c>
      <c r="J71" s="461"/>
      <c r="K71" s="461">
        <f t="shared" si="4"/>
        <v>0</v>
      </c>
      <c r="L71" s="461"/>
      <c r="M71" s="461">
        <f t="shared" si="5"/>
        <v>0</v>
      </c>
      <c r="N71" s="461"/>
      <c r="O71" s="461">
        <f t="shared" si="6"/>
        <v>0</v>
      </c>
    </row>
    <row r="72" spans="1:15" ht="12">
      <c r="A72" s="496" t="str">
        <f t="shared" si="0"/>
        <v>SPED Clinicians-Occupational Therapist (reimbursed by CPS)</v>
      </c>
      <c r="B72" s="138"/>
      <c r="C72" s="84">
        <f t="shared" si="1"/>
        <v>0</v>
      </c>
      <c r="D72" s="135"/>
      <c r="E72" s="926">
        <v>0</v>
      </c>
      <c r="F72" s="278"/>
      <c r="G72" s="461">
        <f t="shared" si="2"/>
        <v>0</v>
      </c>
      <c r="H72" s="461"/>
      <c r="I72" s="461">
        <f t="shared" si="3"/>
        <v>0</v>
      </c>
      <c r="J72" s="461"/>
      <c r="K72" s="461">
        <f t="shared" si="4"/>
        <v>0</v>
      </c>
      <c r="L72" s="461"/>
      <c r="M72" s="461">
        <f t="shared" si="5"/>
        <v>0</v>
      </c>
      <c r="N72" s="461"/>
      <c r="O72" s="461">
        <f t="shared" si="6"/>
        <v>0</v>
      </c>
    </row>
    <row r="73" spans="1:15" ht="12.75" customHeight="1">
      <c r="A73" s="496" t="str">
        <f t="shared" si="0"/>
        <v>SPED Clinicians-Nurse (reimbursed by CPS)</v>
      </c>
      <c r="B73" s="820"/>
      <c r="C73" s="109">
        <f t="shared" si="1"/>
        <v>0</v>
      </c>
      <c r="D73" s="136"/>
      <c r="E73" s="926">
        <v>0</v>
      </c>
      <c r="F73" s="278"/>
      <c r="G73" s="461">
        <f t="shared" si="2"/>
        <v>0</v>
      </c>
      <c r="H73" s="461"/>
      <c r="I73" s="461">
        <f t="shared" si="3"/>
        <v>0</v>
      </c>
      <c r="J73" s="461"/>
      <c r="K73" s="461">
        <f t="shared" si="4"/>
        <v>0</v>
      </c>
      <c r="L73" s="461"/>
      <c r="M73" s="461">
        <f t="shared" si="5"/>
        <v>0</v>
      </c>
      <c r="N73" s="461"/>
      <c r="O73" s="461">
        <f t="shared" si="6"/>
        <v>0</v>
      </c>
    </row>
    <row r="74" spans="1:15" ht="12">
      <c r="A74" s="390" t="str">
        <f t="shared" si="0"/>
        <v>Teachers Aides</v>
      </c>
      <c r="B74" s="138"/>
      <c r="C74" s="84">
        <f aca="true" t="shared" si="7" ref="C74:C87">B74*(1+C$62)</f>
        <v>0</v>
      </c>
      <c r="D74" s="135"/>
      <c r="E74" s="926">
        <v>0</v>
      </c>
      <c r="F74" s="278"/>
      <c r="G74" s="461">
        <f t="shared" si="2"/>
        <v>0</v>
      </c>
      <c r="H74" s="461"/>
      <c r="I74" s="461">
        <f t="shared" si="3"/>
        <v>0</v>
      </c>
      <c r="J74" s="461"/>
      <c r="K74" s="461">
        <f t="shared" si="4"/>
        <v>0</v>
      </c>
      <c r="L74" s="461"/>
      <c r="M74" s="461">
        <f t="shared" si="5"/>
        <v>0</v>
      </c>
      <c r="N74" s="461"/>
      <c r="O74" s="461">
        <f t="shared" si="6"/>
        <v>0</v>
      </c>
    </row>
    <row r="75" spans="1:15" ht="12">
      <c r="A75" s="390" t="str">
        <f t="shared" si="0"/>
        <v>Counselors</v>
      </c>
      <c r="B75" s="138"/>
      <c r="C75" s="84">
        <f t="shared" si="7"/>
        <v>0</v>
      </c>
      <c r="D75" s="135"/>
      <c r="E75" s="926">
        <v>0</v>
      </c>
      <c r="F75" s="278"/>
      <c r="G75" s="461">
        <f t="shared" si="2"/>
        <v>0</v>
      </c>
      <c r="H75" s="461"/>
      <c r="I75" s="461">
        <f t="shared" si="3"/>
        <v>0</v>
      </c>
      <c r="J75" s="461"/>
      <c r="K75" s="461">
        <f t="shared" si="4"/>
        <v>0</v>
      </c>
      <c r="L75" s="461"/>
      <c r="M75" s="461">
        <f t="shared" si="5"/>
        <v>0</v>
      </c>
      <c r="N75" s="461"/>
      <c r="O75" s="461">
        <f t="shared" si="6"/>
        <v>0</v>
      </c>
    </row>
    <row r="76" spans="1:15" ht="12">
      <c r="A76" s="390" t="str">
        <f t="shared" si="0"/>
        <v>Librarians</v>
      </c>
      <c r="B76" s="138"/>
      <c r="C76" s="84">
        <f t="shared" si="7"/>
        <v>0</v>
      </c>
      <c r="D76" s="135"/>
      <c r="E76" s="926">
        <v>0</v>
      </c>
      <c r="F76" s="278"/>
      <c r="G76" s="461">
        <f t="shared" si="2"/>
        <v>0</v>
      </c>
      <c r="H76" s="461"/>
      <c r="I76" s="461">
        <f t="shared" si="3"/>
        <v>0</v>
      </c>
      <c r="J76" s="461"/>
      <c r="K76" s="461">
        <f t="shared" si="4"/>
        <v>0</v>
      </c>
      <c r="L76" s="461"/>
      <c r="M76" s="461">
        <f t="shared" si="5"/>
        <v>0</v>
      </c>
      <c r="N76" s="461"/>
      <c r="O76" s="461">
        <f t="shared" si="6"/>
        <v>0</v>
      </c>
    </row>
    <row r="77" spans="1:15" ht="12">
      <c r="A77" s="390" t="str">
        <f t="shared" si="0"/>
        <v>Deans</v>
      </c>
      <c r="B77" s="138"/>
      <c r="C77" s="84">
        <f t="shared" si="7"/>
        <v>0</v>
      </c>
      <c r="D77" s="135"/>
      <c r="E77" s="926">
        <v>0</v>
      </c>
      <c r="F77" s="278"/>
      <c r="G77" s="461">
        <f t="shared" si="2"/>
        <v>0</v>
      </c>
      <c r="H77" s="461"/>
      <c r="I77" s="461">
        <f t="shared" si="3"/>
        <v>0</v>
      </c>
      <c r="J77" s="461"/>
      <c r="K77" s="461">
        <f t="shared" si="4"/>
        <v>0</v>
      </c>
      <c r="L77" s="461"/>
      <c r="M77" s="461">
        <f t="shared" si="5"/>
        <v>0</v>
      </c>
      <c r="N77" s="461"/>
      <c r="O77" s="461">
        <f t="shared" si="6"/>
        <v>0</v>
      </c>
    </row>
    <row r="78" spans="1:15" ht="12">
      <c r="A78" s="390" t="str">
        <f t="shared" si="0"/>
        <v>Principal</v>
      </c>
      <c r="B78" s="138"/>
      <c r="C78" s="84">
        <f t="shared" si="7"/>
        <v>0</v>
      </c>
      <c r="D78" s="135"/>
      <c r="E78" s="926">
        <v>0</v>
      </c>
      <c r="F78" s="278"/>
      <c r="G78" s="461">
        <f t="shared" si="2"/>
        <v>0</v>
      </c>
      <c r="H78" s="461"/>
      <c r="I78" s="461">
        <f t="shared" si="3"/>
        <v>0</v>
      </c>
      <c r="J78" s="461"/>
      <c r="K78" s="461">
        <f t="shared" si="4"/>
        <v>0</v>
      </c>
      <c r="L78" s="461"/>
      <c r="M78" s="461">
        <f t="shared" si="5"/>
        <v>0</v>
      </c>
      <c r="N78" s="461"/>
      <c r="O78" s="461">
        <f t="shared" si="6"/>
        <v>0</v>
      </c>
    </row>
    <row r="79" spans="1:15" ht="12">
      <c r="A79" s="390" t="str">
        <f t="shared" si="0"/>
        <v>Assistant Principal</v>
      </c>
      <c r="B79" s="138"/>
      <c r="C79" s="84">
        <f t="shared" si="7"/>
        <v>0</v>
      </c>
      <c r="D79" s="135"/>
      <c r="E79" s="926">
        <v>0</v>
      </c>
      <c r="F79" s="278"/>
      <c r="G79" s="461">
        <f t="shared" si="2"/>
        <v>0</v>
      </c>
      <c r="H79" s="461"/>
      <c r="I79" s="461">
        <f t="shared" si="3"/>
        <v>0</v>
      </c>
      <c r="J79" s="461"/>
      <c r="K79" s="461">
        <f t="shared" si="4"/>
        <v>0</v>
      </c>
      <c r="L79" s="461"/>
      <c r="M79" s="461">
        <f t="shared" si="5"/>
        <v>0</v>
      </c>
      <c r="N79" s="461"/>
      <c r="O79" s="461">
        <f t="shared" si="6"/>
        <v>0</v>
      </c>
    </row>
    <row r="80" spans="1:15" ht="12">
      <c r="A80" s="390" t="str">
        <f t="shared" si="0"/>
        <v>A</v>
      </c>
      <c r="B80" s="138"/>
      <c r="C80" s="84">
        <f t="shared" si="7"/>
        <v>0</v>
      </c>
      <c r="D80" s="135"/>
      <c r="E80" s="926">
        <v>0</v>
      </c>
      <c r="F80" s="278"/>
      <c r="G80" s="461">
        <f t="shared" si="2"/>
        <v>0</v>
      </c>
      <c r="H80" s="461"/>
      <c r="I80" s="461">
        <f t="shared" si="3"/>
        <v>0</v>
      </c>
      <c r="J80" s="461"/>
      <c r="K80" s="461">
        <f t="shared" si="4"/>
        <v>0</v>
      </c>
      <c r="L80" s="461"/>
      <c r="M80" s="461">
        <f t="shared" si="5"/>
        <v>0</v>
      </c>
      <c r="N80" s="461"/>
      <c r="O80" s="461">
        <f t="shared" si="6"/>
        <v>0</v>
      </c>
    </row>
    <row r="81" spans="1:15" ht="12">
      <c r="A81" s="509" t="str">
        <f t="shared" si="0"/>
        <v>B</v>
      </c>
      <c r="B81" s="138"/>
      <c r="C81" s="84">
        <f t="shared" si="7"/>
        <v>0</v>
      </c>
      <c r="D81" s="135"/>
      <c r="E81" s="926">
        <v>0</v>
      </c>
      <c r="F81" s="278"/>
      <c r="G81" s="461">
        <f t="shared" si="2"/>
        <v>0</v>
      </c>
      <c r="H81" s="461"/>
      <c r="I81" s="461">
        <f t="shared" si="3"/>
        <v>0</v>
      </c>
      <c r="J81" s="461"/>
      <c r="K81" s="461">
        <f t="shared" si="4"/>
        <v>0</v>
      </c>
      <c r="L81" s="461"/>
      <c r="M81" s="461">
        <f t="shared" si="5"/>
        <v>0</v>
      </c>
      <c r="N81" s="461"/>
      <c r="O81" s="461">
        <f t="shared" si="6"/>
        <v>0</v>
      </c>
    </row>
    <row r="82" spans="1:15" ht="12">
      <c r="A82" s="509" t="str">
        <f t="shared" si="0"/>
        <v>C</v>
      </c>
      <c r="B82" s="138"/>
      <c r="C82" s="84">
        <f t="shared" si="7"/>
        <v>0</v>
      </c>
      <c r="D82" s="135"/>
      <c r="E82" s="926">
        <v>0</v>
      </c>
      <c r="F82" s="278"/>
      <c r="G82" s="461">
        <f t="shared" si="2"/>
        <v>0</v>
      </c>
      <c r="H82" s="461"/>
      <c r="I82" s="461">
        <f t="shared" si="3"/>
        <v>0</v>
      </c>
      <c r="J82" s="461"/>
      <c r="K82" s="461">
        <f t="shared" si="4"/>
        <v>0</v>
      </c>
      <c r="L82" s="461"/>
      <c r="M82" s="461">
        <f t="shared" si="5"/>
        <v>0</v>
      </c>
      <c r="N82" s="461"/>
      <c r="O82" s="461">
        <f t="shared" si="6"/>
        <v>0</v>
      </c>
    </row>
    <row r="83" spans="1:15" ht="12">
      <c r="A83" s="509" t="str">
        <f t="shared" si="0"/>
        <v>D</v>
      </c>
      <c r="B83" s="138"/>
      <c r="C83" s="84">
        <f t="shared" si="7"/>
        <v>0</v>
      </c>
      <c r="D83" s="135"/>
      <c r="E83" s="926">
        <v>0</v>
      </c>
      <c r="F83" s="278"/>
      <c r="G83" s="461">
        <f t="shared" si="2"/>
        <v>0</v>
      </c>
      <c r="H83" s="461"/>
      <c r="I83" s="461">
        <f t="shared" si="3"/>
        <v>0</v>
      </c>
      <c r="J83" s="461"/>
      <c r="K83" s="461">
        <f t="shared" si="4"/>
        <v>0</v>
      </c>
      <c r="L83" s="461"/>
      <c r="M83" s="461">
        <f t="shared" si="5"/>
        <v>0</v>
      </c>
      <c r="N83" s="461"/>
      <c r="O83" s="461">
        <f t="shared" si="6"/>
        <v>0</v>
      </c>
    </row>
    <row r="84" spans="1:15" ht="12">
      <c r="A84" s="509" t="str">
        <f t="shared" si="0"/>
        <v>E</v>
      </c>
      <c r="B84" s="138"/>
      <c r="C84" s="84">
        <f t="shared" si="7"/>
        <v>0</v>
      </c>
      <c r="D84" s="135"/>
      <c r="E84" s="926">
        <v>0</v>
      </c>
      <c r="F84" s="278"/>
      <c r="G84" s="461">
        <f t="shared" si="2"/>
        <v>0</v>
      </c>
      <c r="H84" s="461"/>
      <c r="I84" s="461">
        <f t="shared" si="3"/>
        <v>0</v>
      </c>
      <c r="J84" s="461"/>
      <c r="K84" s="461">
        <f t="shared" si="4"/>
        <v>0</v>
      </c>
      <c r="L84" s="461"/>
      <c r="M84" s="461">
        <f t="shared" si="5"/>
        <v>0</v>
      </c>
      <c r="N84" s="461"/>
      <c r="O84" s="461">
        <f t="shared" si="6"/>
        <v>0</v>
      </c>
    </row>
    <row r="85" spans="1:15" ht="12">
      <c r="A85" s="509" t="str">
        <f t="shared" si="0"/>
        <v>F</v>
      </c>
      <c r="B85" s="138"/>
      <c r="C85" s="84">
        <f t="shared" si="7"/>
        <v>0</v>
      </c>
      <c r="D85" s="84"/>
      <c r="E85" s="926">
        <v>0</v>
      </c>
      <c r="F85" s="146"/>
      <c r="G85" s="461">
        <f t="shared" si="2"/>
        <v>0</v>
      </c>
      <c r="H85" s="461"/>
      <c r="I85" s="461">
        <f t="shared" si="3"/>
        <v>0</v>
      </c>
      <c r="J85" s="461"/>
      <c r="K85" s="461">
        <f t="shared" si="4"/>
        <v>0</v>
      </c>
      <c r="L85" s="461"/>
      <c r="M85" s="461">
        <f t="shared" si="5"/>
        <v>0</v>
      </c>
      <c r="N85" s="461"/>
      <c r="O85" s="461">
        <f t="shared" si="6"/>
        <v>0</v>
      </c>
    </row>
    <row r="86" spans="1:15" ht="12">
      <c r="A86" s="509" t="str">
        <f t="shared" si="0"/>
        <v>G</v>
      </c>
      <c r="B86" s="138"/>
      <c r="C86" s="84">
        <f t="shared" si="7"/>
        <v>0</v>
      </c>
      <c r="D86" s="84"/>
      <c r="E86" s="926">
        <v>0</v>
      </c>
      <c r="F86" s="146"/>
      <c r="G86" s="461">
        <f t="shared" si="2"/>
        <v>0</v>
      </c>
      <c r="H86" s="461"/>
      <c r="I86" s="461">
        <f t="shared" si="3"/>
        <v>0</v>
      </c>
      <c r="J86" s="461"/>
      <c r="K86" s="461">
        <f t="shared" si="4"/>
        <v>0</v>
      </c>
      <c r="L86" s="461"/>
      <c r="M86" s="461">
        <f t="shared" si="5"/>
        <v>0</v>
      </c>
      <c r="N86" s="461"/>
      <c r="O86" s="461">
        <f t="shared" si="6"/>
        <v>0</v>
      </c>
    </row>
    <row r="87" spans="1:15" ht="12.75" thickBot="1">
      <c r="A87" s="510" t="str">
        <f t="shared" si="0"/>
        <v>H</v>
      </c>
      <c r="B87" s="150"/>
      <c r="C87" s="151">
        <f t="shared" si="7"/>
        <v>0</v>
      </c>
      <c r="D87" s="151"/>
      <c r="E87" s="926">
        <v>0</v>
      </c>
      <c r="F87" s="279"/>
      <c r="G87" s="461">
        <f t="shared" si="2"/>
        <v>0</v>
      </c>
      <c r="H87" s="461"/>
      <c r="I87" s="461">
        <f t="shared" si="3"/>
        <v>0</v>
      </c>
      <c r="J87" s="461"/>
      <c r="K87" s="461">
        <f t="shared" si="4"/>
        <v>0</v>
      </c>
      <c r="L87" s="461"/>
      <c r="M87" s="461">
        <f t="shared" si="5"/>
        <v>0</v>
      </c>
      <c r="N87" s="461"/>
      <c r="O87" s="461">
        <f t="shared" si="6"/>
        <v>0</v>
      </c>
    </row>
    <row r="88" spans="1:15" ht="40.5" customHeight="1" thickBot="1">
      <c r="A88" s="511" t="str">
        <f t="shared" si="0"/>
        <v>Positions that Do NOT Participate in the Chicago Teachers Pension Fund (Contract Schools should enter ALL of their employees in this section):         </v>
      </c>
      <c r="B88" s="516"/>
      <c r="C88" s="404"/>
      <c r="D88" s="404"/>
      <c r="E88" s="404"/>
      <c r="F88" s="404"/>
      <c r="G88" s="404"/>
      <c r="H88" s="404"/>
      <c r="I88" s="404"/>
      <c r="J88" s="404"/>
      <c r="K88" s="404"/>
      <c r="L88" s="404"/>
      <c r="M88" s="404"/>
      <c r="N88" s="404"/>
      <c r="O88" s="405"/>
    </row>
    <row r="89" spans="1:15" ht="12">
      <c r="A89" s="406" t="str">
        <f t="shared" si="0"/>
        <v>Teachers</v>
      </c>
      <c r="B89" s="140">
        <v>40000</v>
      </c>
      <c r="C89" s="146">
        <f>B89*(1+C$62)</f>
        <v>40000</v>
      </c>
      <c r="D89" s="146"/>
      <c r="E89" s="146">
        <f>B89</f>
        <v>40000</v>
      </c>
      <c r="F89" s="146"/>
      <c r="G89" s="461">
        <f aca="true" t="shared" si="8" ref="G89:G115">C89*(1+G$62)</f>
        <v>40000</v>
      </c>
      <c r="H89" s="461"/>
      <c r="I89" s="461">
        <f>G89*(1+I$62)</f>
        <v>40800</v>
      </c>
      <c r="J89" s="461"/>
      <c r="K89" s="461">
        <f>I89*(1+K$62)</f>
        <v>41616</v>
      </c>
      <c r="L89" s="461"/>
      <c r="M89" s="461">
        <f>K89*(1+M$62)</f>
        <v>42448.32</v>
      </c>
      <c r="N89" s="461"/>
      <c r="O89" s="461">
        <f>M89*(1+O$62)</f>
        <v>43297.2864</v>
      </c>
    </row>
    <row r="90" spans="1:15" ht="12">
      <c r="A90" s="497" t="str">
        <f aca="true" t="shared" si="9" ref="A90:A107">A32</f>
        <v>SPED Teachers (positions that are reimbursed by CPS)</v>
      </c>
      <c r="B90" s="138"/>
      <c r="C90" s="84">
        <f>B90*(1+C$62)</f>
        <v>0</v>
      </c>
      <c r="D90" s="84"/>
      <c r="E90" s="146">
        <f aca="true" t="shared" si="10" ref="E90:E115">B90</f>
        <v>0</v>
      </c>
      <c r="F90" s="146"/>
      <c r="G90" s="461">
        <f t="shared" si="8"/>
        <v>0</v>
      </c>
      <c r="H90" s="461"/>
      <c r="I90" s="461">
        <f aca="true" t="shared" si="11" ref="I90:I115">G90*(1+I$62)</f>
        <v>0</v>
      </c>
      <c r="J90" s="461"/>
      <c r="K90" s="461">
        <f aca="true" t="shared" si="12" ref="K90:K115">I90*(1+K$62)</f>
        <v>0</v>
      </c>
      <c r="L90" s="461"/>
      <c r="M90" s="461">
        <f aca="true" t="shared" si="13" ref="M90:M115">K90*(1+M$62)</f>
        <v>0</v>
      </c>
      <c r="N90" s="461"/>
      <c r="O90" s="461">
        <f aca="true" t="shared" si="14" ref="O90:O115">M90*(1+O$62)</f>
        <v>0</v>
      </c>
    </row>
    <row r="91" spans="1:15" ht="12">
      <c r="A91" s="497" t="str">
        <f t="shared" si="9"/>
        <v>SPED Aides (positions that are reimbursed by CPS)</v>
      </c>
      <c r="B91" s="138"/>
      <c r="C91" s="84">
        <f>B91*(1+C$62)</f>
        <v>0</v>
      </c>
      <c r="D91" s="84"/>
      <c r="E91" s="146">
        <f t="shared" si="10"/>
        <v>0</v>
      </c>
      <c r="F91" s="146"/>
      <c r="G91" s="461">
        <f t="shared" si="8"/>
        <v>0</v>
      </c>
      <c r="H91" s="461"/>
      <c r="I91" s="461">
        <f t="shared" si="11"/>
        <v>0</v>
      </c>
      <c r="J91" s="461"/>
      <c r="K91" s="461">
        <f t="shared" si="12"/>
        <v>0</v>
      </c>
      <c r="L91" s="461"/>
      <c r="M91" s="461">
        <f t="shared" si="13"/>
        <v>0</v>
      </c>
      <c r="N91" s="461"/>
      <c r="O91" s="461">
        <f t="shared" si="14"/>
        <v>0</v>
      </c>
    </row>
    <row r="92" spans="1:15" ht="12">
      <c r="A92" s="497" t="str">
        <f t="shared" si="9"/>
        <v>SPED Clinicians-Psychologist (reimbursed by CPS)</v>
      </c>
      <c r="B92" s="138"/>
      <c r="C92" s="84">
        <f aca="true" t="shared" si="15" ref="C92:C103">B92*(1+C$62)</f>
        <v>0</v>
      </c>
      <c r="D92" s="84"/>
      <c r="E92" s="146">
        <f t="shared" si="10"/>
        <v>0</v>
      </c>
      <c r="F92" s="146"/>
      <c r="G92" s="461">
        <f t="shared" si="8"/>
        <v>0</v>
      </c>
      <c r="H92" s="461"/>
      <c r="I92" s="461">
        <f t="shared" si="11"/>
        <v>0</v>
      </c>
      <c r="J92" s="461"/>
      <c r="K92" s="461">
        <f t="shared" si="12"/>
        <v>0</v>
      </c>
      <c r="L92" s="461"/>
      <c r="M92" s="461">
        <f t="shared" si="13"/>
        <v>0</v>
      </c>
      <c r="N92" s="461"/>
      <c r="O92" s="461">
        <f t="shared" si="14"/>
        <v>0</v>
      </c>
    </row>
    <row r="93" spans="1:15" ht="12">
      <c r="A93" s="497" t="str">
        <f t="shared" si="9"/>
        <v>SPED Clinicians-Social Worker (reimbursed by CPS)</v>
      </c>
      <c r="B93" s="138"/>
      <c r="C93" s="84">
        <f t="shared" si="15"/>
        <v>0</v>
      </c>
      <c r="D93" s="84"/>
      <c r="E93" s="146">
        <f t="shared" si="10"/>
        <v>0</v>
      </c>
      <c r="F93" s="146"/>
      <c r="G93" s="461">
        <f t="shared" si="8"/>
        <v>0</v>
      </c>
      <c r="H93" s="461"/>
      <c r="I93" s="461">
        <f t="shared" si="11"/>
        <v>0</v>
      </c>
      <c r="J93" s="461"/>
      <c r="K93" s="461">
        <f t="shared" si="12"/>
        <v>0</v>
      </c>
      <c r="L93" s="461"/>
      <c r="M93" s="461">
        <f t="shared" si="13"/>
        <v>0</v>
      </c>
      <c r="N93" s="461"/>
      <c r="O93" s="461">
        <f t="shared" si="14"/>
        <v>0</v>
      </c>
    </row>
    <row r="94" spans="1:15" ht="12">
      <c r="A94" s="497" t="str">
        <f t="shared" si="9"/>
        <v>SPED Clinicians-Speech Therapist (reimbursed by CPS)</v>
      </c>
      <c r="B94" s="138"/>
      <c r="C94" s="84">
        <f t="shared" si="15"/>
        <v>0</v>
      </c>
      <c r="D94" s="84"/>
      <c r="E94" s="146">
        <f t="shared" si="10"/>
        <v>0</v>
      </c>
      <c r="F94" s="146"/>
      <c r="G94" s="461">
        <f t="shared" si="8"/>
        <v>0</v>
      </c>
      <c r="H94" s="461"/>
      <c r="I94" s="461">
        <f t="shared" si="11"/>
        <v>0</v>
      </c>
      <c r="J94" s="461"/>
      <c r="K94" s="461">
        <f t="shared" si="12"/>
        <v>0</v>
      </c>
      <c r="L94" s="461"/>
      <c r="M94" s="461">
        <f t="shared" si="13"/>
        <v>0</v>
      </c>
      <c r="N94" s="461"/>
      <c r="O94" s="461">
        <f t="shared" si="14"/>
        <v>0</v>
      </c>
    </row>
    <row r="95" spans="1:15" ht="12">
      <c r="A95" s="497" t="str">
        <f t="shared" si="9"/>
        <v>SPED Clinicians-Physical Therapist (reimbursed by CPS)</v>
      </c>
      <c r="B95" s="138"/>
      <c r="C95" s="84">
        <f t="shared" si="15"/>
        <v>0</v>
      </c>
      <c r="D95" s="84"/>
      <c r="E95" s="146">
        <f t="shared" si="10"/>
        <v>0</v>
      </c>
      <c r="F95" s="146"/>
      <c r="G95" s="461">
        <f t="shared" si="8"/>
        <v>0</v>
      </c>
      <c r="H95" s="461"/>
      <c r="I95" s="461">
        <f t="shared" si="11"/>
        <v>0</v>
      </c>
      <c r="J95" s="461"/>
      <c r="K95" s="461">
        <f t="shared" si="12"/>
        <v>0</v>
      </c>
      <c r="L95" s="461"/>
      <c r="M95" s="461">
        <f t="shared" si="13"/>
        <v>0</v>
      </c>
      <c r="N95" s="461"/>
      <c r="O95" s="461">
        <f t="shared" si="14"/>
        <v>0</v>
      </c>
    </row>
    <row r="96" spans="1:15" ht="12">
      <c r="A96" s="497" t="str">
        <f t="shared" si="9"/>
        <v>SPED Clinicians-Occupational Therapist (reimbursed by CPS)</v>
      </c>
      <c r="B96" s="138"/>
      <c r="C96" s="84">
        <f t="shared" si="15"/>
        <v>0</v>
      </c>
      <c r="D96" s="84"/>
      <c r="E96" s="146">
        <f t="shared" si="10"/>
        <v>0</v>
      </c>
      <c r="F96" s="146"/>
      <c r="G96" s="461">
        <f t="shared" si="8"/>
        <v>0</v>
      </c>
      <c r="H96" s="461"/>
      <c r="I96" s="461">
        <f t="shared" si="11"/>
        <v>0</v>
      </c>
      <c r="J96" s="461"/>
      <c r="K96" s="461">
        <f t="shared" si="12"/>
        <v>0</v>
      </c>
      <c r="L96" s="461"/>
      <c r="M96" s="461">
        <f t="shared" si="13"/>
        <v>0</v>
      </c>
      <c r="N96" s="461"/>
      <c r="O96" s="461">
        <f t="shared" si="14"/>
        <v>0</v>
      </c>
    </row>
    <row r="97" spans="1:15" ht="12">
      <c r="A97" s="497" t="str">
        <f t="shared" si="9"/>
        <v>SPED Clinicians-Nurse (reimbursed by CPS)</v>
      </c>
      <c r="B97" s="138"/>
      <c r="C97" s="84">
        <f t="shared" si="15"/>
        <v>0</v>
      </c>
      <c r="D97" s="84"/>
      <c r="E97" s="146">
        <f t="shared" si="10"/>
        <v>0</v>
      </c>
      <c r="F97" s="146"/>
      <c r="G97" s="461">
        <f t="shared" si="8"/>
        <v>0</v>
      </c>
      <c r="H97" s="461"/>
      <c r="I97" s="461">
        <f t="shared" si="11"/>
        <v>0</v>
      </c>
      <c r="J97" s="461"/>
      <c r="K97" s="461">
        <f t="shared" si="12"/>
        <v>0</v>
      </c>
      <c r="L97" s="461"/>
      <c r="M97" s="461">
        <f t="shared" si="13"/>
        <v>0</v>
      </c>
      <c r="N97" s="461"/>
      <c r="O97" s="461">
        <f t="shared" si="14"/>
        <v>0</v>
      </c>
    </row>
    <row r="98" spans="1:15" ht="12">
      <c r="A98" s="406" t="str">
        <f t="shared" si="9"/>
        <v>EXECUTIVE DIRECTOR</v>
      </c>
      <c r="B98" s="135">
        <v>90000</v>
      </c>
      <c r="C98" s="84">
        <f t="shared" si="15"/>
        <v>90000</v>
      </c>
      <c r="D98" s="84"/>
      <c r="E98" s="146">
        <f t="shared" si="10"/>
        <v>90000</v>
      </c>
      <c r="F98" s="146"/>
      <c r="G98" s="461">
        <f t="shared" si="8"/>
        <v>90000</v>
      </c>
      <c r="H98" s="461"/>
      <c r="I98" s="461">
        <f t="shared" si="11"/>
        <v>91800</v>
      </c>
      <c r="J98" s="461"/>
      <c r="K98" s="461">
        <f t="shared" si="12"/>
        <v>93636</v>
      </c>
      <c r="L98" s="461"/>
      <c r="M98" s="461">
        <f t="shared" si="13"/>
        <v>95508.72</v>
      </c>
      <c r="N98" s="461"/>
      <c r="O98" s="461">
        <f t="shared" si="14"/>
        <v>97418.8944</v>
      </c>
    </row>
    <row r="99" spans="1:15" ht="12">
      <c r="A99" s="406" t="str">
        <f t="shared" si="9"/>
        <v>ACADEMIC LEADER</v>
      </c>
      <c r="B99" s="135">
        <v>75000</v>
      </c>
      <c r="C99" s="84">
        <f t="shared" si="15"/>
        <v>75000</v>
      </c>
      <c r="D99" s="84"/>
      <c r="E99" s="146">
        <f t="shared" si="10"/>
        <v>75000</v>
      </c>
      <c r="F99" s="146"/>
      <c r="G99" s="461">
        <f t="shared" si="8"/>
        <v>75000</v>
      </c>
      <c r="H99" s="461"/>
      <c r="I99" s="461">
        <f t="shared" si="11"/>
        <v>76500</v>
      </c>
      <c r="J99" s="461"/>
      <c r="K99" s="461">
        <f t="shared" si="12"/>
        <v>78030</v>
      </c>
      <c r="L99" s="461"/>
      <c r="M99" s="461">
        <f t="shared" si="13"/>
        <v>79590.6</v>
      </c>
      <c r="N99" s="461"/>
      <c r="O99" s="461">
        <f t="shared" si="14"/>
        <v>81182.41200000001</v>
      </c>
    </row>
    <row r="100" spans="1:15" ht="12">
      <c r="A100" s="406" t="str">
        <f t="shared" si="9"/>
        <v>OPERATIONAL LEADER</v>
      </c>
      <c r="B100" s="135">
        <v>65000</v>
      </c>
      <c r="C100" s="84">
        <f t="shared" si="15"/>
        <v>65000</v>
      </c>
      <c r="D100" s="84"/>
      <c r="E100" s="146">
        <f t="shared" si="10"/>
        <v>65000</v>
      </c>
      <c r="F100" s="146"/>
      <c r="G100" s="461">
        <f t="shared" si="8"/>
        <v>65000</v>
      </c>
      <c r="H100" s="461"/>
      <c r="I100" s="461">
        <f t="shared" si="11"/>
        <v>66300</v>
      </c>
      <c r="J100" s="461"/>
      <c r="K100" s="461">
        <f t="shared" si="12"/>
        <v>67626</v>
      </c>
      <c r="L100" s="461"/>
      <c r="M100" s="461">
        <f t="shared" si="13"/>
        <v>68978.52</v>
      </c>
      <c r="N100" s="461"/>
      <c r="O100" s="461">
        <f t="shared" si="14"/>
        <v>70358.0904</v>
      </c>
    </row>
    <row r="101" spans="1:15" ht="12">
      <c r="A101" s="406" t="str">
        <f t="shared" si="9"/>
        <v>DEAN OF DISCIPLINE</v>
      </c>
      <c r="B101" s="135">
        <v>55000</v>
      </c>
      <c r="C101" s="84">
        <f t="shared" si="15"/>
        <v>55000</v>
      </c>
      <c r="D101" s="84"/>
      <c r="E101" s="146">
        <f t="shared" si="10"/>
        <v>55000</v>
      </c>
      <c r="F101" s="146"/>
      <c r="G101" s="461">
        <f t="shared" si="8"/>
        <v>55000</v>
      </c>
      <c r="H101" s="461"/>
      <c r="I101" s="461">
        <f t="shared" si="11"/>
        <v>56100</v>
      </c>
      <c r="J101" s="461"/>
      <c r="K101" s="461">
        <f t="shared" si="12"/>
        <v>57222</v>
      </c>
      <c r="L101" s="461"/>
      <c r="M101" s="461">
        <f t="shared" si="13"/>
        <v>58366.44</v>
      </c>
      <c r="N101" s="461"/>
      <c r="O101" s="461">
        <f t="shared" si="14"/>
        <v>59533.768800000005</v>
      </c>
    </row>
    <row r="102" spans="1:15" ht="12">
      <c r="A102" s="406" t="str">
        <f t="shared" si="9"/>
        <v>BUSINESS MANAGER/HUMAN RESOURCES</v>
      </c>
      <c r="B102" s="135">
        <v>50000</v>
      </c>
      <c r="C102" s="84">
        <f t="shared" si="15"/>
        <v>50000</v>
      </c>
      <c r="D102" s="84"/>
      <c r="E102" s="146">
        <f t="shared" si="10"/>
        <v>50000</v>
      </c>
      <c r="F102" s="146"/>
      <c r="G102" s="461">
        <f t="shared" si="8"/>
        <v>50000</v>
      </c>
      <c r="H102" s="461"/>
      <c r="I102" s="461">
        <f t="shared" si="11"/>
        <v>51000</v>
      </c>
      <c r="J102" s="461"/>
      <c r="K102" s="461">
        <f t="shared" si="12"/>
        <v>52020</v>
      </c>
      <c r="L102" s="461"/>
      <c r="M102" s="461">
        <f t="shared" si="13"/>
        <v>53060.4</v>
      </c>
      <c r="N102" s="461"/>
      <c r="O102" s="461">
        <f t="shared" si="14"/>
        <v>54121.608</v>
      </c>
    </row>
    <row r="103" spans="1:15" ht="12.75" customHeight="1">
      <c r="A103" s="406" t="str">
        <f t="shared" si="9"/>
        <v>IT DIRECTOR</v>
      </c>
      <c r="B103" s="821">
        <v>50000</v>
      </c>
      <c r="C103" s="84">
        <f t="shared" si="15"/>
        <v>50000</v>
      </c>
      <c r="D103" s="136"/>
      <c r="E103" s="146">
        <f t="shared" si="10"/>
        <v>50000</v>
      </c>
      <c r="F103" s="278"/>
      <c r="G103" s="461">
        <f t="shared" si="8"/>
        <v>50000</v>
      </c>
      <c r="H103" s="461"/>
      <c r="I103" s="461">
        <f t="shared" si="11"/>
        <v>51000</v>
      </c>
      <c r="J103" s="461"/>
      <c r="K103" s="461">
        <f t="shared" si="12"/>
        <v>52020</v>
      </c>
      <c r="L103" s="461"/>
      <c r="M103" s="461">
        <f t="shared" si="13"/>
        <v>53060.4</v>
      </c>
      <c r="N103" s="461"/>
      <c r="O103" s="461">
        <f t="shared" si="14"/>
        <v>54121.608</v>
      </c>
    </row>
    <row r="104" spans="1:15" ht="12">
      <c r="A104" s="406" t="str">
        <f t="shared" si="9"/>
        <v>DIRECTOR OF DEVELOPMENT</v>
      </c>
      <c r="B104" s="135">
        <v>40000</v>
      </c>
      <c r="C104" s="84">
        <f aca="true" t="shared" si="16" ref="C104:C115">B104*(1+C$62)</f>
        <v>40000</v>
      </c>
      <c r="D104" s="84"/>
      <c r="E104" s="146">
        <f t="shared" si="10"/>
        <v>40000</v>
      </c>
      <c r="F104" s="146"/>
      <c r="G104" s="461">
        <f t="shared" si="8"/>
        <v>40000</v>
      </c>
      <c r="H104" s="461"/>
      <c r="I104" s="461">
        <f t="shared" si="11"/>
        <v>40800</v>
      </c>
      <c r="J104" s="461"/>
      <c r="K104" s="461">
        <f t="shared" si="12"/>
        <v>41616</v>
      </c>
      <c r="L104" s="461"/>
      <c r="M104" s="461">
        <f t="shared" si="13"/>
        <v>42448.32</v>
      </c>
      <c r="N104" s="461"/>
      <c r="O104" s="461">
        <f t="shared" si="14"/>
        <v>43297.2864</v>
      </c>
    </row>
    <row r="105" spans="1:15" ht="12">
      <c r="A105" s="406" t="str">
        <f t="shared" si="9"/>
        <v>Administrative Assistant</v>
      </c>
      <c r="B105" s="135">
        <v>30000</v>
      </c>
      <c r="C105" s="84">
        <f t="shared" si="16"/>
        <v>30000</v>
      </c>
      <c r="D105" s="84"/>
      <c r="E105" s="146">
        <f t="shared" si="10"/>
        <v>30000</v>
      </c>
      <c r="F105" s="146"/>
      <c r="G105" s="461">
        <f t="shared" si="8"/>
        <v>30000</v>
      </c>
      <c r="H105" s="461"/>
      <c r="I105" s="461">
        <f t="shared" si="11"/>
        <v>30600</v>
      </c>
      <c r="J105" s="461"/>
      <c r="K105" s="461">
        <f t="shared" si="12"/>
        <v>31212</v>
      </c>
      <c r="L105" s="461"/>
      <c r="M105" s="461">
        <f t="shared" si="13"/>
        <v>31836.24</v>
      </c>
      <c r="N105" s="461"/>
      <c r="O105" s="461">
        <f t="shared" si="14"/>
        <v>32472.9648</v>
      </c>
    </row>
    <row r="106" spans="1:15" ht="12">
      <c r="A106" s="406" t="str">
        <f t="shared" si="9"/>
        <v>Social Worker/Psychologist</v>
      </c>
      <c r="B106" s="135">
        <v>50000</v>
      </c>
      <c r="C106" s="84">
        <f t="shared" si="16"/>
        <v>50000</v>
      </c>
      <c r="D106" s="84"/>
      <c r="E106" s="146">
        <f t="shared" si="10"/>
        <v>50000</v>
      </c>
      <c r="F106" s="146"/>
      <c r="G106" s="461">
        <f t="shared" si="8"/>
        <v>50000</v>
      </c>
      <c r="H106" s="461"/>
      <c r="I106" s="461">
        <f t="shared" si="11"/>
        <v>51000</v>
      </c>
      <c r="J106" s="461"/>
      <c r="K106" s="461">
        <f t="shared" si="12"/>
        <v>52020</v>
      </c>
      <c r="L106" s="461"/>
      <c r="M106" s="461">
        <f t="shared" si="13"/>
        <v>53060.4</v>
      </c>
      <c r="N106" s="461"/>
      <c r="O106" s="461">
        <f t="shared" si="14"/>
        <v>54121.608</v>
      </c>
    </row>
    <row r="107" spans="1:15" ht="12">
      <c r="A107" s="406" t="str">
        <f t="shared" si="9"/>
        <v>Teacher Assistant/Aides</v>
      </c>
      <c r="B107" s="135"/>
      <c r="C107" s="84">
        <f t="shared" si="16"/>
        <v>0</v>
      </c>
      <c r="D107" s="84"/>
      <c r="E107" s="146">
        <f t="shared" si="10"/>
        <v>0</v>
      </c>
      <c r="F107" s="146"/>
      <c r="G107" s="461">
        <f t="shared" si="8"/>
        <v>0</v>
      </c>
      <c r="H107" s="461"/>
      <c r="I107" s="461">
        <f t="shared" si="11"/>
        <v>0</v>
      </c>
      <c r="J107" s="461"/>
      <c r="K107" s="461">
        <f t="shared" si="12"/>
        <v>0</v>
      </c>
      <c r="L107" s="461"/>
      <c r="M107" s="461">
        <f t="shared" si="13"/>
        <v>0</v>
      </c>
      <c r="N107" s="461"/>
      <c r="O107" s="461">
        <f t="shared" si="14"/>
        <v>0</v>
      </c>
    </row>
    <row r="108" spans="1:15" ht="12">
      <c r="A108" s="406" t="str">
        <f>A50</f>
        <v>Student Recruiter (Registration Development) / Volunteer Coordinator / Parent Liaison</v>
      </c>
      <c r="B108" s="135">
        <v>30000</v>
      </c>
      <c r="C108" s="84">
        <f t="shared" si="16"/>
        <v>30000</v>
      </c>
      <c r="D108" s="84"/>
      <c r="E108" s="146">
        <f t="shared" si="10"/>
        <v>30000</v>
      </c>
      <c r="F108" s="146"/>
      <c r="G108" s="461">
        <f t="shared" si="8"/>
        <v>30000</v>
      </c>
      <c r="H108" s="461"/>
      <c r="I108" s="461">
        <f t="shared" si="11"/>
        <v>30600</v>
      </c>
      <c r="J108" s="461"/>
      <c r="K108" s="461">
        <f t="shared" si="12"/>
        <v>31212</v>
      </c>
      <c r="L108" s="461"/>
      <c r="M108" s="461">
        <f t="shared" si="13"/>
        <v>31836.24</v>
      </c>
      <c r="N108" s="461"/>
      <c r="O108" s="461">
        <f t="shared" si="14"/>
        <v>32472.9648</v>
      </c>
    </row>
    <row r="109" spans="1:15" ht="12">
      <c r="A109" s="406" t="str">
        <f aca="true" t="shared" si="17" ref="A109:A115">A51</f>
        <v>Special Project Director/Development (PLTW/CTE) &amp; Experiential Coordinator</v>
      </c>
      <c r="B109" s="135">
        <v>30000</v>
      </c>
      <c r="C109" s="84">
        <f t="shared" si="16"/>
        <v>30000</v>
      </c>
      <c r="D109" s="84"/>
      <c r="E109" s="146">
        <f t="shared" si="10"/>
        <v>30000</v>
      </c>
      <c r="F109" s="146"/>
      <c r="G109" s="461">
        <f t="shared" si="8"/>
        <v>30000</v>
      </c>
      <c r="H109" s="461"/>
      <c r="I109" s="461">
        <f t="shared" si="11"/>
        <v>30600</v>
      </c>
      <c r="J109" s="461"/>
      <c r="K109" s="461">
        <f t="shared" si="12"/>
        <v>31212</v>
      </c>
      <c r="L109" s="461"/>
      <c r="M109" s="461">
        <f t="shared" si="13"/>
        <v>31836.24</v>
      </c>
      <c r="N109" s="461"/>
      <c r="O109" s="461">
        <f t="shared" si="14"/>
        <v>32472.9648</v>
      </c>
    </row>
    <row r="110" spans="1:15" ht="12">
      <c r="A110" s="406" t="str">
        <f t="shared" si="17"/>
        <v>College &amp; Career Coaches (Counselors)</v>
      </c>
      <c r="B110" s="135">
        <v>40000</v>
      </c>
      <c r="C110" s="84">
        <f t="shared" si="16"/>
        <v>40000</v>
      </c>
      <c r="D110" s="84"/>
      <c r="E110" s="146">
        <f t="shared" si="10"/>
        <v>40000</v>
      </c>
      <c r="F110" s="146"/>
      <c r="G110" s="461">
        <f t="shared" si="8"/>
        <v>40000</v>
      </c>
      <c r="H110" s="461"/>
      <c r="I110" s="461">
        <f t="shared" si="11"/>
        <v>40800</v>
      </c>
      <c r="J110" s="461"/>
      <c r="K110" s="461">
        <f t="shared" si="12"/>
        <v>41616</v>
      </c>
      <c r="L110" s="461"/>
      <c r="M110" s="461">
        <f t="shared" si="13"/>
        <v>42448.32</v>
      </c>
      <c r="N110" s="461"/>
      <c r="O110" s="461">
        <f t="shared" si="14"/>
        <v>43297.2864</v>
      </c>
    </row>
    <row r="111" spans="1:15" ht="12">
      <c r="A111" s="406" t="str">
        <f t="shared" si="17"/>
        <v>Librarians</v>
      </c>
      <c r="B111" s="135">
        <v>40000</v>
      </c>
      <c r="C111" s="84">
        <f t="shared" si="16"/>
        <v>40000</v>
      </c>
      <c r="D111" s="84"/>
      <c r="E111" s="146">
        <f t="shared" si="10"/>
        <v>40000</v>
      </c>
      <c r="F111" s="146"/>
      <c r="G111" s="461">
        <f t="shared" si="8"/>
        <v>40000</v>
      </c>
      <c r="H111" s="461"/>
      <c r="I111" s="461">
        <f t="shared" si="11"/>
        <v>40800</v>
      </c>
      <c r="J111" s="461"/>
      <c r="K111" s="461">
        <f t="shared" si="12"/>
        <v>41616</v>
      </c>
      <c r="L111" s="461"/>
      <c r="M111" s="461">
        <f t="shared" si="13"/>
        <v>42448.32</v>
      </c>
      <c r="N111" s="461"/>
      <c r="O111" s="461">
        <f t="shared" si="14"/>
        <v>43297.2864</v>
      </c>
    </row>
    <row r="112" spans="1:15" ht="12">
      <c r="A112" s="406" t="str">
        <f t="shared" si="17"/>
        <v>Kitchen Manager</v>
      </c>
      <c r="B112" s="135">
        <v>40000</v>
      </c>
      <c r="C112" s="84">
        <f t="shared" si="16"/>
        <v>40000</v>
      </c>
      <c r="D112" s="84"/>
      <c r="E112" s="146">
        <f t="shared" si="10"/>
        <v>40000</v>
      </c>
      <c r="F112" s="146"/>
      <c r="G112" s="461">
        <f t="shared" si="8"/>
        <v>40000</v>
      </c>
      <c r="H112" s="461"/>
      <c r="I112" s="461">
        <f t="shared" si="11"/>
        <v>40800</v>
      </c>
      <c r="J112" s="461"/>
      <c r="K112" s="461">
        <f t="shared" si="12"/>
        <v>41616</v>
      </c>
      <c r="L112" s="461"/>
      <c r="M112" s="461">
        <f t="shared" si="13"/>
        <v>42448.32</v>
      </c>
      <c r="N112" s="461"/>
      <c r="O112" s="461">
        <f t="shared" si="14"/>
        <v>43297.2864</v>
      </c>
    </row>
    <row r="113" spans="1:15" ht="12">
      <c r="A113" s="406" t="str">
        <f t="shared" si="17"/>
        <v>Cooks</v>
      </c>
      <c r="B113" s="135">
        <v>25000</v>
      </c>
      <c r="C113" s="84">
        <f t="shared" si="16"/>
        <v>25000</v>
      </c>
      <c r="D113" s="84"/>
      <c r="E113" s="146">
        <f t="shared" si="10"/>
        <v>25000</v>
      </c>
      <c r="F113" s="146"/>
      <c r="G113" s="461">
        <f t="shared" si="8"/>
        <v>25000</v>
      </c>
      <c r="H113" s="461"/>
      <c r="I113" s="461">
        <f t="shared" si="11"/>
        <v>25500</v>
      </c>
      <c r="J113" s="461"/>
      <c r="K113" s="461">
        <f t="shared" si="12"/>
        <v>26010</v>
      </c>
      <c r="L113" s="461"/>
      <c r="M113" s="461">
        <f t="shared" si="13"/>
        <v>26530.2</v>
      </c>
      <c r="N113" s="461"/>
      <c r="O113" s="461">
        <f t="shared" si="14"/>
        <v>27060.804</v>
      </c>
    </row>
    <row r="114" spans="1:15" ht="12">
      <c r="A114" s="406" t="str">
        <f t="shared" si="17"/>
        <v>Custodians/Labor</v>
      </c>
      <c r="B114" s="135">
        <v>25000</v>
      </c>
      <c r="C114" s="84">
        <f t="shared" si="16"/>
        <v>25000</v>
      </c>
      <c r="D114" s="84"/>
      <c r="E114" s="146">
        <f t="shared" si="10"/>
        <v>25000</v>
      </c>
      <c r="F114" s="146"/>
      <c r="G114" s="461">
        <f t="shared" si="8"/>
        <v>25000</v>
      </c>
      <c r="H114" s="461"/>
      <c r="I114" s="461">
        <f t="shared" si="11"/>
        <v>25500</v>
      </c>
      <c r="J114" s="461"/>
      <c r="K114" s="461">
        <f t="shared" si="12"/>
        <v>26010</v>
      </c>
      <c r="L114" s="461"/>
      <c r="M114" s="461">
        <f t="shared" si="13"/>
        <v>26530.2</v>
      </c>
      <c r="N114" s="461"/>
      <c r="O114" s="461">
        <f t="shared" si="14"/>
        <v>27060.804</v>
      </c>
    </row>
    <row r="115" spans="1:15" ht="12">
      <c r="A115" s="406" t="str">
        <f t="shared" si="17"/>
        <v>Security</v>
      </c>
      <c r="B115" s="135">
        <v>25000</v>
      </c>
      <c r="C115" s="84">
        <f t="shared" si="16"/>
        <v>25000</v>
      </c>
      <c r="D115" s="84"/>
      <c r="E115" s="146">
        <f t="shared" si="10"/>
        <v>25000</v>
      </c>
      <c r="F115" s="146"/>
      <c r="G115" s="461">
        <f t="shared" si="8"/>
        <v>25000</v>
      </c>
      <c r="H115" s="461"/>
      <c r="I115" s="461">
        <f t="shared" si="11"/>
        <v>25500</v>
      </c>
      <c r="J115" s="461"/>
      <c r="K115" s="461">
        <f t="shared" si="12"/>
        <v>26010</v>
      </c>
      <c r="L115" s="461"/>
      <c r="M115" s="461">
        <f t="shared" si="13"/>
        <v>26530.2</v>
      </c>
      <c r="N115" s="461"/>
      <c r="O115" s="461">
        <f t="shared" si="14"/>
        <v>27060.804</v>
      </c>
    </row>
    <row r="116" spans="1:15" ht="38.25" customHeight="1" thickBot="1">
      <c r="A116" s="139"/>
      <c r="B116" s="74"/>
      <c r="C116" s="74"/>
      <c r="D116" s="74"/>
      <c r="E116" s="74"/>
      <c r="F116" s="74"/>
      <c r="G116" s="74"/>
      <c r="H116" s="74"/>
      <c r="I116" s="74"/>
      <c r="J116" s="74"/>
      <c r="K116" s="74"/>
      <c r="L116" s="74"/>
      <c r="M116" s="74"/>
      <c r="N116" s="74"/>
      <c r="O116" s="74"/>
    </row>
    <row r="117" spans="1:15" ht="24" customHeight="1" thickBot="1">
      <c r="A117" s="142"/>
      <c r="B117" s="1027" t="s">
        <v>62</v>
      </c>
      <c r="C117" s="1028"/>
      <c r="D117" s="1028"/>
      <c r="E117" s="1028"/>
      <c r="F117" s="1028"/>
      <c r="G117" s="1028"/>
      <c r="H117" s="1028"/>
      <c r="I117" s="1028"/>
      <c r="J117" s="1028"/>
      <c r="K117" s="1028"/>
      <c r="L117" s="1028"/>
      <c r="M117" s="1028"/>
      <c r="N117" s="1028"/>
      <c r="O117" s="1029"/>
    </row>
    <row r="118" spans="1:15" ht="40.5" customHeight="1" thickBot="1">
      <c r="A118" s="996" t="str">
        <f>A6</f>
        <v>Positions that Participate in the Chicago Teachers Pension Fund (ALL Contract School employees do NOT participate in the CTPF):         </v>
      </c>
      <c r="B118" s="512"/>
      <c r="C118" s="513" t="s">
        <v>50</v>
      </c>
      <c r="D118" s="513"/>
      <c r="E118" s="514" t="str">
        <f>E6</f>
        <v>Incubation Year</v>
      </c>
      <c r="F118" s="513"/>
      <c r="G118" s="513">
        <f>$G$6</f>
        <v>2017</v>
      </c>
      <c r="H118" s="513"/>
      <c r="I118" s="513">
        <f>$I$6</f>
        <v>2018</v>
      </c>
      <c r="J118" s="513"/>
      <c r="K118" s="513">
        <f>$K$6</f>
        <v>2019</v>
      </c>
      <c r="L118" s="513"/>
      <c r="M118" s="513">
        <f>$M$6</f>
        <v>2020</v>
      </c>
      <c r="N118" s="513"/>
      <c r="O118" s="515">
        <f>$O$6</f>
        <v>2021</v>
      </c>
    </row>
    <row r="119" spans="1:15" ht="12">
      <c r="A119" s="391" t="str">
        <f>A7</f>
        <v>Teachers </v>
      </c>
      <c r="B119" s="797" t="s">
        <v>204</v>
      </c>
      <c r="C119" s="152"/>
      <c r="D119" s="152"/>
      <c r="E119" s="499">
        <f aca="true" t="shared" si="18" ref="E119:E141">E7*E65</f>
        <v>0</v>
      </c>
      <c r="F119" s="152"/>
      <c r="G119" s="499">
        <f aca="true" t="shared" si="19" ref="G119:G141">G7*G65</f>
        <v>660000</v>
      </c>
      <c r="H119" s="131"/>
      <c r="I119" s="499">
        <f aca="true" t="shared" si="20" ref="I119:I141">I7*I65</f>
        <v>1178100</v>
      </c>
      <c r="J119" s="121"/>
      <c r="K119" s="499">
        <f aca="true" t="shared" si="21" ref="K119:K141">K7*K65</f>
        <v>1316106</v>
      </c>
      <c r="L119" s="121"/>
      <c r="M119" s="499">
        <f aca="true" t="shared" si="22" ref="M119:M141">M7*M65</f>
        <v>1750993.2000000002</v>
      </c>
      <c r="N119" s="121"/>
      <c r="O119" s="499">
        <f aca="true" t="shared" si="23" ref="O119:O141">O7*O65</f>
        <v>1786013.0640000002</v>
      </c>
    </row>
    <row r="120" spans="1:15" ht="15.75" customHeight="1">
      <c r="A120" s="498" t="str">
        <f aca="true" t="shared" si="24" ref="A120:A141">A8</f>
        <v>SPED Teachers (reimbursed by CPS)</v>
      </c>
      <c r="B120" s="797" t="s">
        <v>204</v>
      </c>
      <c r="C120" s="121"/>
      <c r="D120" s="121"/>
      <c r="E120" s="499">
        <f t="shared" si="18"/>
        <v>0</v>
      </c>
      <c r="F120" s="121"/>
      <c r="G120" s="499">
        <f t="shared" si="19"/>
        <v>0</v>
      </c>
      <c r="H120" s="131"/>
      <c r="I120" s="499">
        <f t="shared" si="20"/>
        <v>0</v>
      </c>
      <c r="J120" s="121"/>
      <c r="K120" s="499">
        <f t="shared" si="21"/>
        <v>0</v>
      </c>
      <c r="L120" s="121"/>
      <c r="M120" s="499">
        <f t="shared" si="22"/>
        <v>0</v>
      </c>
      <c r="N120" s="121"/>
      <c r="O120" s="499">
        <f t="shared" si="23"/>
        <v>0</v>
      </c>
    </row>
    <row r="121" spans="1:15" ht="12">
      <c r="A121" s="498" t="str">
        <f t="shared" si="24"/>
        <v>SPED Aides (reimbursed by CPS)</v>
      </c>
      <c r="B121" s="797" t="s">
        <v>204</v>
      </c>
      <c r="C121" s="122">
        <f aca="true" t="shared" si="25" ref="C121:C126">C65*C7</f>
        <v>0</v>
      </c>
      <c r="D121" s="122"/>
      <c r="E121" s="499">
        <f t="shared" si="18"/>
        <v>0</v>
      </c>
      <c r="F121" s="122"/>
      <c r="G121" s="499">
        <f t="shared" si="19"/>
        <v>0</v>
      </c>
      <c r="H121" s="131"/>
      <c r="I121" s="499">
        <f t="shared" si="20"/>
        <v>0</v>
      </c>
      <c r="J121" s="121"/>
      <c r="K121" s="499">
        <f t="shared" si="21"/>
        <v>0</v>
      </c>
      <c r="L121" s="121"/>
      <c r="M121" s="499">
        <f t="shared" si="22"/>
        <v>0</v>
      </c>
      <c r="N121" s="121"/>
      <c r="O121" s="499">
        <f t="shared" si="23"/>
        <v>0</v>
      </c>
    </row>
    <row r="122" spans="1:15" ht="12">
      <c r="A122" s="498" t="str">
        <f t="shared" si="24"/>
        <v>SPED Clinicians-Psychologist (reimbursed by CPS)</v>
      </c>
      <c r="B122" s="797" t="s">
        <v>204</v>
      </c>
      <c r="C122" s="122">
        <f t="shared" si="25"/>
        <v>0</v>
      </c>
      <c r="D122" s="122"/>
      <c r="E122" s="499">
        <f t="shared" si="18"/>
        <v>0</v>
      </c>
      <c r="F122" s="122"/>
      <c r="G122" s="499">
        <f t="shared" si="19"/>
        <v>0</v>
      </c>
      <c r="H122" s="131"/>
      <c r="I122" s="499">
        <f t="shared" si="20"/>
        <v>0</v>
      </c>
      <c r="J122" s="121"/>
      <c r="K122" s="499">
        <f t="shared" si="21"/>
        <v>0</v>
      </c>
      <c r="L122" s="121"/>
      <c r="M122" s="499">
        <f t="shared" si="22"/>
        <v>0</v>
      </c>
      <c r="N122" s="121"/>
      <c r="O122" s="499">
        <f t="shared" si="23"/>
        <v>0</v>
      </c>
    </row>
    <row r="123" spans="1:15" ht="12">
      <c r="A123" s="498" t="str">
        <f t="shared" si="24"/>
        <v>SPED Clinicians-Social Worker (reimbursed by CPS)</v>
      </c>
      <c r="B123" s="797" t="s">
        <v>204</v>
      </c>
      <c r="C123" s="121">
        <f t="shared" si="25"/>
        <v>0</v>
      </c>
      <c r="D123" s="121"/>
      <c r="E123" s="499">
        <f t="shared" si="18"/>
        <v>0</v>
      </c>
      <c r="F123" s="121"/>
      <c r="G123" s="499">
        <f t="shared" si="19"/>
        <v>0</v>
      </c>
      <c r="H123" s="131"/>
      <c r="I123" s="499">
        <f t="shared" si="20"/>
        <v>0</v>
      </c>
      <c r="J123" s="121"/>
      <c r="K123" s="499">
        <f t="shared" si="21"/>
        <v>0</v>
      </c>
      <c r="L123" s="121"/>
      <c r="M123" s="499">
        <f t="shared" si="22"/>
        <v>0</v>
      </c>
      <c r="N123" s="121"/>
      <c r="O123" s="499">
        <f t="shared" si="23"/>
        <v>0</v>
      </c>
    </row>
    <row r="124" spans="1:15" ht="12">
      <c r="A124" s="498" t="str">
        <f t="shared" si="24"/>
        <v>SPED Clinicians-Speech Therapist (reimbursed by CPS)</v>
      </c>
      <c r="B124" s="797" t="s">
        <v>204</v>
      </c>
      <c r="C124" s="122">
        <f t="shared" si="25"/>
        <v>0</v>
      </c>
      <c r="D124" s="122"/>
      <c r="E124" s="499">
        <f t="shared" si="18"/>
        <v>0</v>
      </c>
      <c r="F124" s="122"/>
      <c r="G124" s="499">
        <f t="shared" si="19"/>
        <v>0</v>
      </c>
      <c r="H124" s="131"/>
      <c r="I124" s="499">
        <f t="shared" si="20"/>
        <v>0</v>
      </c>
      <c r="J124" s="121"/>
      <c r="K124" s="499">
        <f t="shared" si="21"/>
        <v>0</v>
      </c>
      <c r="L124" s="121"/>
      <c r="M124" s="499">
        <f t="shared" si="22"/>
        <v>0</v>
      </c>
      <c r="N124" s="121"/>
      <c r="O124" s="499">
        <f t="shared" si="23"/>
        <v>0</v>
      </c>
    </row>
    <row r="125" spans="1:15" ht="12">
      <c r="A125" s="498" t="str">
        <f t="shared" si="24"/>
        <v>SPED Clinicians-Physical Therapist (reimbursed by CPS)</v>
      </c>
      <c r="B125" s="797" t="s">
        <v>204</v>
      </c>
      <c r="C125" s="122">
        <f t="shared" si="25"/>
        <v>0</v>
      </c>
      <c r="D125" s="122"/>
      <c r="E125" s="499">
        <f t="shared" si="18"/>
        <v>0</v>
      </c>
      <c r="F125" s="122"/>
      <c r="G125" s="499">
        <f t="shared" si="19"/>
        <v>0</v>
      </c>
      <c r="H125" s="131"/>
      <c r="I125" s="499">
        <f t="shared" si="20"/>
        <v>0</v>
      </c>
      <c r="J125" s="121"/>
      <c r="K125" s="499">
        <f t="shared" si="21"/>
        <v>0</v>
      </c>
      <c r="L125" s="121"/>
      <c r="M125" s="499">
        <f t="shared" si="22"/>
        <v>0</v>
      </c>
      <c r="N125" s="121"/>
      <c r="O125" s="499">
        <f t="shared" si="23"/>
        <v>0</v>
      </c>
    </row>
    <row r="126" spans="1:15" ht="12">
      <c r="A126" s="498" t="str">
        <f t="shared" si="24"/>
        <v>SPED Clinicians-Occupational Therapist (reimbursed by CPS)</v>
      </c>
      <c r="B126" s="797" t="s">
        <v>204</v>
      </c>
      <c r="C126" s="122">
        <f t="shared" si="25"/>
        <v>0</v>
      </c>
      <c r="D126" s="122"/>
      <c r="E126" s="499">
        <f t="shared" si="18"/>
        <v>0</v>
      </c>
      <c r="F126" s="122"/>
      <c r="G126" s="499">
        <f t="shared" si="19"/>
        <v>0</v>
      </c>
      <c r="H126" s="131"/>
      <c r="I126" s="499">
        <f t="shared" si="20"/>
        <v>0</v>
      </c>
      <c r="J126" s="121"/>
      <c r="K126" s="499">
        <f t="shared" si="21"/>
        <v>0</v>
      </c>
      <c r="L126" s="121"/>
      <c r="M126" s="499">
        <f t="shared" si="22"/>
        <v>0</v>
      </c>
      <c r="N126" s="121"/>
      <c r="O126" s="499">
        <f t="shared" si="23"/>
        <v>0</v>
      </c>
    </row>
    <row r="127" spans="1:15" ht="12">
      <c r="A127" s="498" t="str">
        <f t="shared" si="24"/>
        <v>SPED Clinicians-Nurse (reimbursed by CPS)</v>
      </c>
      <c r="B127" s="797" t="s">
        <v>204</v>
      </c>
      <c r="C127" s="122">
        <f>C71*C19</f>
        <v>0</v>
      </c>
      <c r="D127" s="122"/>
      <c r="E127" s="499">
        <f t="shared" si="18"/>
        <v>0</v>
      </c>
      <c r="F127" s="122"/>
      <c r="G127" s="499">
        <f t="shared" si="19"/>
        <v>0</v>
      </c>
      <c r="H127" s="131"/>
      <c r="I127" s="499">
        <f t="shared" si="20"/>
        <v>0</v>
      </c>
      <c r="J127" s="121"/>
      <c r="K127" s="499">
        <f t="shared" si="21"/>
        <v>0</v>
      </c>
      <c r="L127" s="121"/>
      <c r="M127" s="499">
        <f t="shared" si="22"/>
        <v>0</v>
      </c>
      <c r="N127" s="121"/>
      <c r="O127" s="499">
        <f t="shared" si="23"/>
        <v>0</v>
      </c>
    </row>
    <row r="128" spans="1:15" ht="12">
      <c r="A128" s="391" t="str">
        <f t="shared" si="24"/>
        <v>Teachers Aides</v>
      </c>
      <c r="B128" s="797" t="s">
        <v>204</v>
      </c>
      <c r="C128" s="122">
        <f>C72*C20</f>
        <v>0</v>
      </c>
      <c r="D128" s="122"/>
      <c r="E128" s="499">
        <f t="shared" si="18"/>
        <v>0</v>
      </c>
      <c r="F128" s="122"/>
      <c r="G128" s="499">
        <f t="shared" si="19"/>
        <v>0</v>
      </c>
      <c r="H128" s="131"/>
      <c r="I128" s="499">
        <f t="shared" si="20"/>
        <v>0</v>
      </c>
      <c r="J128" s="121"/>
      <c r="K128" s="499">
        <f t="shared" si="21"/>
        <v>0</v>
      </c>
      <c r="L128" s="121"/>
      <c r="M128" s="499">
        <f t="shared" si="22"/>
        <v>0</v>
      </c>
      <c r="N128" s="121"/>
      <c r="O128" s="499">
        <f t="shared" si="23"/>
        <v>0</v>
      </c>
    </row>
    <row r="129" spans="1:15" ht="12.75" customHeight="1" thickBot="1">
      <c r="A129" s="391" t="str">
        <f t="shared" si="24"/>
        <v>Counselors</v>
      </c>
      <c r="B129" s="797" t="s">
        <v>204</v>
      </c>
      <c r="C129" s="123"/>
      <c r="D129" s="123"/>
      <c r="E129" s="499">
        <f t="shared" si="18"/>
        <v>0</v>
      </c>
      <c r="F129" s="123"/>
      <c r="G129" s="499">
        <f t="shared" si="19"/>
        <v>0</v>
      </c>
      <c r="H129" s="131"/>
      <c r="I129" s="499">
        <f t="shared" si="20"/>
        <v>0</v>
      </c>
      <c r="J129" s="121"/>
      <c r="K129" s="499">
        <f t="shared" si="21"/>
        <v>0</v>
      </c>
      <c r="L129" s="121"/>
      <c r="M129" s="499">
        <f t="shared" si="22"/>
        <v>0</v>
      </c>
      <c r="N129" s="121"/>
      <c r="O129" s="499">
        <f t="shared" si="23"/>
        <v>0</v>
      </c>
    </row>
    <row r="130" spans="1:15" ht="12.75" customHeight="1" thickBot="1">
      <c r="A130" s="391" t="str">
        <f t="shared" si="24"/>
        <v>Librarians</v>
      </c>
      <c r="B130" s="797" t="s">
        <v>204</v>
      </c>
      <c r="C130" s="153">
        <f>SUM(C121:C129)</f>
        <v>0</v>
      </c>
      <c r="D130" s="122"/>
      <c r="E130" s="499">
        <f t="shared" si="18"/>
        <v>0</v>
      </c>
      <c r="F130" s="122"/>
      <c r="G130" s="499">
        <f t="shared" si="19"/>
        <v>0</v>
      </c>
      <c r="H130" s="131"/>
      <c r="I130" s="499">
        <f t="shared" si="20"/>
        <v>0</v>
      </c>
      <c r="J130" s="121"/>
      <c r="K130" s="499">
        <f t="shared" si="21"/>
        <v>0</v>
      </c>
      <c r="L130" s="121"/>
      <c r="M130" s="499">
        <f t="shared" si="22"/>
        <v>0</v>
      </c>
      <c r="N130" s="121"/>
      <c r="O130" s="499">
        <f t="shared" si="23"/>
        <v>0</v>
      </c>
    </row>
    <row r="131" spans="1:15" ht="12.75" customHeight="1">
      <c r="A131" s="391" t="str">
        <f t="shared" si="24"/>
        <v>Deans</v>
      </c>
      <c r="B131" s="797" t="s">
        <v>204</v>
      </c>
      <c r="C131" s="124"/>
      <c r="D131" s="124"/>
      <c r="E131" s="499">
        <f t="shared" si="18"/>
        <v>0</v>
      </c>
      <c r="F131" s="124"/>
      <c r="G131" s="499">
        <f t="shared" si="19"/>
        <v>0</v>
      </c>
      <c r="H131" s="131"/>
      <c r="I131" s="499">
        <f t="shared" si="20"/>
        <v>0</v>
      </c>
      <c r="J131" s="121"/>
      <c r="K131" s="499">
        <f t="shared" si="21"/>
        <v>0</v>
      </c>
      <c r="L131" s="121"/>
      <c r="M131" s="499">
        <f t="shared" si="22"/>
        <v>0</v>
      </c>
      <c r="N131" s="121"/>
      <c r="O131" s="499">
        <f t="shared" si="23"/>
        <v>0</v>
      </c>
    </row>
    <row r="132" spans="1:15" ht="12">
      <c r="A132" s="391" t="str">
        <f t="shared" si="24"/>
        <v>Principal</v>
      </c>
      <c r="B132" s="797" t="s">
        <v>204</v>
      </c>
      <c r="C132" s="122">
        <f>C74*C28</f>
        <v>0</v>
      </c>
      <c r="D132" s="122"/>
      <c r="E132" s="499">
        <f t="shared" si="18"/>
        <v>0</v>
      </c>
      <c r="F132" s="122"/>
      <c r="G132" s="499">
        <f t="shared" si="19"/>
        <v>0</v>
      </c>
      <c r="H132" s="131"/>
      <c r="I132" s="499">
        <f t="shared" si="20"/>
        <v>0</v>
      </c>
      <c r="J132" s="121"/>
      <c r="K132" s="499">
        <f t="shared" si="21"/>
        <v>0</v>
      </c>
      <c r="L132" s="121"/>
      <c r="M132" s="499">
        <f t="shared" si="22"/>
        <v>0</v>
      </c>
      <c r="N132" s="121"/>
      <c r="O132" s="499">
        <f t="shared" si="23"/>
        <v>0</v>
      </c>
    </row>
    <row r="133" spans="1:15" ht="12">
      <c r="A133" s="391" t="str">
        <f t="shared" si="24"/>
        <v>Assistant Principal</v>
      </c>
      <c r="B133" s="797" t="s">
        <v>204</v>
      </c>
      <c r="C133" s="122">
        <f>C75*C29</f>
        <v>0</v>
      </c>
      <c r="D133" s="122"/>
      <c r="E133" s="499">
        <f t="shared" si="18"/>
        <v>0</v>
      </c>
      <c r="F133" s="122"/>
      <c r="G133" s="499">
        <f t="shared" si="19"/>
        <v>0</v>
      </c>
      <c r="H133" s="131"/>
      <c r="I133" s="499">
        <f t="shared" si="20"/>
        <v>0</v>
      </c>
      <c r="J133" s="121"/>
      <c r="K133" s="499">
        <f t="shared" si="21"/>
        <v>0</v>
      </c>
      <c r="L133" s="121"/>
      <c r="M133" s="499">
        <f t="shared" si="22"/>
        <v>0</v>
      </c>
      <c r="N133" s="121"/>
      <c r="O133" s="499">
        <f t="shared" si="23"/>
        <v>0</v>
      </c>
    </row>
    <row r="134" spans="1:15" ht="12">
      <c r="A134" s="391" t="str">
        <f t="shared" si="24"/>
        <v>A</v>
      </c>
      <c r="B134" s="797" t="s">
        <v>204</v>
      </c>
      <c r="C134" s="122">
        <f aca="true" t="shared" si="26" ref="C134:C141">C76*C30</f>
        <v>0</v>
      </c>
      <c r="D134" s="122"/>
      <c r="E134" s="499">
        <f t="shared" si="18"/>
        <v>0</v>
      </c>
      <c r="F134" s="122"/>
      <c r="G134" s="499">
        <f t="shared" si="19"/>
        <v>0</v>
      </c>
      <c r="H134" s="131"/>
      <c r="I134" s="499">
        <f t="shared" si="20"/>
        <v>0</v>
      </c>
      <c r="J134" s="121"/>
      <c r="K134" s="499">
        <f t="shared" si="21"/>
        <v>0</v>
      </c>
      <c r="L134" s="121"/>
      <c r="M134" s="499">
        <f t="shared" si="22"/>
        <v>0</v>
      </c>
      <c r="N134" s="121"/>
      <c r="O134" s="499">
        <f t="shared" si="23"/>
        <v>0</v>
      </c>
    </row>
    <row r="135" spans="1:15" ht="12">
      <c r="A135" s="785" t="str">
        <f t="shared" si="24"/>
        <v>B</v>
      </c>
      <c r="B135" s="797" t="s">
        <v>204</v>
      </c>
      <c r="C135" s="122">
        <f t="shared" si="26"/>
        <v>0</v>
      </c>
      <c r="D135" s="122"/>
      <c r="E135" s="499">
        <f t="shared" si="18"/>
        <v>0</v>
      </c>
      <c r="F135" s="122"/>
      <c r="G135" s="499">
        <f t="shared" si="19"/>
        <v>0</v>
      </c>
      <c r="H135" s="131"/>
      <c r="I135" s="499">
        <f t="shared" si="20"/>
        <v>0</v>
      </c>
      <c r="J135" s="121"/>
      <c r="K135" s="499">
        <f t="shared" si="21"/>
        <v>0</v>
      </c>
      <c r="L135" s="121"/>
      <c r="M135" s="499">
        <f t="shared" si="22"/>
        <v>0</v>
      </c>
      <c r="N135" s="121"/>
      <c r="O135" s="499">
        <f t="shared" si="23"/>
        <v>0</v>
      </c>
    </row>
    <row r="136" spans="1:15" ht="12">
      <c r="A136" s="785" t="str">
        <f t="shared" si="24"/>
        <v>C</v>
      </c>
      <c r="B136" s="797" t="s">
        <v>204</v>
      </c>
      <c r="C136" s="122">
        <f t="shared" si="26"/>
        <v>0</v>
      </c>
      <c r="D136" s="122"/>
      <c r="E136" s="499">
        <f t="shared" si="18"/>
        <v>0</v>
      </c>
      <c r="F136" s="122"/>
      <c r="G136" s="499">
        <f t="shared" si="19"/>
        <v>0</v>
      </c>
      <c r="H136" s="131"/>
      <c r="I136" s="499">
        <f t="shared" si="20"/>
        <v>0</v>
      </c>
      <c r="J136" s="121"/>
      <c r="K136" s="499">
        <f t="shared" si="21"/>
        <v>0</v>
      </c>
      <c r="L136" s="121"/>
      <c r="M136" s="499">
        <f t="shared" si="22"/>
        <v>0</v>
      </c>
      <c r="N136" s="121"/>
      <c r="O136" s="499">
        <f t="shared" si="23"/>
        <v>0</v>
      </c>
    </row>
    <row r="137" spans="1:15" ht="12">
      <c r="A137" s="785" t="str">
        <f t="shared" si="24"/>
        <v>D</v>
      </c>
      <c r="B137" s="797" t="s">
        <v>204</v>
      </c>
      <c r="C137" s="122">
        <f t="shared" si="26"/>
        <v>0</v>
      </c>
      <c r="D137" s="122"/>
      <c r="E137" s="499">
        <f t="shared" si="18"/>
        <v>0</v>
      </c>
      <c r="F137" s="122"/>
      <c r="G137" s="499">
        <f t="shared" si="19"/>
        <v>0</v>
      </c>
      <c r="H137" s="131"/>
      <c r="I137" s="499">
        <f t="shared" si="20"/>
        <v>0</v>
      </c>
      <c r="J137" s="121"/>
      <c r="K137" s="499">
        <f t="shared" si="21"/>
        <v>0</v>
      </c>
      <c r="L137" s="121"/>
      <c r="M137" s="499">
        <f t="shared" si="22"/>
        <v>0</v>
      </c>
      <c r="N137" s="121"/>
      <c r="O137" s="499">
        <f t="shared" si="23"/>
        <v>0</v>
      </c>
    </row>
    <row r="138" spans="1:15" ht="12">
      <c r="A138" s="785" t="str">
        <f t="shared" si="24"/>
        <v>E</v>
      </c>
      <c r="B138" s="797" t="s">
        <v>204</v>
      </c>
      <c r="C138" s="122">
        <f t="shared" si="26"/>
        <v>0</v>
      </c>
      <c r="D138" s="122"/>
      <c r="E138" s="499">
        <f t="shared" si="18"/>
        <v>0</v>
      </c>
      <c r="F138" s="122"/>
      <c r="G138" s="499">
        <f t="shared" si="19"/>
        <v>0</v>
      </c>
      <c r="H138" s="131"/>
      <c r="I138" s="499">
        <f t="shared" si="20"/>
        <v>0</v>
      </c>
      <c r="J138" s="121"/>
      <c r="K138" s="499">
        <f t="shared" si="21"/>
        <v>0</v>
      </c>
      <c r="L138" s="121"/>
      <c r="M138" s="499">
        <f t="shared" si="22"/>
        <v>0</v>
      </c>
      <c r="N138" s="121"/>
      <c r="O138" s="499">
        <f t="shared" si="23"/>
        <v>0</v>
      </c>
    </row>
    <row r="139" spans="1:15" ht="12">
      <c r="A139" s="785" t="str">
        <f t="shared" si="24"/>
        <v>F</v>
      </c>
      <c r="B139" s="797" t="s">
        <v>204</v>
      </c>
      <c r="C139" s="122">
        <f t="shared" si="26"/>
        <v>0</v>
      </c>
      <c r="D139" s="122"/>
      <c r="E139" s="499">
        <f t="shared" si="18"/>
        <v>0</v>
      </c>
      <c r="F139" s="122"/>
      <c r="G139" s="499">
        <f t="shared" si="19"/>
        <v>0</v>
      </c>
      <c r="H139" s="131"/>
      <c r="I139" s="499">
        <f t="shared" si="20"/>
        <v>0</v>
      </c>
      <c r="J139" s="121"/>
      <c r="K139" s="499">
        <f t="shared" si="21"/>
        <v>0</v>
      </c>
      <c r="L139" s="121"/>
      <c r="M139" s="499">
        <f t="shared" si="22"/>
        <v>0</v>
      </c>
      <c r="N139" s="121"/>
      <c r="O139" s="499">
        <f t="shared" si="23"/>
        <v>0</v>
      </c>
    </row>
    <row r="140" spans="1:15" ht="12">
      <c r="A140" s="785" t="str">
        <f t="shared" si="24"/>
        <v>G</v>
      </c>
      <c r="B140" s="797" t="s">
        <v>204</v>
      </c>
      <c r="C140" s="122">
        <f t="shared" si="26"/>
        <v>0</v>
      </c>
      <c r="D140" s="122"/>
      <c r="E140" s="499">
        <f t="shared" si="18"/>
        <v>0</v>
      </c>
      <c r="F140" s="122"/>
      <c r="G140" s="499">
        <f t="shared" si="19"/>
        <v>0</v>
      </c>
      <c r="H140" s="131"/>
      <c r="I140" s="499">
        <f t="shared" si="20"/>
        <v>0</v>
      </c>
      <c r="J140" s="121"/>
      <c r="K140" s="499">
        <f t="shared" si="21"/>
        <v>0</v>
      </c>
      <c r="L140" s="121"/>
      <c r="M140" s="499">
        <f t="shared" si="22"/>
        <v>0</v>
      </c>
      <c r="N140" s="121"/>
      <c r="O140" s="499">
        <f t="shared" si="23"/>
        <v>0</v>
      </c>
    </row>
    <row r="141" spans="1:15" ht="12.75" thickBot="1">
      <c r="A141" s="786" t="str">
        <f t="shared" si="24"/>
        <v>H</v>
      </c>
      <c r="B141" s="798" t="s">
        <v>204</v>
      </c>
      <c r="C141" s="413">
        <f t="shared" si="26"/>
        <v>0</v>
      </c>
      <c r="D141" s="413"/>
      <c r="E141" s="500">
        <f t="shared" si="18"/>
        <v>0</v>
      </c>
      <c r="F141" s="413"/>
      <c r="G141" s="500">
        <f t="shared" si="19"/>
        <v>0</v>
      </c>
      <c r="H141" s="990"/>
      <c r="I141" s="500">
        <f t="shared" si="20"/>
        <v>0</v>
      </c>
      <c r="J141" s="833"/>
      <c r="K141" s="500">
        <f t="shared" si="21"/>
        <v>0</v>
      </c>
      <c r="L141" s="833"/>
      <c r="M141" s="500">
        <f t="shared" si="22"/>
        <v>0</v>
      </c>
      <c r="N141" s="833"/>
      <c r="O141" s="500">
        <f t="shared" si="23"/>
        <v>0</v>
      </c>
    </row>
    <row r="142" spans="1:15" ht="12.75" thickBot="1">
      <c r="A142" s="502" t="s">
        <v>256</v>
      </c>
      <c r="B142" s="799"/>
      <c r="C142" s="414"/>
      <c r="D142" s="414"/>
      <c r="E142" s="501">
        <f>SUM(E119:E141)</f>
        <v>0</v>
      </c>
      <c r="F142" s="414"/>
      <c r="G142" s="501">
        <f>SUM(G119:G141)</f>
        <v>660000</v>
      </c>
      <c r="H142" s="414"/>
      <c r="I142" s="501">
        <f>SUM(I119:I141)</f>
        <v>1178100</v>
      </c>
      <c r="J142" s="414"/>
      <c r="K142" s="501">
        <f>SUM(K119:K141)</f>
        <v>1316106</v>
      </c>
      <c r="L142" s="414"/>
      <c r="M142" s="501">
        <f>SUM(M119:M141)</f>
        <v>1750993.2000000002</v>
      </c>
      <c r="N142" s="414"/>
      <c r="O142" s="501">
        <f>SUM(O119:O141)</f>
        <v>1786013.0640000002</v>
      </c>
    </row>
    <row r="143" spans="1:15" ht="12.75" thickBot="1">
      <c r="A143" s="927" t="s">
        <v>321</v>
      </c>
      <c r="B143" s="504"/>
      <c r="C143" s="144"/>
      <c r="D143" s="144"/>
      <c r="E143" s="503"/>
      <c r="F143" s="124"/>
      <c r="G143" s="503"/>
      <c r="H143" s="124"/>
      <c r="I143" s="503"/>
      <c r="J143" s="124"/>
      <c r="K143" s="503"/>
      <c r="L143" s="124"/>
      <c r="M143" s="503"/>
      <c r="N143" s="124"/>
      <c r="O143" s="503"/>
    </row>
    <row r="144" spans="1:15" ht="12">
      <c r="A144" s="787" t="s">
        <v>250</v>
      </c>
      <c r="B144" s="800" t="s">
        <v>204</v>
      </c>
      <c r="C144" s="122"/>
      <c r="D144" s="122"/>
      <c r="E144" s="800">
        <v>0</v>
      </c>
      <c r="F144" s="122"/>
      <c r="G144" s="154"/>
      <c r="H144" s="122"/>
      <c r="I144" s="154"/>
      <c r="J144" s="122"/>
      <c r="K144" s="154"/>
      <c r="L144" s="122"/>
      <c r="M144" s="154"/>
      <c r="N144" s="122"/>
      <c r="O144" s="154"/>
    </row>
    <row r="145" spans="1:15" ht="12">
      <c r="A145" s="787" t="s">
        <v>253</v>
      </c>
      <c r="B145" s="800" t="s">
        <v>204</v>
      </c>
      <c r="C145" s="122"/>
      <c r="D145" s="122"/>
      <c r="E145" s="800">
        <v>0</v>
      </c>
      <c r="F145" s="122"/>
      <c r="G145" s="154"/>
      <c r="H145" s="122"/>
      <c r="I145" s="154"/>
      <c r="J145" s="122"/>
      <c r="K145" s="154"/>
      <c r="L145" s="122"/>
      <c r="M145" s="154"/>
      <c r="N145" s="122"/>
      <c r="O145" s="154"/>
    </row>
    <row r="146" spans="1:15" ht="12">
      <c r="A146" s="787" t="s">
        <v>251</v>
      </c>
      <c r="B146" s="800" t="s">
        <v>204</v>
      </c>
      <c r="C146" s="122"/>
      <c r="D146" s="122"/>
      <c r="E146" s="800">
        <v>0</v>
      </c>
      <c r="F146" s="122"/>
      <c r="G146" s="154"/>
      <c r="H146" s="122"/>
      <c r="I146" s="154"/>
      <c r="J146" s="122"/>
      <c r="K146" s="154"/>
      <c r="L146" s="122"/>
      <c r="M146" s="154"/>
      <c r="N146" s="122"/>
      <c r="O146" s="154"/>
    </row>
    <row r="147" spans="1:15" ht="12.75" thickBot="1">
      <c r="A147" s="788" t="s">
        <v>252</v>
      </c>
      <c r="B147" s="800" t="s">
        <v>204</v>
      </c>
      <c r="C147" s="122"/>
      <c r="D147" s="122"/>
      <c r="E147" s="832">
        <v>0</v>
      </c>
      <c r="F147" s="122"/>
      <c r="G147" s="698"/>
      <c r="H147" s="413"/>
      <c r="I147" s="698"/>
      <c r="J147" s="413"/>
      <c r="K147" s="698"/>
      <c r="L147" s="413"/>
      <c r="M147" s="698"/>
      <c r="N147" s="413"/>
      <c r="O147" s="698"/>
    </row>
    <row r="148" spans="1:15" ht="12.75" thickBot="1">
      <c r="A148" s="502" t="s">
        <v>257</v>
      </c>
      <c r="B148" s="801"/>
      <c r="C148" s="833"/>
      <c r="D148" s="833"/>
      <c r="E148" s="501">
        <f>SUM(E144:E147)</f>
        <v>0</v>
      </c>
      <c r="F148" s="822"/>
      <c r="G148" s="501">
        <f>SUM(G144:G147)</f>
        <v>0</v>
      </c>
      <c r="H148" s="415"/>
      <c r="I148" s="501">
        <f>SUM(I144:I147)</f>
        <v>0</v>
      </c>
      <c r="J148" s="414"/>
      <c r="K148" s="501">
        <f>SUM(K144:K147)</f>
        <v>0</v>
      </c>
      <c r="L148" s="414"/>
      <c r="M148" s="501">
        <f>SUM(M144:M147)</f>
        <v>0</v>
      </c>
      <c r="N148" s="414"/>
      <c r="O148" s="501">
        <f>SUM(O144:O147)</f>
        <v>0</v>
      </c>
    </row>
    <row r="149" spans="1:15" ht="40.5" customHeight="1" thickBot="1">
      <c r="A149" s="808" t="str">
        <f aca="true" t="shared" si="27" ref="A149:A176">A30</f>
        <v>Positions that Do NOT Participate in the Chicago Teachers Pension Fund (Contract Schools should enter ALL of their employees in this section):         </v>
      </c>
      <c r="B149" s="802"/>
      <c r="C149" s="520"/>
      <c r="D149" s="520"/>
      <c r="E149" s="520"/>
      <c r="F149" s="520"/>
      <c r="G149" s="520"/>
      <c r="H149" s="520"/>
      <c r="I149" s="520"/>
      <c r="J149" s="520"/>
      <c r="K149" s="520"/>
      <c r="L149" s="520"/>
      <c r="M149" s="520"/>
      <c r="N149" s="520"/>
      <c r="O149" s="521"/>
    </row>
    <row r="150" spans="1:15" ht="12">
      <c r="A150" s="390" t="str">
        <f t="shared" si="27"/>
        <v>Teachers</v>
      </c>
      <c r="B150" s="796" t="s">
        <v>204</v>
      </c>
      <c r="C150" s="144">
        <f aca="true" t="shared" si="28" ref="C150:C166">C85*C39</f>
        <v>0</v>
      </c>
      <c r="D150" s="144"/>
      <c r="E150" s="503">
        <f>E31*E89</f>
        <v>0</v>
      </c>
      <c r="F150" s="124">
        <f>F31*F89</f>
        <v>0</v>
      </c>
      <c r="G150" s="503">
        <f>G31*G89</f>
        <v>0</v>
      </c>
      <c r="H150" s="124"/>
      <c r="I150" s="503">
        <f>I31*I89</f>
        <v>0</v>
      </c>
      <c r="J150" s="124"/>
      <c r="K150" s="503">
        <f aca="true" t="shared" si="29" ref="K150:K176">K31*K89</f>
        <v>208080</v>
      </c>
      <c r="L150" s="124"/>
      <c r="M150" s="503">
        <f aca="true" t="shared" si="30" ref="M150:M176">M31*M89</f>
        <v>254689.91999999998</v>
      </c>
      <c r="N150" s="124"/>
      <c r="O150" s="503">
        <f aca="true" t="shared" si="31" ref="O150:O176">O31*O89</f>
        <v>259783.71839999998</v>
      </c>
    </row>
    <row r="151" spans="1:15" ht="12">
      <c r="A151" s="498" t="str">
        <f t="shared" si="27"/>
        <v>SPED Teachers (positions that are reimbursed by CPS)</v>
      </c>
      <c r="B151" s="796" t="s">
        <v>204</v>
      </c>
      <c r="C151" s="122">
        <f t="shared" si="28"/>
        <v>0</v>
      </c>
      <c r="D151" s="122"/>
      <c r="E151" s="503">
        <f aca="true" t="shared" si="32" ref="E151:E176">E32*E90</f>
        <v>0</v>
      </c>
      <c r="F151" s="124"/>
      <c r="G151" s="503">
        <f aca="true" t="shared" si="33" ref="G151:G176">G32*G90</f>
        <v>0</v>
      </c>
      <c r="H151" s="124"/>
      <c r="I151" s="503">
        <f aca="true" t="shared" si="34" ref="I151:I176">I32*I90</f>
        <v>0</v>
      </c>
      <c r="J151" s="124"/>
      <c r="K151" s="503">
        <f t="shared" si="29"/>
        <v>0</v>
      </c>
      <c r="L151" s="124"/>
      <c r="M151" s="503">
        <f t="shared" si="30"/>
        <v>0</v>
      </c>
      <c r="N151" s="124"/>
      <c r="O151" s="503">
        <f t="shared" si="31"/>
        <v>0</v>
      </c>
    </row>
    <row r="152" spans="1:15" ht="12">
      <c r="A152" s="498" t="str">
        <f t="shared" si="27"/>
        <v>SPED Aides (positions that are reimbursed by CPS)</v>
      </c>
      <c r="B152" s="796" t="s">
        <v>204</v>
      </c>
      <c r="C152" s="122">
        <f t="shared" si="28"/>
        <v>0</v>
      </c>
      <c r="D152" s="122"/>
      <c r="E152" s="503">
        <f t="shared" si="32"/>
        <v>0</v>
      </c>
      <c r="F152" s="124"/>
      <c r="G152" s="503">
        <f t="shared" si="33"/>
        <v>0</v>
      </c>
      <c r="H152" s="124"/>
      <c r="I152" s="503">
        <f t="shared" si="34"/>
        <v>0</v>
      </c>
      <c r="J152" s="124"/>
      <c r="K152" s="503">
        <f t="shared" si="29"/>
        <v>0</v>
      </c>
      <c r="L152" s="124"/>
      <c r="M152" s="503">
        <f t="shared" si="30"/>
        <v>0</v>
      </c>
      <c r="N152" s="124"/>
      <c r="O152" s="503">
        <f t="shared" si="31"/>
        <v>0</v>
      </c>
    </row>
    <row r="153" spans="1:15" ht="12">
      <c r="A153" s="498" t="str">
        <f t="shared" si="27"/>
        <v>SPED Clinicians-Psychologist (reimbursed by CPS)</v>
      </c>
      <c r="B153" s="796" t="s">
        <v>204</v>
      </c>
      <c r="C153" s="122">
        <f t="shared" si="28"/>
        <v>0</v>
      </c>
      <c r="D153" s="122"/>
      <c r="E153" s="503">
        <f t="shared" si="32"/>
        <v>0</v>
      </c>
      <c r="F153" s="124"/>
      <c r="G153" s="503">
        <f t="shared" si="33"/>
        <v>0</v>
      </c>
      <c r="H153" s="124"/>
      <c r="I153" s="503">
        <f t="shared" si="34"/>
        <v>0</v>
      </c>
      <c r="J153" s="124"/>
      <c r="K153" s="503">
        <f t="shared" si="29"/>
        <v>0</v>
      </c>
      <c r="L153" s="124"/>
      <c r="M153" s="503">
        <f t="shared" si="30"/>
        <v>0</v>
      </c>
      <c r="N153" s="124"/>
      <c r="O153" s="503">
        <f t="shared" si="31"/>
        <v>0</v>
      </c>
    </row>
    <row r="154" spans="1:15" ht="12">
      <c r="A154" s="498" t="str">
        <f t="shared" si="27"/>
        <v>SPED Clinicians-Social Worker (reimbursed by CPS)</v>
      </c>
      <c r="B154" s="796" t="s">
        <v>204</v>
      </c>
      <c r="C154" s="122">
        <f t="shared" si="28"/>
        <v>0</v>
      </c>
      <c r="D154" s="122"/>
      <c r="E154" s="503">
        <f t="shared" si="32"/>
        <v>0</v>
      </c>
      <c r="F154" s="124"/>
      <c r="G154" s="503">
        <f t="shared" si="33"/>
        <v>0</v>
      </c>
      <c r="H154" s="124"/>
      <c r="I154" s="503">
        <f t="shared" si="34"/>
        <v>0</v>
      </c>
      <c r="J154" s="124"/>
      <c r="K154" s="503">
        <f t="shared" si="29"/>
        <v>0</v>
      </c>
      <c r="L154" s="124"/>
      <c r="M154" s="503">
        <f t="shared" si="30"/>
        <v>0</v>
      </c>
      <c r="N154" s="124"/>
      <c r="O154" s="503">
        <f t="shared" si="31"/>
        <v>0</v>
      </c>
    </row>
    <row r="155" spans="1:15" ht="12">
      <c r="A155" s="498" t="str">
        <f t="shared" si="27"/>
        <v>SPED Clinicians-Speech Therapist (reimbursed by CPS)</v>
      </c>
      <c r="B155" s="796" t="s">
        <v>204</v>
      </c>
      <c r="C155" s="122">
        <f t="shared" si="28"/>
        <v>0</v>
      </c>
      <c r="D155" s="122"/>
      <c r="E155" s="503">
        <f t="shared" si="32"/>
        <v>0</v>
      </c>
      <c r="F155" s="124"/>
      <c r="G155" s="503">
        <f t="shared" si="33"/>
        <v>0</v>
      </c>
      <c r="H155" s="124"/>
      <c r="I155" s="503">
        <f t="shared" si="34"/>
        <v>0</v>
      </c>
      <c r="J155" s="124"/>
      <c r="K155" s="503">
        <f t="shared" si="29"/>
        <v>0</v>
      </c>
      <c r="L155" s="124"/>
      <c r="M155" s="503">
        <f t="shared" si="30"/>
        <v>0</v>
      </c>
      <c r="N155" s="124"/>
      <c r="O155" s="503">
        <f t="shared" si="31"/>
        <v>0</v>
      </c>
    </row>
    <row r="156" spans="1:15" ht="12">
      <c r="A156" s="498" t="str">
        <f t="shared" si="27"/>
        <v>SPED Clinicians-Physical Therapist (reimbursed by CPS)</v>
      </c>
      <c r="B156" s="796" t="s">
        <v>204</v>
      </c>
      <c r="C156" s="122">
        <f t="shared" si="28"/>
        <v>0</v>
      </c>
      <c r="D156" s="122"/>
      <c r="E156" s="503">
        <f t="shared" si="32"/>
        <v>0</v>
      </c>
      <c r="F156" s="124"/>
      <c r="G156" s="503">
        <f t="shared" si="33"/>
        <v>0</v>
      </c>
      <c r="H156" s="124"/>
      <c r="I156" s="503">
        <f t="shared" si="34"/>
        <v>0</v>
      </c>
      <c r="J156" s="124"/>
      <c r="K156" s="503">
        <f t="shared" si="29"/>
        <v>0</v>
      </c>
      <c r="L156" s="124"/>
      <c r="M156" s="503">
        <f t="shared" si="30"/>
        <v>0</v>
      </c>
      <c r="N156" s="124"/>
      <c r="O156" s="503">
        <f t="shared" si="31"/>
        <v>0</v>
      </c>
    </row>
    <row r="157" spans="1:15" ht="12">
      <c r="A157" s="498" t="str">
        <f t="shared" si="27"/>
        <v>SPED Clinicians-Occupational Therapist (reimbursed by CPS)</v>
      </c>
      <c r="B157" s="796" t="s">
        <v>204</v>
      </c>
      <c r="C157" s="122">
        <f t="shared" si="28"/>
        <v>0</v>
      </c>
      <c r="D157" s="122"/>
      <c r="E157" s="503">
        <f t="shared" si="32"/>
        <v>0</v>
      </c>
      <c r="F157" s="124"/>
      <c r="G157" s="503">
        <f t="shared" si="33"/>
        <v>0</v>
      </c>
      <c r="H157" s="124"/>
      <c r="I157" s="503">
        <f t="shared" si="34"/>
        <v>0</v>
      </c>
      <c r="J157" s="124"/>
      <c r="K157" s="503">
        <f t="shared" si="29"/>
        <v>0</v>
      </c>
      <c r="L157" s="124"/>
      <c r="M157" s="503">
        <f t="shared" si="30"/>
        <v>0</v>
      </c>
      <c r="N157" s="124"/>
      <c r="O157" s="503">
        <f t="shared" si="31"/>
        <v>0</v>
      </c>
    </row>
    <row r="158" spans="1:15" ht="12">
      <c r="A158" s="498" t="str">
        <f t="shared" si="27"/>
        <v>SPED Clinicians-Nurse (reimbursed by CPS)</v>
      </c>
      <c r="B158" s="796" t="s">
        <v>204</v>
      </c>
      <c r="C158" s="122">
        <f t="shared" si="28"/>
        <v>0</v>
      </c>
      <c r="D158" s="122"/>
      <c r="E158" s="503">
        <f t="shared" si="32"/>
        <v>0</v>
      </c>
      <c r="F158" s="124"/>
      <c r="G158" s="503">
        <f t="shared" si="33"/>
        <v>0</v>
      </c>
      <c r="H158" s="124"/>
      <c r="I158" s="503">
        <f t="shared" si="34"/>
        <v>0</v>
      </c>
      <c r="J158" s="124"/>
      <c r="K158" s="503">
        <f t="shared" si="29"/>
        <v>0</v>
      </c>
      <c r="L158" s="124"/>
      <c r="M158" s="503">
        <f t="shared" si="30"/>
        <v>0</v>
      </c>
      <c r="N158" s="124"/>
      <c r="O158" s="503">
        <f t="shared" si="31"/>
        <v>0</v>
      </c>
    </row>
    <row r="159" spans="1:15" ht="12">
      <c r="A159" s="391" t="str">
        <f t="shared" si="27"/>
        <v>EXECUTIVE DIRECTOR</v>
      </c>
      <c r="B159" s="796" t="s">
        <v>204</v>
      </c>
      <c r="C159" s="122">
        <f t="shared" si="28"/>
        <v>0</v>
      </c>
      <c r="D159" s="122"/>
      <c r="E159" s="503">
        <f t="shared" si="32"/>
        <v>31499.999999999996</v>
      </c>
      <c r="F159" s="124"/>
      <c r="G159" s="503">
        <f t="shared" si="33"/>
        <v>90000</v>
      </c>
      <c r="H159" s="124"/>
      <c r="I159" s="503">
        <f t="shared" si="34"/>
        <v>91800</v>
      </c>
      <c r="J159" s="124"/>
      <c r="K159" s="503">
        <f t="shared" si="29"/>
        <v>93636</v>
      </c>
      <c r="L159" s="124"/>
      <c r="M159" s="503">
        <f t="shared" si="30"/>
        <v>95508.72</v>
      </c>
      <c r="N159" s="124"/>
      <c r="O159" s="503">
        <f t="shared" si="31"/>
        <v>97418.8944</v>
      </c>
    </row>
    <row r="160" spans="1:15" ht="12">
      <c r="A160" s="391" t="str">
        <f t="shared" si="27"/>
        <v>ACADEMIC LEADER</v>
      </c>
      <c r="B160" s="796" t="s">
        <v>204</v>
      </c>
      <c r="C160" s="122">
        <f t="shared" si="28"/>
        <v>0</v>
      </c>
      <c r="D160" s="122"/>
      <c r="E160" s="503">
        <f t="shared" si="32"/>
        <v>30000</v>
      </c>
      <c r="F160" s="124"/>
      <c r="G160" s="503">
        <f t="shared" si="33"/>
        <v>75000</v>
      </c>
      <c r="H160" s="124"/>
      <c r="I160" s="503">
        <f t="shared" si="34"/>
        <v>76500</v>
      </c>
      <c r="J160" s="124"/>
      <c r="K160" s="503">
        <f t="shared" si="29"/>
        <v>78030</v>
      </c>
      <c r="L160" s="124"/>
      <c r="M160" s="503">
        <f t="shared" si="30"/>
        <v>79590.6</v>
      </c>
      <c r="N160" s="124"/>
      <c r="O160" s="503">
        <f t="shared" si="31"/>
        <v>81182.41200000001</v>
      </c>
    </row>
    <row r="161" spans="1:15" ht="12">
      <c r="A161" s="391" t="str">
        <f t="shared" si="27"/>
        <v>OPERATIONAL LEADER</v>
      </c>
      <c r="B161" s="796" t="s">
        <v>204</v>
      </c>
      <c r="C161" s="122">
        <f t="shared" si="28"/>
        <v>0</v>
      </c>
      <c r="D161" s="122"/>
      <c r="E161" s="503">
        <f t="shared" si="32"/>
        <v>26000</v>
      </c>
      <c r="F161" s="124"/>
      <c r="G161" s="503">
        <f t="shared" si="33"/>
        <v>65000</v>
      </c>
      <c r="H161" s="124"/>
      <c r="I161" s="503">
        <f t="shared" si="34"/>
        <v>66300</v>
      </c>
      <c r="J161" s="124"/>
      <c r="K161" s="503">
        <f t="shared" si="29"/>
        <v>67626</v>
      </c>
      <c r="L161" s="124"/>
      <c r="M161" s="503">
        <f t="shared" si="30"/>
        <v>68978.52</v>
      </c>
      <c r="N161" s="124"/>
      <c r="O161" s="503">
        <f t="shared" si="31"/>
        <v>70358.0904</v>
      </c>
    </row>
    <row r="162" spans="1:15" ht="12">
      <c r="A162" s="391" t="str">
        <f t="shared" si="27"/>
        <v>DEAN OF DISCIPLINE</v>
      </c>
      <c r="B162" s="796" t="s">
        <v>204</v>
      </c>
      <c r="C162" s="122">
        <f t="shared" si="28"/>
        <v>0</v>
      </c>
      <c r="D162" s="122"/>
      <c r="E162" s="503">
        <f t="shared" si="32"/>
        <v>0</v>
      </c>
      <c r="F162" s="124"/>
      <c r="G162" s="503">
        <f t="shared" si="33"/>
        <v>0</v>
      </c>
      <c r="H162" s="124"/>
      <c r="I162" s="503">
        <f t="shared" si="34"/>
        <v>56100</v>
      </c>
      <c r="J162" s="124"/>
      <c r="K162" s="503">
        <f t="shared" si="29"/>
        <v>57222</v>
      </c>
      <c r="L162" s="124"/>
      <c r="M162" s="503">
        <f t="shared" si="30"/>
        <v>58366.44</v>
      </c>
      <c r="N162" s="124"/>
      <c r="O162" s="503">
        <f t="shared" si="31"/>
        <v>59533.768800000005</v>
      </c>
    </row>
    <row r="163" spans="1:15" ht="12">
      <c r="A163" s="391" t="str">
        <f t="shared" si="27"/>
        <v>BUSINESS MANAGER/HUMAN RESOURCES</v>
      </c>
      <c r="B163" s="796" t="s">
        <v>204</v>
      </c>
      <c r="C163" s="122">
        <f t="shared" si="28"/>
        <v>0</v>
      </c>
      <c r="D163" s="122"/>
      <c r="E163" s="503">
        <f t="shared" si="32"/>
        <v>20000</v>
      </c>
      <c r="F163" s="124"/>
      <c r="G163" s="503">
        <f t="shared" si="33"/>
        <v>25000</v>
      </c>
      <c r="H163" s="124"/>
      <c r="I163" s="503">
        <f t="shared" si="34"/>
        <v>51000</v>
      </c>
      <c r="J163" s="124"/>
      <c r="K163" s="503">
        <f t="shared" si="29"/>
        <v>52020</v>
      </c>
      <c r="L163" s="124"/>
      <c r="M163" s="503">
        <f t="shared" si="30"/>
        <v>53060.4</v>
      </c>
      <c r="N163" s="124"/>
      <c r="O163" s="503">
        <f t="shared" si="31"/>
        <v>54121.608</v>
      </c>
    </row>
    <row r="164" spans="1:15" ht="12">
      <c r="A164" s="391" t="str">
        <f t="shared" si="27"/>
        <v>IT DIRECTOR</v>
      </c>
      <c r="B164" s="796" t="s">
        <v>204</v>
      </c>
      <c r="C164" s="122">
        <f t="shared" si="28"/>
        <v>0</v>
      </c>
      <c r="D164" s="122"/>
      <c r="E164" s="503">
        <f t="shared" si="32"/>
        <v>0</v>
      </c>
      <c r="F164" s="124"/>
      <c r="G164" s="503">
        <f t="shared" si="33"/>
        <v>0</v>
      </c>
      <c r="H164" s="124"/>
      <c r="I164" s="503">
        <f t="shared" si="34"/>
        <v>51000</v>
      </c>
      <c r="J164" s="124"/>
      <c r="K164" s="503">
        <f t="shared" si="29"/>
        <v>52020</v>
      </c>
      <c r="L164" s="124"/>
      <c r="M164" s="503">
        <f t="shared" si="30"/>
        <v>53060.4</v>
      </c>
      <c r="N164" s="124"/>
      <c r="O164" s="503">
        <f t="shared" si="31"/>
        <v>54121.608</v>
      </c>
    </row>
    <row r="165" spans="1:15" ht="12">
      <c r="A165" s="391" t="str">
        <f t="shared" si="27"/>
        <v>DIRECTOR OF DEVELOPMENT</v>
      </c>
      <c r="B165" s="796" t="s">
        <v>204</v>
      </c>
      <c r="C165" s="122">
        <f t="shared" si="28"/>
        <v>0</v>
      </c>
      <c r="D165" s="122"/>
      <c r="E165" s="503">
        <f t="shared" si="32"/>
        <v>16000</v>
      </c>
      <c r="F165" s="124"/>
      <c r="G165" s="503">
        <f t="shared" si="33"/>
        <v>40000</v>
      </c>
      <c r="H165" s="124"/>
      <c r="I165" s="503">
        <f t="shared" si="34"/>
        <v>40800</v>
      </c>
      <c r="J165" s="124"/>
      <c r="K165" s="503">
        <f t="shared" si="29"/>
        <v>41616</v>
      </c>
      <c r="L165" s="124"/>
      <c r="M165" s="503">
        <f t="shared" si="30"/>
        <v>42448.32</v>
      </c>
      <c r="N165" s="124"/>
      <c r="O165" s="503">
        <f t="shared" si="31"/>
        <v>43297.2864</v>
      </c>
    </row>
    <row r="166" spans="1:15" ht="12">
      <c r="A166" s="391" t="str">
        <f t="shared" si="27"/>
        <v>Administrative Assistant</v>
      </c>
      <c r="B166" s="796" t="s">
        <v>204</v>
      </c>
      <c r="C166" s="122">
        <f t="shared" si="28"/>
        <v>0</v>
      </c>
      <c r="D166" s="122"/>
      <c r="E166" s="503">
        <f t="shared" si="32"/>
        <v>12000</v>
      </c>
      <c r="F166" s="124"/>
      <c r="G166" s="503">
        <f t="shared" si="33"/>
        <v>60000</v>
      </c>
      <c r="H166" s="124"/>
      <c r="I166" s="503">
        <f t="shared" si="34"/>
        <v>61200</v>
      </c>
      <c r="J166" s="124"/>
      <c r="K166" s="503">
        <f t="shared" si="29"/>
        <v>62424</v>
      </c>
      <c r="L166" s="124"/>
      <c r="M166" s="503">
        <f t="shared" si="30"/>
        <v>63672.48</v>
      </c>
      <c r="N166" s="124"/>
      <c r="O166" s="503">
        <f t="shared" si="31"/>
        <v>64945.9296</v>
      </c>
    </row>
    <row r="167" spans="1:15" ht="12">
      <c r="A167" s="391" t="str">
        <f t="shared" si="27"/>
        <v>Social Worker/Psychologist</v>
      </c>
      <c r="B167" s="796" t="s">
        <v>204</v>
      </c>
      <c r="C167" s="122">
        <f>C100*C54</f>
        <v>0</v>
      </c>
      <c r="D167" s="122"/>
      <c r="E167" s="503">
        <f t="shared" si="32"/>
        <v>0</v>
      </c>
      <c r="F167" s="124"/>
      <c r="G167" s="503">
        <f t="shared" si="33"/>
        <v>50000</v>
      </c>
      <c r="H167" s="124"/>
      <c r="I167" s="503">
        <f t="shared" si="34"/>
        <v>102000</v>
      </c>
      <c r="J167" s="124"/>
      <c r="K167" s="503">
        <f t="shared" si="29"/>
        <v>156060</v>
      </c>
      <c r="L167" s="124"/>
      <c r="M167" s="503">
        <f t="shared" si="30"/>
        <v>212241.6</v>
      </c>
      <c r="N167" s="124"/>
      <c r="O167" s="503">
        <f t="shared" si="31"/>
        <v>216486.432</v>
      </c>
    </row>
    <row r="168" spans="1:15" ht="15.75" customHeight="1">
      <c r="A168" s="391" t="str">
        <f t="shared" si="27"/>
        <v>Teacher Assistant/Aides</v>
      </c>
      <c r="B168" s="796" t="s">
        <v>204</v>
      </c>
      <c r="C168" s="122"/>
      <c r="D168" s="122"/>
      <c r="E168" s="503">
        <f t="shared" si="32"/>
        <v>0</v>
      </c>
      <c r="F168" s="124"/>
      <c r="G168" s="503">
        <f t="shared" si="33"/>
        <v>0</v>
      </c>
      <c r="H168" s="124"/>
      <c r="I168" s="503">
        <f t="shared" si="34"/>
        <v>0</v>
      </c>
      <c r="J168" s="124"/>
      <c r="K168" s="503">
        <f t="shared" si="29"/>
        <v>0</v>
      </c>
      <c r="L168" s="124"/>
      <c r="M168" s="503">
        <f t="shared" si="30"/>
        <v>0</v>
      </c>
      <c r="N168" s="124"/>
      <c r="O168" s="503">
        <f t="shared" si="31"/>
        <v>0</v>
      </c>
    </row>
    <row r="169" spans="1:15" ht="12">
      <c r="A169" s="391" t="str">
        <f t="shared" si="27"/>
        <v>Student Recruiter (Registration Development) / Volunteer Coordinator / Parent Liaison</v>
      </c>
      <c r="B169" s="796" t="s">
        <v>204</v>
      </c>
      <c r="C169" s="122" t="e">
        <f>C104*#REF!</f>
        <v>#REF!</v>
      </c>
      <c r="D169" s="122"/>
      <c r="E169" s="503">
        <f t="shared" si="32"/>
        <v>15000</v>
      </c>
      <c r="F169" s="124"/>
      <c r="G169" s="503">
        <f t="shared" si="33"/>
        <v>30000</v>
      </c>
      <c r="H169" s="124"/>
      <c r="I169" s="503">
        <f t="shared" si="34"/>
        <v>30600</v>
      </c>
      <c r="J169" s="124"/>
      <c r="K169" s="503">
        <f t="shared" si="29"/>
        <v>31212</v>
      </c>
      <c r="L169" s="124"/>
      <c r="M169" s="503">
        <f t="shared" si="30"/>
        <v>31836.24</v>
      </c>
      <c r="N169" s="124"/>
      <c r="O169" s="503">
        <f t="shared" si="31"/>
        <v>32472.9648</v>
      </c>
    </row>
    <row r="170" spans="1:15" ht="12">
      <c r="A170" s="785" t="str">
        <f t="shared" si="27"/>
        <v>Special Project Director/Development (PLTW/CTE) &amp; Experiential Coordinator</v>
      </c>
      <c r="B170" s="796" t="s">
        <v>204</v>
      </c>
      <c r="C170" s="122" t="e">
        <f>C105*#REF!</f>
        <v>#REF!</v>
      </c>
      <c r="D170" s="122"/>
      <c r="E170" s="503">
        <f t="shared" si="32"/>
        <v>0</v>
      </c>
      <c r="F170" s="124"/>
      <c r="G170" s="503">
        <f t="shared" si="33"/>
        <v>60000</v>
      </c>
      <c r="H170" s="124"/>
      <c r="I170" s="503">
        <f t="shared" si="34"/>
        <v>61200</v>
      </c>
      <c r="J170" s="124"/>
      <c r="K170" s="503">
        <f t="shared" si="29"/>
        <v>62424</v>
      </c>
      <c r="L170" s="124"/>
      <c r="M170" s="503">
        <f t="shared" si="30"/>
        <v>63672.48</v>
      </c>
      <c r="N170" s="124"/>
      <c r="O170" s="503">
        <f t="shared" si="31"/>
        <v>64945.9296</v>
      </c>
    </row>
    <row r="171" spans="1:15" ht="12">
      <c r="A171" s="785" t="str">
        <f t="shared" si="27"/>
        <v>College &amp; Career Coaches (Counselors)</v>
      </c>
      <c r="B171" s="796" t="s">
        <v>204</v>
      </c>
      <c r="C171" s="122" t="e">
        <f>C106*#REF!</f>
        <v>#REF!</v>
      </c>
      <c r="D171" s="122"/>
      <c r="E171" s="503">
        <f t="shared" si="32"/>
        <v>0</v>
      </c>
      <c r="F171" s="124"/>
      <c r="G171" s="503">
        <f t="shared" si="33"/>
        <v>0</v>
      </c>
      <c r="H171" s="124"/>
      <c r="I171" s="503">
        <f t="shared" si="34"/>
        <v>40800</v>
      </c>
      <c r="J171" s="124"/>
      <c r="K171" s="503">
        <f t="shared" si="29"/>
        <v>83232</v>
      </c>
      <c r="L171" s="124"/>
      <c r="M171" s="503">
        <f t="shared" si="30"/>
        <v>127344.95999999999</v>
      </c>
      <c r="N171" s="124"/>
      <c r="O171" s="503">
        <f t="shared" si="31"/>
        <v>173189.1456</v>
      </c>
    </row>
    <row r="172" spans="1:15" ht="12">
      <c r="A172" s="785" t="str">
        <f t="shared" si="27"/>
        <v>Librarians</v>
      </c>
      <c r="B172" s="796" t="s">
        <v>204</v>
      </c>
      <c r="C172" s="122" t="e">
        <f>C107*#REF!</f>
        <v>#REF!</v>
      </c>
      <c r="D172" s="122"/>
      <c r="E172" s="503">
        <f t="shared" si="32"/>
        <v>0</v>
      </c>
      <c r="F172" s="124"/>
      <c r="G172" s="503">
        <f t="shared" si="33"/>
        <v>0</v>
      </c>
      <c r="H172" s="124"/>
      <c r="I172" s="503">
        <f t="shared" si="34"/>
        <v>40800</v>
      </c>
      <c r="J172" s="124"/>
      <c r="K172" s="503">
        <f t="shared" si="29"/>
        <v>41616</v>
      </c>
      <c r="L172" s="124"/>
      <c r="M172" s="503">
        <f t="shared" si="30"/>
        <v>42448.32</v>
      </c>
      <c r="N172" s="124"/>
      <c r="O172" s="503">
        <f t="shared" si="31"/>
        <v>43297.2864</v>
      </c>
    </row>
    <row r="173" spans="1:15" ht="12">
      <c r="A173" s="785" t="str">
        <f t="shared" si="27"/>
        <v>Kitchen Manager</v>
      </c>
      <c r="B173" s="796" t="s">
        <v>204</v>
      </c>
      <c r="C173" s="122" t="e">
        <f>C111*#REF!</f>
        <v>#REF!</v>
      </c>
      <c r="D173" s="122"/>
      <c r="E173" s="503">
        <f t="shared" si="32"/>
        <v>0</v>
      </c>
      <c r="F173" s="124"/>
      <c r="G173" s="503">
        <f t="shared" si="33"/>
        <v>40000</v>
      </c>
      <c r="H173" s="124"/>
      <c r="I173" s="503">
        <f t="shared" si="34"/>
        <v>40800</v>
      </c>
      <c r="J173" s="124"/>
      <c r="K173" s="503">
        <f t="shared" si="29"/>
        <v>83232</v>
      </c>
      <c r="L173" s="124"/>
      <c r="M173" s="503">
        <f t="shared" si="30"/>
        <v>84896.64</v>
      </c>
      <c r="N173" s="124"/>
      <c r="O173" s="503">
        <f t="shared" si="31"/>
        <v>86594.5728</v>
      </c>
    </row>
    <row r="174" spans="1:15" ht="12">
      <c r="A174" s="785" t="str">
        <f t="shared" si="27"/>
        <v>Cooks</v>
      </c>
      <c r="B174" s="796" t="s">
        <v>204</v>
      </c>
      <c r="C174" s="122" t="e">
        <f>C112*#REF!</f>
        <v>#REF!</v>
      </c>
      <c r="D174" s="122"/>
      <c r="E174" s="503">
        <f t="shared" si="32"/>
        <v>0</v>
      </c>
      <c r="F174" s="124"/>
      <c r="G174" s="503">
        <f t="shared" si="33"/>
        <v>25000</v>
      </c>
      <c r="H174" s="124"/>
      <c r="I174" s="503">
        <f t="shared" si="34"/>
        <v>51000</v>
      </c>
      <c r="J174" s="124"/>
      <c r="K174" s="503">
        <f t="shared" si="29"/>
        <v>52020</v>
      </c>
      <c r="L174" s="124"/>
      <c r="M174" s="503">
        <f t="shared" si="30"/>
        <v>79590.6</v>
      </c>
      <c r="N174" s="124"/>
      <c r="O174" s="503">
        <f t="shared" si="31"/>
        <v>81182.412</v>
      </c>
    </row>
    <row r="175" spans="1:15" ht="12">
      <c r="A175" s="785" t="str">
        <f t="shared" si="27"/>
        <v>Custodians/Labor</v>
      </c>
      <c r="B175" s="796" t="s">
        <v>204</v>
      </c>
      <c r="C175" s="122" t="e">
        <f>C113*#REF!</f>
        <v>#REF!</v>
      </c>
      <c r="D175" s="122"/>
      <c r="E175" s="503">
        <f t="shared" si="32"/>
        <v>0</v>
      </c>
      <c r="F175" s="124"/>
      <c r="G175" s="503">
        <f t="shared" si="33"/>
        <v>25000</v>
      </c>
      <c r="H175" s="124"/>
      <c r="I175" s="503">
        <f t="shared" si="34"/>
        <v>76500</v>
      </c>
      <c r="J175" s="124"/>
      <c r="K175" s="503">
        <f t="shared" si="29"/>
        <v>78030</v>
      </c>
      <c r="L175" s="124"/>
      <c r="M175" s="503">
        <f t="shared" si="30"/>
        <v>79590.6</v>
      </c>
      <c r="N175" s="124"/>
      <c r="O175" s="503">
        <f t="shared" si="31"/>
        <v>81182.412</v>
      </c>
    </row>
    <row r="176" spans="1:15" ht="12.75" thickBot="1">
      <c r="A176" s="789" t="str">
        <f t="shared" si="27"/>
        <v>Security</v>
      </c>
      <c r="B176" s="796" t="s">
        <v>204</v>
      </c>
      <c r="C176" s="122" t="e">
        <f>C115*#REF!</f>
        <v>#REF!</v>
      </c>
      <c r="D176" s="122"/>
      <c r="E176" s="503">
        <f t="shared" si="32"/>
        <v>0</v>
      </c>
      <c r="F176" s="124"/>
      <c r="G176" s="503">
        <f t="shared" si="33"/>
        <v>50000</v>
      </c>
      <c r="H176" s="124"/>
      <c r="I176" s="503">
        <f t="shared" si="34"/>
        <v>76500</v>
      </c>
      <c r="J176" s="124"/>
      <c r="K176" s="503">
        <f t="shared" si="29"/>
        <v>78030</v>
      </c>
      <c r="L176" s="124"/>
      <c r="M176" s="503">
        <f t="shared" si="30"/>
        <v>106120.8</v>
      </c>
      <c r="N176" s="124"/>
      <c r="O176" s="503">
        <f t="shared" si="31"/>
        <v>108243.216</v>
      </c>
    </row>
    <row r="177" spans="1:15" ht="12.75" thickBot="1">
      <c r="A177" s="522" t="s">
        <v>322</v>
      </c>
      <c r="B177" s="796" t="s">
        <v>204</v>
      </c>
      <c r="C177" s="122"/>
      <c r="D177" s="122"/>
      <c r="E177" s="503"/>
      <c r="F177" s="124"/>
      <c r="G177" s="503"/>
      <c r="H177" s="121"/>
      <c r="I177" s="503"/>
      <c r="J177" s="121"/>
      <c r="K177" s="503"/>
      <c r="L177" s="121"/>
      <c r="M177" s="503"/>
      <c r="N177" s="121"/>
      <c r="O177" s="503"/>
    </row>
    <row r="178" spans="1:15" ht="12">
      <c r="A178" s="505" t="s">
        <v>254</v>
      </c>
      <c r="B178" s="796" t="s">
        <v>204</v>
      </c>
      <c r="C178" s="122"/>
      <c r="D178" s="122"/>
      <c r="E178" s="154"/>
      <c r="F178" s="122"/>
      <c r="G178" s="154"/>
      <c r="H178" s="154"/>
      <c r="I178" s="154"/>
      <c r="J178" s="154"/>
      <c r="K178" s="154"/>
      <c r="L178" s="154"/>
      <c r="M178" s="154"/>
      <c r="N178" s="154"/>
      <c r="O178" s="154"/>
    </row>
    <row r="179" spans="1:15" ht="12">
      <c r="A179" s="506" t="s">
        <v>249</v>
      </c>
      <c r="B179" s="796" t="s">
        <v>204</v>
      </c>
      <c r="C179" s="122"/>
      <c r="D179" s="122"/>
      <c r="E179" s="154"/>
      <c r="F179" s="122"/>
      <c r="G179" s="154"/>
      <c r="H179" s="154"/>
      <c r="I179" s="154"/>
      <c r="J179" s="154"/>
      <c r="K179" s="154"/>
      <c r="L179" s="154"/>
      <c r="M179" s="154"/>
      <c r="N179" s="154"/>
      <c r="O179" s="154"/>
    </row>
    <row r="180" spans="1:15" ht="12.75" thickBot="1">
      <c r="A180" s="507" t="s">
        <v>255</v>
      </c>
      <c r="B180" s="796" t="s">
        <v>204</v>
      </c>
      <c r="C180" s="125"/>
      <c r="D180" s="125"/>
      <c r="E180" s="928"/>
      <c r="F180" s="125"/>
      <c r="G180" s="154"/>
      <c r="H180" s="155"/>
      <c r="I180" s="154"/>
      <c r="J180" s="155"/>
      <c r="K180" s="154"/>
      <c r="L180" s="155"/>
      <c r="M180" s="154"/>
      <c r="N180" s="155"/>
      <c r="O180" s="154"/>
    </row>
    <row r="181" spans="1:15" ht="12.75" thickBot="1">
      <c r="A181" s="508" t="s">
        <v>300</v>
      </c>
      <c r="B181" s="803"/>
      <c r="C181" s="834"/>
      <c r="D181" s="834"/>
      <c r="E181" s="810">
        <f>SUM(E150:E180)</f>
        <v>150500</v>
      </c>
      <c r="F181" s="835"/>
      <c r="G181" s="810">
        <f>SUM(G150:G180)</f>
        <v>635000</v>
      </c>
      <c r="H181" s="836"/>
      <c r="I181" s="810">
        <f>SUM(I150:I180)</f>
        <v>1014900</v>
      </c>
      <c r="J181" s="836"/>
      <c r="K181" s="810">
        <f>SUM(K150:K180)</f>
        <v>1378530</v>
      </c>
      <c r="L181" s="836"/>
      <c r="M181" s="810">
        <f>SUM(M150:M180)</f>
        <v>1597118.04</v>
      </c>
      <c r="N181" s="836"/>
      <c r="O181" s="810">
        <f>SUM(O150:O180)</f>
        <v>1672357.6872</v>
      </c>
    </row>
    <row r="182" spans="1:15" ht="12.75" thickBot="1">
      <c r="A182" s="417"/>
      <c r="B182" s="804"/>
      <c r="C182" s="126"/>
      <c r="D182" s="126"/>
      <c r="E182" s="126"/>
      <c r="F182" s="126"/>
      <c r="G182" s="126"/>
      <c r="H182" s="126"/>
      <c r="I182" s="126"/>
      <c r="J182" s="126"/>
      <c r="K182" s="126"/>
      <c r="L182" s="126"/>
      <c r="M182" s="126"/>
      <c r="N182" s="126"/>
      <c r="O182" s="126"/>
    </row>
    <row r="183" spans="1:15" ht="22.5" customHeight="1" thickBot="1">
      <c r="A183" s="807" t="s">
        <v>258</v>
      </c>
      <c r="B183" s="805" t="s">
        <v>204</v>
      </c>
      <c r="C183" s="804"/>
      <c r="D183" s="804"/>
      <c r="E183" s="527"/>
      <c r="F183" s="804"/>
      <c r="G183" s="529">
        <f>G142</f>
        <v>660000</v>
      </c>
      <c r="H183" s="804"/>
      <c r="I183" s="529">
        <f>I142</f>
        <v>1178100</v>
      </c>
      <c r="J183" s="804"/>
      <c r="K183" s="529">
        <f>K142</f>
        <v>1316106</v>
      </c>
      <c r="L183" s="804"/>
      <c r="M183" s="529">
        <f>M142</f>
        <v>1750993.2000000002</v>
      </c>
      <c r="N183" s="804"/>
      <c r="O183" s="529">
        <f>O142</f>
        <v>1786013.0640000002</v>
      </c>
    </row>
    <row r="184" spans="1:15" ht="22.5" customHeight="1" thickBot="1">
      <c r="A184" s="519" t="s">
        <v>307</v>
      </c>
      <c r="B184" s="796" t="s">
        <v>204</v>
      </c>
      <c r="C184" s="804"/>
      <c r="D184" s="804"/>
      <c r="E184" s="527"/>
      <c r="F184" s="804"/>
      <c r="G184" s="529">
        <f>-SUM(G120:G127)</f>
        <v>0</v>
      </c>
      <c r="H184" s="804"/>
      <c r="I184" s="529">
        <f>-SUM(I120:I127)</f>
        <v>0</v>
      </c>
      <c r="J184" s="804"/>
      <c r="K184" s="529">
        <f>-SUM(K120:K127)</f>
        <v>0</v>
      </c>
      <c r="L184" s="804"/>
      <c r="M184" s="529">
        <f>-SUM(M120:M127)</f>
        <v>0</v>
      </c>
      <c r="N184" s="804"/>
      <c r="O184" s="529">
        <f>-SUM(O120:O127)</f>
        <v>0</v>
      </c>
    </row>
    <row r="185" spans="1:15" ht="33" customHeight="1" thickBot="1">
      <c r="A185" s="808" t="s">
        <v>403</v>
      </c>
      <c r="B185" s="796" t="s">
        <v>204</v>
      </c>
      <c r="C185" s="804"/>
      <c r="D185" s="804"/>
      <c r="E185" s="527"/>
      <c r="F185" s="804"/>
      <c r="G185" s="529">
        <f>G183+G184</f>
        <v>660000</v>
      </c>
      <c r="H185" s="804"/>
      <c r="I185" s="529">
        <f>I183+I184</f>
        <v>1178100</v>
      </c>
      <c r="J185" s="804"/>
      <c r="K185" s="529">
        <f>K183+K184</f>
        <v>1316106</v>
      </c>
      <c r="L185" s="804"/>
      <c r="M185" s="529">
        <f>M183+M184</f>
        <v>1750993.2000000002</v>
      </c>
      <c r="N185" s="804"/>
      <c r="O185" s="529">
        <f>O183+O184</f>
        <v>1786013.0640000002</v>
      </c>
    </row>
    <row r="186" spans="1:15" ht="22.5" customHeight="1" thickBot="1">
      <c r="A186" s="519" t="s">
        <v>259</v>
      </c>
      <c r="B186" s="796" t="s">
        <v>204</v>
      </c>
      <c r="C186" s="804"/>
      <c r="D186" s="819"/>
      <c r="E186" s="527"/>
      <c r="F186" s="804"/>
      <c r="G186" s="529">
        <f>G148</f>
        <v>0</v>
      </c>
      <c r="H186" s="804"/>
      <c r="I186" s="529">
        <f>I148</f>
        <v>0</v>
      </c>
      <c r="J186" s="804"/>
      <c r="K186" s="529">
        <f>K148</f>
        <v>0</v>
      </c>
      <c r="L186" s="804"/>
      <c r="M186" s="529">
        <f>M148</f>
        <v>0</v>
      </c>
      <c r="N186" s="804"/>
      <c r="O186" s="529">
        <f>O148</f>
        <v>0</v>
      </c>
    </row>
    <row r="187" spans="1:15" ht="22.5" customHeight="1" thickBot="1">
      <c r="A187" s="519" t="s">
        <v>308</v>
      </c>
      <c r="B187" s="796" t="s">
        <v>204</v>
      </c>
      <c r="C187" s="416" t="e">
        <f>SUM(C130:C180)</f>
        <v>#REF!</v>
      </c>
      <c r="D187" s="143"/>
      <c r="E187" s="526"/>
      <c r="F187" s="143"/>
      <c r="G187" s="526">
        <f>G183+G186</f>
        <v>660000</v>
      </c>
      <c r="H187" s="408"/>
      <c r="I187" s="526">
        <f>I183+I186</f>
        <v>1178100</v>
      </c>
      <c r="J187" s="409"/>
      <c r="K187" s="526">
        <f>K183+K186</f>
        <v>1316106</v>
      </c>
      <c r="L187" s="409"/>
      <c r="M187" s="526">
        <f>M183+M186</f>
        <v>1750993.2000000002</v>
      </c>
      <c r="N187" s="409"/>
      <c r="O187" s="526">
        <f>O183+O186</f>
        <v>1786013.0640000002</v>
      </c>
    </row>
    <row r="188" spans="1:15" ht="22.5" customHeight="1" thickBot="1">
      <c r="A188" s="519" t="s">
        <v>80</v>
      </c>
      <c r="B188" s="796" t="s">
        <v>204</v>
      </c>
      <c r="C188" s="143"/>
      <c r="D188" s="143"/>
      <c r="E188" s="528">
        <f>E181</f>
        <v>150500</v>
      </c>
      <c r="F188" s="143"/>
      <c r="G188" s="528">
        <f>G181</f>
        <v>635000</v>
      </c>
      <c r="H188" s="410"/>
      <c r="I188" s="528">
        <f>I181</f>
        <v>1014900</v>
      </c>
      <c r="J188" s="410"/>
      <c r="K188" s="528">
        <f>K181</f>
        <v>1378530</v>
      </c>
      <c r="L188" s="410"/>
      <c r="M188" s="528">
        <f>M181</f>
        <v>1597118.04</v>
      </c>
      <c r="N188" s="410"/>
      <c r="O188" s="528">
        <f>O181</f>
        <v>1672357.6872</v>
      </c>
    </row>
    <row r="189" spans="1:15" ht="22.5" customHeight="1" thickBot="1">
      <c r="A189" s="519" t="s">
        <v>36</v>
      </c>
      <c r="B189" s="796" t="s">
        <v>204</v>
      </c>
      <c r="C189" s="143"/>
      <c r="D189" s="143"/>
      <c r="E189" s="528">
        <f>SUM(E187:E188)</f>
        <v>150500</v>
      </c>
      <c r="F189" s="143"/>
      <c r="G189" s="528">
        <f>SUM(G187:G188)</f>
        <v>1295000</v>
      </c>
      <c r="H189" s="410"/>
      <c r="I189" s="528">
        <f>SUM(I187:I188)</f>
        <v>2193000</v>
      </c>
      <c r="J189" s="410"/>
      <c r="K189" s="528">
        <f>SUM(K187:K188)</f>
        <v>2694636</v>
      </c>
      <c r="L189" s="410"/>
      <c r="M189" s="528">
        <f>SUM(M187:M188)</f>
        <v>3348111.24</v>
      </c>
      <c r="N189" s="410"/>
      <c r="O189" s="528">
        <f>SUM(O187:O188)</f>
        <v>3458370.7512000003</v>
      </c>
    </row>
    <row r="190" spans="1:15" ht="12.75" thickBot="1">
      <c r="A190" s="127"/>
      <c r="B190" s="806"/>
      <c r="C190" s="127"/>
      <c r="D190" s="127"/>
      <c r="E190" s="127"/>
      <c r="F190" s="127"/>
      <c r="G190" s="127"/>
      <c r="H190" s="127"/>
      <c r="I190" s="127"/>
      <c r="J190" s="127"/>
      <c r="K190" s="127"/>
      <c r="L190" s="127"/>
      <c r="M190" s="127"/>
      <c r="N190" s="127"/>
      <c r="O190" s="127"/>
    </row>
    <row r="191" spans="1:15" ht="22.5" customHeight="1" thickBot="1">
      <c r="A191" s="519" t="s">
        <v>37</v>
      </c>
      <c r="B191" s="525" t="s">
        <v>81</v>
      </c>
      <c r="C191" s="156">
        <f>SUM(C7:C57)</f>
        <v>0</v>
      </c>
      <c r="D191" s="280"/>
      <c r="E191" s="529">
        <f>SUM(E7:E57)</f>
        <v>2.8499999999999996</v>
      </c>
      <c r="F191" s="280"/>
      <c r="G191" s="529">
        <f>SUM(G7:G57)</f>
        <v>31.5</v>
      </c>
      <c r="H191" s="156"/>
      <c r="I191" s="529">
        <f>SUM(I7:I57)</f>
        <v>51</v>
      </c>
      <c r="J191" s="156"/>
      <c r="K191" s="529">
        <f>SUM(K7:K57)</f>
        <v>62</v>
      </c>
      <c r="L191" s="156"/>
      <c r="M191" s="529">
        <f>SUM(M7:M57)</f>
        <v>75</v>
      </c>
      <c r="N191" s="156"/>
      <c r="O191" s="529">
        <f>SUM(O7:O57)</f>
        <v>76</v>
      </c>
    </row>
    <row r="192" spans="1:15" ht="12.75" thickBot="1">
      <c r="A192" s="126"/>
      <c r="B192" s="126"/>
      <c r="C192" s="126"/>
      <c r="D192" s="126"/>
      <c r="E192" s="126"/>
      <c r="F192" s="126"/>
      <c r="G192" s="126"/>
      <c r="H192" s="126"/>
      <c r="I192" s="126"/>
      <c r="J192" s="126"/>
      <c r="K192" s="126"/>
      <c r="L192" s="126"/>
      <c r="M192" s="126"/>
      <c r="N192" s="126"/>
      <c r="O192" s="126"/>
    </row>
    <row r="193" spans="1:15" ht="18.75" customHeight="1" thickBot="1">
      <c r="A193" s="523" t="s">
        <v>438</v>
      </c>
      <c r="B193" s="158">
        <v>0.045</v>
      </c>
      <c r="C193" s="128"/>
      <c r="D193" s="128"/>
      <c r="E193" s="128"/>
      <c r="F193" s="128"/>
      <c r="G193" s="128"/>
      <c r="H193" s="128"/>
      <c r="I193" s="128"/>
      <c r="J193" s="128"/>
      <c r="K193" s="128"/>
      <c r="L193" s="128"/>
      <c r="M193" s="128"/>
      <c r="N193" s="128"/>
      <c r="O193" s="128"/>
    </row>
    <row r="194" spans="1:15" ht="20.25" customHeight="1" thickBot="1">
      <c r="A194" s="523" t="s">
        <v>439</v>
      </c>
      <c r="B194" s="524">
        <f>9%-B193</f>
        <v>0.045</v>
      </c>
      <c r="C194" s="128"/>
      <c r="D194" s="128"/>
      <c r="E194" s="128"/>
      <c r="F194" s="128"/>
      <c r="G194" s="128"/>
      <c r="H194" s="128"/>
      <c r="I194" s="128"/>
      <c r="J194" s="128"/>
      <c r="K194" s="128"/>
      <c r="L194" s="128"/>
      <c r="M194" s="128"/>
      <c r="N194" s="128"/>
      <c r="O194" s="128"/>
    </row>
    <row r="195" spans="1:15" ht="21.75" customHeight="1" thickBot="1">
      <c r="A195" s="519" t="s">
        <v>53</v>
      </c>
      <c r="B195" s="809" t="s">
        <v>81</v>
      </c>
      <c r="C195" s="157" t="e">
        <f>#REF!*$B$193</f>
        <v>#REF!</v>
      </c>
      <c r="D195" s="281"/>
      <c r="E195" s="281"/>
      <c r="F195" s="281"/>
      <c r="G195" s="530">
        <f>$B$193*G183</f>
        <v>29700</v>
      </c>
      <c r="H195" s="839"/>
      <c r="I195" s="530">
        <f>$B$193*I183</f>
        <v>53014.5</v>
      </c>
      <c r="J195" s="839"/>
      <c r="K195" s="530">
        <f>$B$193*K183</f>
        <v>59224.77</v>
      </c>
      <c r="L195" s="839"/>
      <c r="M195" s="530">
        <f>$B$193*M183</f>
        <v>78794.694</v>
      </c>
      <c r="N195" s="839"/>
      <c r="O195" s="530">
        <f>$B$193*O183</f>
        <v>80370.58788</v>
      </c>
    </row>
    <row r="196" spans="1:15" ht="12.75" thickBot="1">
      <c r="A196" s="126"/>
      <c r="B196" s="126"/>
      <c r="C196" s="128"/>
      <c r="D196" s="281"/>
      <c r="E196" s="281"/>
      <c r="F196" s="128"/>
      <c r="G196" s="840"/>
      <c r="H196" s="840"/>
      <c r="I196" s="840"/>
      <c r="J196" s="840"/>
      <c r="K196" s="840"/>
      <c r="L196" s="840"/>
      <c r="M196" s="840"/>
      <c r="N196" s="840"/>
      <c r="O196" s="840"/>
    </row>
    <row r="197" spans="1:15" ht="19.5" customHeight="1" thickBot="1">
      <c r="A197" s="808" t="s">
        <v>82</v>
      </c>
      <c r="B197" s="626">
        <v>0.1116</v>
      </c>
      <c r="C197" s="837" t="e">
        <f>#REF!*0.11</f>
        <v>#REF!</v>
      </c>
      <c r="D197" s="814"/>
      <c r="E197" s="814"/>
      <c r="F197" s="281"/>
      <c r="G197" s="530">
        <f>$B$197*G185</f>
        <v>73656</v>
      </c>
      <c r="H197" s="811"/>
      <c r="I197" s="530">
        <f>$B$197*I185</f>
        <v>131475.96</v>
      </c>
      <c r="J197" s="812"/>
      <c r="K197" s="530">
        <f>$B$197*K185</f>
        <v>146877.4296</v>
      </c>
      <c r="L197" s="812"/>
      <c r="M197" s="530">
        <f>$B$197*M185</f>
        <v>195410.84112000003</v>
      </c>
      <c r="N197" s="812"/>
      <c r="O197" s="530">
        <f>$B$197*O185</f>
        <v>199319.05794240005</v>
      </c>
    </row>
    <row r="198" spans="1:15" ht="12.75" thickBot="1">
      <c r="A198" s="819"/>
      <c r="B198" s="819"/>
      <c r="C198" s="838"/>
      <c r="D198" s="814"/>
      <c r="E198" s="814"/>
      <c r="F198" s="128"/>
      <c r="G198" s="841"/>
      <c r="H198" s="841"/>
      <c r="I198" s="418"/>
      <c r="J198" s="841"/>
      <c r="K198" s="841"/>
      <c r="L198" s="841"/>
      <c r="M198" s="841"/>
      <c r="N198" s="841"/>
      <c r="O198" s="841"/>
    </row>
    <row r="199" spans="1:15" ht="21.75" customHeight="1" thickBot="1">
      <c r="A199" s="519" t="s">
        <v>38</v>
      </c>
      <c r="B199" s="626">
        <v>0.062</v>
      </c>
      <c r="C199" s="813" t="e">
        <f>#REF!*0.062</f>
        <v>#REF!</v>
      </c>
      <c r="D199" s="814"/>
      <c r="E199" s="530">
        <f>E188*$B$199</f>
        <v>9331</v>
      </c>
      <c r="F199" s="814"/>
      <c r="G199" s="530">
        <f>G188*$B$199</f>
        <v>39370</v>
      </c>
      <c r="H199" s="815"/>
      <c r="I199" s="530">
        <f>I188*$B$199</f>
        <v>62923.8</v>
      </c>
      <c r="J199" s="816"/>
      <c r="K199" s="530">
        <f>K188*$B$199</f>
        <v>85468.86</v>
      </c>
      <c r="L199" s="816"/>
      <c r="M199" s="530">
        <f>M188*$B$199</f>
        <v>99021.31848</v>
      </c>
      <c r="N199" s="816"/>
      <c r="O199" s="530">
        <f>O188*$B$199</f>
        <v>103686.1766064</v>
      </c>
    </row>
    <row r="200" spans="1:15" ht="12.75" thickBot="1">
      <c r="A200" s="804"/>
      <c r="B200" s="804"/>
      <c r="C200" s="838"/>
      <c r="D200" s="814"/>
      <c r="E200" s="814"/>
      <c r="F200" s="128"/>
      <c r="G200" s="841"/>
      <c r="H200" s="841"/>
      <c r="I200" s="841"/>
      <c r="J200" s="841"/>
      <c r="K200" s="841"/>
      <c r="L200" s="841"/>
      <c r="M200" s="841"/>
      <c r="N200" s="841"/>
      <c r="O200" s="841"/>
    </row>
    <row r="201" spans="1:15" ht="24" customHeight="1" thickBot="1">
      <c r="A201" s="519" t="s">
        <v>83</v>
      </c>
      <c r="B201" s="626">
        <v>0.0145</v>
      </c>
      <c r="C201" s="817"/>
      <c r="D201" s="818"/>
      <c r="E201" s="530">
        <f>E189*$B$201</f>
        <v>2182.25</v>
      </c>
      <c r="F201" s="819"/>
      <c r="G201" s="530">
        <f>G189*$B$201</f>
        <v>18777.5</v>
      </c>
      <c r="H201" s="815"/>
      <c r="I201" s="530">
        <f>I189*$B$201</f>
        <v>31798.5</v>
      </c>
      <c r="J201" s="816"/>
      <c r="K201" s="530">
        <f>K189*$B$201</f>
        <v>39072.222</v>
      </c>
      <c r="L201" s="816"/>
      <c r="M201" s="530">
        <f>M189*$B$201</f>
        <v>48547.612980000005</v>
      </c>
      <c r="N201" s="816"/>
      <c r="O201" s="530">
        <f>O189*$B$201</f>
        <v>50146.37589240001</v>
      </c>
    </row>
    <row r="202" spans="1:15" ht="12.75" thickBot="1">
      <c r="A202" s="4"/>
      <c r="B202" s="4"/>
      <c r="C202" s="4"/>
      <c r="D202" s="4"/>
      <c r="E202" s="4"/>
      <c r="F202" s="4"/>
      <c r="G202" s="411"/>
      <c r="H202" s="411"/>
      <c r="I202" s="411"/>
      <c r="J202" s="411"/>
      <c r="K202" s="411"/>
      <c r="L202" s="411"/>
      <c r="M202" s="411"/>
      <c r="N202" s="411"/>
      <c r="O202" s="411"/>
    </row>
    <row r="203" spans="1:15" ht="24" customHeight="1" thickBot="1">
      <c r="A203" s="519" t="s">
        <v>248</v>
      </c>
      <c r="B203" s="929"/>
      <c r="C203" s="4"/>
      <c r="D203" s="4"/>
      <c r="E203" s="412">
        <f>E188*$B$203</f>
        <v>0</v>
      </c>
      <c r="F203" s="4"/>
      <c r="G203" s="412">
        <f>G188*$B$203</f>
        <v>0</v>
      </c>
      <c r="H203" s="411"/>
      <c r="I203" s="412">
        <f>I188*$B$203</f>
        <v>0</v>
      </c>
      <c r="J203" s="411"/>
      <c r="K203" s="412">
        <f>K188*$B$203</f>
        <v>0</v>
      </c>
      <c r="L203" s="411"/>
      <c r="M203" s="412">
        <f>M188*$B$203</f>
        <v>0</v>
      </c>
      <c r="N203" s="411"/>
      <c r="O203" s="412">
        <f>O188*$B$203</f>
        <v>0</v>
      </c>
    </row>
    <row r="204" spans="1:15" ht="12">
      <c r="A204" s="4"/>
      <c r="B204" s="4"/>
      <c r="C204" s="4"/>
      <c r="D204" s="4"/>
      <c r="E204" s="4"/>
      <c r="F204" s="4"/>
      <c r="G204" s="4"/>
      <c r="H204" s="4"/>
      <c r="I204" s="4"/>
      <c r="J204" s="4"/>
      <c r="K204" s="4"/>
      <c r="L204" s="4"/>
      <c r="M204" s="4"/>
      <c r="N204" s="4"/>
      <c r="O204" s="4"/>
    </row>
  </sheetData>
  <sheetProtection password="CC59" sheet="1" formatColumns="0" formatRows="0"/>
  <mergeCells count="6">
    <mergeCell ref="B117:O117"/>
    <mergeCell ref="B4:O4"/>
    <mergeCell ref="B60:O60"/>
    <mergeCell ref="A62:B62"/>
    <mergeCell ref="D5:O5"/>
    <mergeCell ref="A1:B1"/>
  </mergeCells>
  <conditionalFormatting sqref="G181:O181 H180 J180 L180 N180 E181">
    <cfRule type="expression" priority="8" dxfId="2" stopIfTrue="1">
      <formula>#REF!="Yes"</formula>
    </cfRule>
  </conditionalFormatting>
  <conditionalFormatting sqref="G34:O34 G28:H29 G31:O32 F7:F57 J28:J29 L28:L29 N28:N29 G41:H45 J41:J45 L41:L45 N41:O41 N42:N45 C6:E57 O43 O45 O49 O51 O53 O55 G47:G57">
    <cfRule type="expression" priority="10" dxfId="1" stopIfTrue="1">
      <formula>Personnel!#REF!="Prior Fiscal Year"</formula>
    </cfRule>
  </conditionalFormatting>
  <conditionalFormatting sqref="C180:F180 C181:D181 F181">
    <cfRule type="expression" priority="21" dxfId="2" stopIfTrue="1">
      <formula>#REF!="Yes"</formula>
    </cfRule>
    <cfRule type="expression" priority="22" dxfId="1" stopIfTrue="1">
      <formula>Personnel!#REF!="Prior Fiscal Year"</formula>
    </cfRule>
  </conditionalFormatting>
  <conditionalFormatting sqref="I187:O189">
    <cfRule type="expression" priority="95" dxfId="0" stopIfTrue="1">
      <formula>(SUMPRODUCT(Personnel!A$6:A$57,Personnel!A$64:A$115)+Personnel!I$180+#REF!-Personnel!I$187)&lt;&gt;0</formula>
    </cfRule>
  </conditionalFormatting>
  <conditionalFormatting sqref="C187:O189">
    <cfRule type="expression" priority="97" dxfId="0" stopIfTrue="1">
      <formula>ROUND((SUMPRODUCT(Personnel!A$6:A$57,Personnel!A$64:A$115)+Personnel!C$180+#REF!-Personnel!C$187),0)&lt;&gt;0</formula>
    </cfRule>
  </conditionalFormatting>
  <conditionalFormatting sqref="O46 G46">
    <cfRule type="expression" priority="1" dxfId="1" stopIfTrue="1">
      <formula>Personnel!#REF!="Prior Fiscal Year"</formula>
    </cfRule>
  </conditionalFormatting>
  <dataValidations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G32"/>
  <sheetViews>
    <sheetView workbookViewId="0" topLeftCell="A1">
      <selection activeCell="E8" sqref="E8"/>
    </sheetView>
  </sheetViews>
  <sheetFormatPr defaultColWidth="8.8515625" defaultRowHeight="12.75"/>
  <cols>
    <col min="1" max="1" width="79.00390625" style="0" customWidth="1"/>
    <col min="2" max="7" width="15.7109375" style="0" customWidth="1"/>
  </cols>
  <sheetData>
    <row r="1" spans="1:7" ht="16.5">
      <c r="A1" s="964" t="str">
        <f>'Budget with Assumptions'!$A$2</f>
        <v>STARS Project Engineering Academy Charter School</v>
      </c>
      <c r="B1" s="93"/>
      <c r="C1" s="92"/>
      <c r="D1" s="92"/>
      <c r="E1" s="73"/>
      <c r="F1" s="73"/>
      <c r="G1" s="73"/>
    </row>
    <row r="2" spans="1:7" ht="18" thickBot="1">
      <c r="A2" s="965" t="s">
        <v>455</v>
      </c>
      <c r="B2" s="93"/>
      <c r="C2" s="92"/>
      <c r="D2" s="92"/>
      <c r="E2" s="73"/>
      <c r="F2" s="73"/>
      <c r="G2" s="73"/>
    </row>
    <row r="3" spans="2:7" ht="15">
      <c r="B3" s="93"/>
      <c r="C3" s="92"/>
      <c r="D3" s="92"/>
      <c r="E3" s="73"/>
      <c r="F3" s="73"/>
      <c r="G3" s="73"/>
    </row>
    <row r="4" spans="1:7" ht="19.5" customHeight="1">
      <c r="A4" s="952"/>
      <c r="B4" s="74"/>
      <c r="C4" s="74"/>
      <c r="D4" s="74"/>
      <c r="E4" s="74"/>
      <c r="F4" s="74"/>
      <c r="G4" s="74"/>
    </row>
    <row r="5" spans="1:7" ht="12.75" thickBot="1">
      <c r="A5" s="75"/>
      <c r="B5" s="75"/>
      <c r="C5" s="75"/>
      <c r="D5" s="75"/>
      <c r="E5" s="75"/>
      <c r="F5" s="75"/>
      <c r="G5" s="75"/>
    </row>
    <row r="6" spans="1:7" ht="19.5" customHeight="1" thickBot="1">
      <c r="A6" s="954"/>
      <c r="B6" s="1034" t="s">
        <v>453</v>
      </c>
      <c r="C6" s="1035"/>
      <c r="D6" s="1035"/>
      <c r="E6" s="1035"/>
      <c r="F6" s="1035"/>
      <c r="G6" s="1036"/>
    </row>
    <row r="7" spans="1:7" ht="18.75" customHeight="1" thickBot="1">
      <c r="A7" s="958" t="s">
        <v>451</v>
      </c>
      <c r="B7" s="960" t="s">
        <v>167</v>
      </c>
      <c r="C7" s="961">
        <f>'Budget with Assumptions'!L9</f>
        <v>2017</v>
      </c>
      <c r="D7" s="961">
        <f>'Budget with Assumptions'!N9</f>
        <v>2018</v>
      </c>
      <c r="E7" s="961">
        <f>'Budget with Assumptions'!P9</f>
        <v>2019</v>
      </c>
      <c r="F7" s="961">
        <f>'Budget with Assumptions'!R9</f>
        <v>2020</v>
      </c>
      <c r="G7" s="961">
        <f>'Budget with Assumptions'!T9</f>
        <v>2021</v>
      </c>
    </row>
    <row r="8" spans="1:7" ht="12">
      <c r="A8" s="959" t="s">
        <v>69</v>
      </c>
      <c r="B8" s="953" t="s">
        <v>204</v>
      </c>
      <c r="C8" s="119"/>
      <c r="D8" s="119"/>
      <c r="E8" s="119">
        <v>1</v>
      </c>
      <c r="F8" s="119">
        <v>1</v>
      </c>
      <c r="G8" s="119">
        <v>1</v>
      </c>
    </row>
    <row r="9" spans="1:7" ht="12">
      <c r="A9" s="959" t="s">
        <v>70</v>
      </c>
      <c r="B9" s="953" t="s">
        <v>204</v>
      </c>
      <c r="C9" s="119"/>
      <c r="D9" s="119"/>
      <c r="E9" s="119"/>
      <c r="F9" s="119"/>
      <c r="G9" s="119"/>
    </row>
    <row r="10" spans="1:7" ht="12">
      <c r="A10" s="959" t="s">
        <v>71</v>
      </c>
      <c r="B10" s="953" t="s">
        <v>204</v>
      </c>
      <c r="C10" s="119"/>
      <c r="D10" s="119"/>
      <c r="E10" s="119"/>
      <c r="F10" s="119"/>
      <c r="G10" s="119"/>
    </row>
    <row r="11" spans="1:7" ht="12">
      <c r="A11" s="959" t="s">
        <v>72</v>
      </c>
      <c r="B11" s="953" t="s">
        <v>204</v>
      </c>
      <c r="C11" s="119"/>
      <c r="D11" s="119"/>
      <c r="E11" s="119"/>
      <c r="F11" s="119"/>
      <c r="G11" s="119"/>
    </row>
    <row r="12" spans="1:7" ht="12.75">
      <c r="A12" s="959" t="s">
        <v>73</v>
      </c>
      <c r="B12" s="953" t="s">
        <v>204</v>
      </c>
      <c r="C12" s="119"/>
      <c r="D12" s="119"/>
      <c r="E12" s="119"/>
      <c r="F12" s="119"/>
      <c r="G12" s="119"/>
    </row>
    <row r="13" spans="1:7" ht="13.5" thickBot="1">
      <c r="A13" s="972" t="s">
        <v>74</v>
      </c>
      <c r="B13" s="953" t="s">
        <v>204</v>
      </c>
      <c r="C13" s="148">
        <v>1</v>
      </c>
      <c r="D13" s="119">
        <v>1</v>
      </c>
      <c r="E13" s="119">
        <v>1</v>
      </c>
      <c r="F13" s="119">
        <v>1</v>
      </c>
      <c r="G13" s="119">
        <v>1</v>
      </c>
    </row>
    <row r="14" spans="1:7" ht="23.25" customHeight="1" thickBot="1">
      <c r="A14" s="974" t="s">
        <v>466</v>
      </c>
      <c r="B14" s="79"/>
      <c r="C14" s="973">
        <f>SUM(C8:C13)</f>
        <v>1</v>
      </c>
      <c r="D14" s="973">
        <f>SUM(D8:D13)</f>
        <v>1</v>
      </c>
      <c r="E14" s="973">
        <f>SUM(E8:E13)</f>
        <v>2</v>
      </c>
      <c r="F14" s="973">
        <f>SUM(F8:F13)</f>
        <v>2</v>
      </c>
      <c r="G14" s="973">
        <f>SUM(G8:G13)</f>
        <v>2</v>
      </c>
    </row>
    <row r="15" spans="1:7" ht="12.75" thickBot="1">
      <c r="A15" s="74"/>
      <c r="B15" s="74"/>
      <c r="C15" s="74"/>
      <c r="D15" s="74"/>
      <c r="E15" s="74"/>
      <c r="F15" s="74"/>
      <c r="G15" s="74"/>
    </row>
    <row r="16" spans="1:7" ht="18.75" customHeight="1" thickBot="1">
      <c r="A16" s="962" t="str">
        <f aca="true" t="shared" si="0" ref="A16:A22">A7</f>
        <v>Clinician Position</v>
      </c>
      <c r="B16" s="1034" t="s">
        <v>454</v>
      </c>
      <c r="C16" s="1035"/>
      <c r="D16" s="1035"/>
      <c r="E16" s="1035"/>
      <c r="F16" s="1035"/>
      <c r="G16" s="1036"/>
    </row>
    <row r="17" spans="1:7" ht="12">
      <c r="A17" s="390" t="str">
        <f t="shared" si="0"/>
        <v>SPED Clinicians-Psychologist (reimbursed by CPS)</v>
      </c>
      <c r="B17" s="796" t="s">
        <v>204</v>
      </c>
      <c r="C17" s="967"/>
      <c r="D17" s="967"/>
      <c r="E17" s="967"/>
      <c r="F17" s="967"/>
      <c r="G17" s="967"/>
    </row>
    <row r="18" spans="1:7" ht="12">
      <c r="A18" s="390" t="str">
        <f t="shared" si="0"/>
        <v>SPED Clinicians-Social Worker (reimbursed by CPS)</v>
      </c>
      <c r="B18" s="796" t="s">
        <v>204</v>
      </c>
      <c r="C18" s="967"/>
      <c r="D18" s="967"/>
      <c r="E18" s="967"/>
      <c r="F18" s="967"/>
      <c r="G18" s="967"/>
    </row>
    <row r="19" spans="1:7" ht="12">
      <c r="A19" s="390" t="str">
        <f t="shared" si="0"/>
        <v>SPED Clinicians-Speech Therapist (reimbursed by CPS)</v>
      </c>
      <c r="B19" s="796" t="s">
        <v>204</v>
      </c>
      <c r="C19" s="967"/>
      <c r="D19" s="967"/>
      <c r="E19" s="967"/>
      <c r="F19" s="967"/>
      <c r="G19" s="967"/>
    </row>
    <row r="20" spans="1:7" ht="12">
      <c r="A20" s="390" t="str">
        <f t="shared" si="0"/>
        <v>SPED Clinicians-Physical Therapist (reimbursed by CPS)</v>
      </c>
      <c r="B20" s="796" t="s">
        <v>204</v>
      </c>
      <c r="C20" s="967"/>
      <c r="D20" s="967"/>
      <c r="E20" s="967"/>
      <c r="F20" s="967"/>
      <c r="G20" s="967"/>
    </row>
    <row r="21" spans="1:7" ht="12">
      <c r="A21" s="390" t="str">
        <f t="shared" si="0"/>
        <v>SPED Clinicians-Occupational Therapist (reimbursed by CPS)</v>
      </c>
      <c r="B21" s="796" t="s">
        <v>204</v>
      </c>
      <c r="C21" s="967"/>
      <c r="D21" s="967"/>
      <c r="E21" s="967"/>
      <c r="F21" s="967"/>
      <c r="G21" s="967"/>
    </row>
    <row r="22" spans="1:7" ht="12.75" customHeight="1">
      <c r="A22" s="390" t="str">
        <f t="shared" si="0"/>
        <v>SPED Clinicians-Nurse (reimbursed by CPS)</v>
      </c>
      <c r="B22" s="796" t="s">
        <v>204</v>
      </c>
      <c r="C22" s="967"/>
      <c r="D22" s="967"/>
      <c r="E22" s="967"/>
      <c r="F22" s="967"/>
      <c r="G22" s="967"/>
    </row>
    <row r="23" spans="1:7" ht="38.25" customHeight="1" thickBot="1">
      <c r="A23" s="139"/>
      <c r="B23" s="74"/>
      <c r="C23" s="74"/>
      <c r="D23" s="74"/>
      <c r="E23" s="74"/>
      <c r="F23" s="74"/>
      <c r="G23" s="74"/>
    </row>
    <row r="24" spans="1:7" ht="18.75" customHeight="1" thickBot="1">
      <c r="A24" s="962" t="str">
        <f>A16</f>
        <v>Clinician Position</v>
      </c>
      <c r="B24" s="1034" t="s">
        <v>456</v>
      </c>
      <c r="C24" s="1035"/>
      <c r="D24" s="1035"/>
      <c r="E24" s="1035"/>
      <c r="F24" s="1035"/>
      <c r="G24" s="1036"/>
    </row>
    <row r="25" spans="1:7" ht="12">
      <c r="A25" s="390" t="str">
        <f aca="true" t="shared" si="1" ref="A25:A30">A8</f>
        <v>SPED Clinicians-Psychologist (reimbursed by CPS)</v>
      </c>
      <c r="B25" s="805" t="s">
        <v>204</v>
      </c>
      <c r="C25" s="956">
        <f aca="true" t="shared" si="2" ref="C25:G30">C8*C17</f>
        <v>0</v>
      </c>
      <c r="D25" s="956">
        <f t="shared" si="2"/>
        <v>0</v>
      </c>
      <c r="E25" s="956">
        <f t="shared" si="2"/>
        <v>0</v>
      </c>
      <c r="F25" s="956">
        <f t="shared" si="2"/>
        <v>0</v>
      </c>
      <c r="G25" s="956">
        <f t="shared" si="2"/>
        <v>0</v>
      </c>
    </row>
    <row r="26" spans="1:7" ht="12">
      <c r="A26" s="391" t="str">
        <f t="shared" si="1"/>
        <v>SPED Clinicians-Social Worker (reimbursed by CPS)</v>
      </c>
      <c r="B26" s="805" t="s">
        <v>204</v>
      </c>
      <c r="C26" s="956">
        <f t="shared" si="2"/>
        <v>0</v>
      </c>
      <c r="D26" s="956">
        <f t="shared" si="2"/>
        <v>0</v>
      </c>
      <c r="E26" s="956">
        <f t="shared" si="2"/>
        <v>0</v>
      </c>
      <c r="F26" s="956">
        <f t="shared" si="2"/>
        <v>0</v>
      </c>
      <c r="G26" s="956">
        <f t="shared" si="2"/>
        <v>0</v>
      </c>
    </row>
    <row r="27" spans="1:7" ht="12">
      <c r="A27" s="391" t="str">
        <f t="shared" si="1"/>
        <v>SPED Clinicians-Speech Therapist (reimbursed by CPS)</v>
      </c>
      <c r="B27" s="805" t="s">
        <v>204</v>
      </c>
      <c r="C27" s="956">
        <f t="shared" si="2"/>
        <v>0</v>
      </c>
      <c r="D27" s="956">
        <f t="shared" si="2"/>
        <v>0</v>
      </c>
      <c r="E27" s="956">
        <f t="shared" si="2"/>
        <v>0</v>
      </c>
      <c r="F27" s="956">
        <f t="shared" si="2"/>
        <v>0</v>
      </c>
      <c r="G27" s="956">
        <f t="shared" si="2"/>
        <v>0</v>
      </c>
    </row>
    <row r="28" spans="1:7" ht="12">
      <c r="A28" s="391" t="str">
        <f t="shared" si="1"/>
        <v>SPED Clinicians-Physical Therapist (reimbursed by CPS)</v>
      </c>
      <c r="B28" s="805" t="s">
        <v>204</v>
      </c>
      <c r="C28" s="956">
        <f t="shared" si="2"/>
        <v>0</v>
      </c>
      <c r="D28" s="956">
        <f t="shared" si="2"/>
        <v>0</v>
      </c>
      <c r="E28" s="956">
        <f t="shared" si="2"/>
        <v>0</v>
      </c>
      <c r="F28" s="956">
        <f t="shared" si="2"/>
        <v>0</v>
      </c>
      <c r="G28" s="956">
        <f t="shared" si="2"/>
        <v>0</v>
      </c>
    </row>
    <row r="29" spans="1:7" ht="12">
      <c r="A29" s="391" t="str">
        <f t="shared" si="1"/>
        <v>SPED Clinicians-Occupational Therapist (reimbursed by CPS)</v>
      </c>
      <c r="B29" s="805" t="s">
        <v>204</v>
      </c>
      <c r="C29" s="956">
        <f t="shared" si="2"/>
        <v>0</v>
      </c>
      <c r="D29" s="956">
        <f t="shared" si="2"/>
        <v>0</v>
      </c>
      <c r="E29" s="956">
        <f t="shared" si="2"/>
        <v>0</v>
      </c>
      <c r="F29" s="956">
        <f t="shared" si="2"/>
        <v>0</v>
      </c>
      <c r="G29" s="956">
        <f t="shared" si="2"/>
        <v>0</v>
      </c>
    </row>
    <row r="30" spans="1:7" ht="12.75" thickBot="1">
      <c r="A30" s="391" t="str">
        <f t="shared" si="1"/>
        <v>SPED Clinicians-Nurse (reimbursed by CPS)</v>
      </c>
      <c r="B30" s="805" t="s">
        <v>204</v>
      </c>
      <c r="C30" s="956">
        <f t="shared" si="2"/>
        <v>0</v>
      </c>
      <c r="D30" s="956">
        <f t="shared" si="2"/>
        <v>0</v>
      </c>
      <c r="E30" s="956">
        <f t="shared" si="2"/>
        <v>0</v>
      </c>
      <c r="F30" s="956">
        <f t="shared" si="2"/>
        <v>0</v>
      </c>
      <c r="G30" s="956">
        <f t="shared" si="2"/>
        <v>0</v>
      </c>
    </row>
    <row r="31" spans="1:7" ht="20.25" customHeight="1" thickBot="1">
      <c r="A31" s="963" t="s">
        <v>452</v>
      </c>
      <c r="B31" s="955" t="s">
        <v>204</v>
      </c>
      <c r="C31" s="957">
        <f>SUM(C25:C30)</f>
        <v>0</v>
      </c>
      <c r="D31" s="957">
        <f>SUM(D25:D30)</f>
        <v>0</v>
      </c>
      <c r="E31" s="957">
        <f>SUM(E25:E30)</f>
        <v>0</v>
      </c>
      <c r="F31" s="957">
        <f>SUM(F25:F30)</f>
        <v>0</v>
      </c>
      <c r="G31" s="957">
        <f>SUM(G25:G30)</f>
        <v>0</v>
      </c>
    </row>
    <row r="32" spans="1:7" s="335" customFormat="1" ht="12">
      <c r="A32" s="966"/>
      <c r="B32" s="139"/>
      <c r="C32" s="139"/>
      <c r="D32" s="139"/>
      <c r="E32" s="139"/>
      <c r="F32" s="139"/>
      <c r="G32" s="139"/>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drawing r:id="rId1"/>
</worksheet>
</file>

<file path=xl/worksheets/sheet4.xml><?xml version="1.0" encoding="utf-8"?>
<worksheet xmlns="http://schemas.openxmlformats.org/spreadsheetml/2006/main" xmlns:r="http://schemas.openxmlformats.org/officeDocument/2006/relationships">
  <dimension ref="A1:AC242"/>
  <sheetViews>
    <sheetView workbookViewId="0" topLeftCell="A1">
      <selection activeCell="A1" sqref="A1:B1"/>
    </sheetView>
  </sheetViews>
  <sheetFormatPr defaultColWidth="8.8515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32" t="str">
        <f>'Budget with Assumptions'!$A$2</f>
        <v>STARS Project Engineering Academy Charter School</v>
      </c>
      <c r="B1" s="1033"/>
      <c r="C1" s="160"/>
      <c r="D1" s="160"/>
      <c r="E1" s="161"/>
      <c r="F1" s="162"/>
    </row>
    <row r="2" spans="1:6" ht="12.75">
      <c r="A2" s="163"/>
      <c r="B2" s="160"/>
      <c r="C2" s="160"/>
      <c r="D2" s="160"/>
      <c r="E2" s="161"/>
      <c r="F2" s="162"/>
    </row>
    <row r="3" spans="1:6" ht="12.75">
      <c r="A3" s="164"/>
      <c r="B3" s="160"/>
      <c r="C3" s="160"/>
      <c r="D3" s="160"/>
      <c r="E3" s="161"/>
      <c r="F3" s="162"/>
    </row>
    <row r="4" spans="1:6" ht="12.75">
      <c r="A4" s="164"/>
      <c r="B4" s="160"/>
      <c r="C4" s="160"/>
      <c r="D4" s="160"/>
      <c r="E4" s="161"/>
      <c r="F4" s="162"/>
    </row>
    <row r="5" spans="1:6" ht="13.5" thickBot="1">
      <c r="A5" s="164"/>
      <c r="B5" s="160"/>
      <c r="C5" s="160"/>
      <c r="D5" s="160"/>
      <c r="E5" s="161"/>
      <c r="F5" s="162"/>
    </row>
    <row r="6" spans="1:29" ht="13.5" thickBot="1">
      <c r="A6" s="1106" t="s">
        <v>168</v>
      </c>
      <c r="B6" s="1101"/>
      <c r="C6" s="1101"/>
      <c r="D6" s="1101"/>
      <c r="E6" s="1101"/>
      <c r="F6" s="1102"/>
      <c r="G6" s="1106" t="s">
        <v>168</v>
      </c>
      <c r="H6" s="1101"/>
      <c r="I6" s="1101"/>
      <c r="J6" s="1101"/>
      <c r="K6" s="1101"/>
      <c r="L6" s="1106" t="s">
        <v>168</v>
      </c>
      <c r="M6" s="1101"/>
      <c r="N6" s="1101"/>
      <c r="O6" s="1101"/>
      <c r="P6" s="1101"/>
      <c r="Q6" s="1102"/>
      <c r="R6" s="1100" t="s">
        <v>168</v>
      </c>
      <c r="S6" s="1101"/>
      <c r="T6" s="1101"/>
      <c r="U6" s="1101"/>
      <c r="V6" s="1101"/>
      <c r="W6" s="1102"/>
      <c r="X6" s="1100" t="s">
        <v>168</v>
      </c>
      <c r="Y6" s="1101"/>
      <c r="Z6" s="1101"/>
      <c r="AA6" s="1101"/>
      <c r="AB6" s="1101"/>
      <c r="AC6" s="1102"/>
    </row>
    <row r="7" spans="1:29" ht="22.5" customHeight="1" thickBot="1">
      <c r="A7" s="1103">
        <f>'Budget with Assumptions'!L9</f>
        <v>2017</v>
      </c>
      <c r="B7" s="1104"/>
      <c r="C7" s="1104"/>
      <c r="D7" s="1104"/>
      <c r="E7" s="1104"/>
      <c r="F7" s="1105"/>
      <c r="G7" s="1103">
        <f>'Budget with Assumptions'!N9</f>
        <v>2018</v>
      </c>
      <c r="H7" s="1104"/>
      <c r="I7" s="1104"/>
      <c r="J7" s="1104"/>
      <c r="K7" s="1104"/>
      <c r="L7" s="1103">
        <f>'Budget with Assumptions'!P9</f>
        <v>2019</v>
      </c>
      <c r="M7" s="1104"/>
      <c r="N7" s="1104"/>
      <c r="O7" s="1104"/>
      <c r="P7" s="1104"/>
      <c r="Q7" s="1105"/>
      <c r="R7" s="1104">
        <f>'Budget with Assumptions'!R9</f>
        <v>2020</v>
      </c>
      <c r="S7" s="1104"/>
      <c r="T7" s="1104"/>
      <c r="U7" s="1104"/>
      <c r="V7" s="1104"/>
      <c r="W7" s="1105"/>
      <c r="X7" s="1104">
        <f>'Budget with Assumptions'!T9</f>
        <v>2021</v>
      </c>
      <c r="Y7" s="1104"/>
      <c r="Z7" s="1104"/>
      <c r="AA7" s="1104"/>
      <c r="AB7" s="1104"/>
      <c r="AC7" s="1105"/>
    </row>
    <row r="8" spans="1:29" ht="13.5" thickBot="1">
      <c r="A8" s="255"/>
      <c r="B8" s="256"/>
      <c r="C8" s="256"/>
      <c r="D8" s="256"/>
      <c r="E8" s="257"/>
      <c r="F8" s="442"/>
      <c r="G8" s="443"/>
      <c r="H8" s="238"/>
      <c r="I8" s="238"/>
      <c r="J8" s="238"/>
      <c r="K8" s="238"/>
      <c r="L8" s="443"/>
      <c r="M8" s="238"/>
      <c r="N8" s="238"/>
      <c r="O8" s="238"/>
      <c r="P8" s="238"/>
      <c r="Q8" s="242"/>
      <c r="R8" s="238"/>
      <c r="S8" s="238"/>
      <c r="T8" s="238"/>
      <c r="U8" s="238"/>
      <c r="V8" s="238"/>
      <c r="W8" s="242"/>
      <c r="X8" s="238"/>
      <c r="Y8" s="238"/>
      <c r="Z8" s="238"/>
      <c r="AA8" s="238"/>
      <c r="AB8" s="238"/>
      <c r="AC8" s="242"/>
    </row>
    <row r="9" spans="1:29" ht="28.5" customHeight="1" thickBot="1">
      <c r="A9" s="1082">
        <f>A7</f>
        <v>2017</v>
      </c>
      <c r="B9" s="1083"/>
      <c r="C9" s="166"/>
      <c r="D9" s="166"/>
      <c r="E9" s="167"/>
      <c r="F9" s="200"/>
      <c r="G9" s="1082">
        <f>G7</f>
        <v>2018</v>
      </c>
      <c r="H9" s="1083"/>
      <c r="I9" s="166"/>
      <c r="J9" s="166"/>
      <c r="K9" s="167"/>
      <c r="L9" s="1082">
        <f>L7</f>
        <v>2019</v>
      </c>
      <c r="M9" s="1083"/>
      <c r="N9" s="166"/>
      <c r="O9" s="166"/>
      <c r="P9" s="167"/>
      <c r="Q9" s="249"/>
      <c r="R9" s="1098">
        <f>R7</f>
        <v>2020</v>
      </c>
      <c r="S9" s="1083"/>
      <c r="T9" s="166"/>
      <c r="U9" s="166"/>
      <c r="V9" s="167"/>
      <c r="W9" s="249"/>
      <c r="X9" s="1098">
        <f>X7</f>
        <v>2021</v>
      </c>
      <c r="Y9" s="1083"/>
      <c r="Z9" s="166"/>
      <c r="AA9" s="166"/>
      <c r="AB9" s="167"/>
      <c r="AC9" s="249"/>
    </row>
    <row r="10" spans="1:29" ht="13.5" thickBot="1">
      <c r="A10" s="392" t="s">
        <v>86</v>
      </c>
      <c r="B10" s="313" t="s">
        <v>432</v>
      </c>
      <c r="C10" s="166"/>
      <c r="D10" s="166"/>
      <c r="E10" s="167"/>
      <c r="F10" s="200"/>
      <c r="G10" s="392" t="s">
        <v>86</v>
      </c>
      <c r="H10" s="313" t="s">
        <v>432</v>
      </c>
      <c r="I10" s="166"/>
      <c r="J10" s="166"/>
      <c r="K10" s="167"/>
      <c r="L10" s="392" t="s">
        <v>86</v>
      </c>
      <c r="M10" s="313" t="s">
        <v>432</v>
      </c>
      <c r="N10" s="166"/>
      <c r="O10" s="166"/>
      <c r="P10" s="167"/>
      <c r="Q10" s="249"/>
      <c r="R10" s="393" t="s">
        <v>86</v>
      </c>
      <c r="S10" s="313" t="s">
        <v>432</v>
      </c>
      <c r="T10" s="166"/>
      <c r="U10" s="166"/>
      <c r="V10" s="167"/>
      <c r="W10" s="249"/>
      <c r="X10" s="393" t="s">
        <v>86</v>
      </c>
      <c r="Y10" s="313" t="s">
        <v>432</v>
      </c>
      <c r="Z10" s="166"/>
      <c r="AA10" s="166"/>
      <c r="AB10" s="167"/>
      <c r="AC10" s="249"/>
    </row>
    <row r="11" spans="1:29" ht="12.75">
      <c r="A11" s="430" t="s">
        <v>87</v>
      </c>
      <c r="B11" s="842">
        <v>5367.98</v>
      </c>
      <c r="C11" s="166"/>
      <c r="D11" s="166"/>
      <c r="E11" s="167"/>
      <c r="F11" s="200"/>
      <c r="G11" s="430" t="str">
        <f aca="true" t="shared" si="0" ref="G11:G16">A11</f>
        <v>SBB Grades K-3</v>
      </c>
      <c r="H11" s="842">
        <f>$B$11</f>
        <v>5367.98</v>
      </c>
      <c r="I11" s="166"/>
      <c r="J11" s="166"/>
      <c r="K11" s="167"/>
      <c r="L11" s="430" t="str">
        <f aca="true" t="shared" si="1" ref="L11:L16">A11</f>
        <v>SBB Grades K-3</v>
      </c>
      <c r="M11" s="842">
        <f>$B$11</f>
        <v>5367.98</v>
      </c>
      <c r="N11" s="166"/>
      <c r="O11" s="166"/>
      <c r="P11" s="167"/>
      <c r="Q11" s="249"/>
      <c r="R11" s="441" t="str">
        <f aca="true" t="shared" si="2" ref="R11:R16">A11</f>
        <v>SBB Grades K-3</v>
      </c>
      <c r="S11" s="842">
        <f>$B$11</f>
        <v>5367.98</v>
      </c>
      <c r="T11" s="166"/>
      <c r="U11" s="166"/>
      <c r="V11" s="167"/>
      <c r="W11" s="249"/>
      <c r="X11" s="441" t="str">
        <f aca="true" t="shared" si="3" ref="X11:X16">A11</f>
        <v>SBB Grades K-3</v>
      </c>
      <c r="Y11" s="842">
        <f>$B$11</f>
        <v>5367.98</v>
      </c>
      <c r="Z11" s="166"/>
      <c r="AA11" s="166"/>
      <c r="AB11" s="167"/>
      <c r="AC11" s="249"/>
    </row>
    <row r="12" spans="1:29" ht="12.75">
      <c r="A12" s="431" t="s">
        <v>88</v>
      </c>
      <c r="B12" s="843">
        <v>2111.98</v>
      </c>
      <c r="C12" s="166"/>
      <c r="D12" s="166"/>
      <c r="E12" s="167"/>
      <c r="F12" s="200"/>
      <c r="G12" s="430" t="str">
        <f t="shared" si="0"/>
        <v>Non-SBB K-3</v>
      </c>
      <c r="H12" s="842">
        <f>$B$12</f>
        <v>2111.98</v>
      </c>
      <c r="I12" s="166"/>
      <c r="J12" s="166"/>
      <c r="K12" s="167"/>
      <c r="L12" s="430" t="str">
        <f t="shared" si="1"/>
        <v>Non-SBB K-3</v>
      </c>
      <c r="M12" s="842">
        <f>$B$12</f>
        <v>2111.98</v>
      </c>
      <c r="N12" s="166"/>
      <c r="O12" s="166"/>
      <c r="P12" s="167"/>
      <c r="Q12" s="249"/>
      <c r="R12" s="441" t="str">
        <f t="shared" si="2"/>
        <v>Non-SBB K-3</v>
      </c>
      <c r="S12" s="842">
        <f>$B$12</f>
        <v>2111.98</v>
      </c>
      <c r="T12" s="166"/>
      <c r="U12" s="166"/>
      <c r="V12" s="167"/>
      <c r="W12" s="249"/>
      <c r="X12" s="441" t="str">
        <f t="shared" si="3"/>
        <v>Non-SBB K-3</v>
      </c>
      <c r="Y12" s="842">
        <f>$B$12</f>
        <v>2111.98</v>
      </c>
      <c r="Z12" s="166"/>
      <c r="AA12" s="166"/>
      <c r="AB12" s="167"/>
      <c r="AC12" s="249"/>
    </row>
    <row r="13" spans="1:29" ht="12.75">
      <c r="A13" s="258" t="s">
        <v>278</v>
      </c>
      <c r="B13" s="949">
        <v>5016.8</v>
      </c>
      <c r="C13" s="166"/>
      <c r="D13" s="166"/>
      <c r="E13" s="167"/>
      <c r="F13" s="200"/>
      <c r="G13" s="947" t="str">
        <f t="shared" si="0"/>
        <v>SBB Grades 4-8 (for schools that do NOT have HS grades)</v>
      </c>
      <c r="H13" s="950">
        <f>$B$13</f>
        <v>5016.8</v>
      </c>
      <c r="I13" s="166"/>
      <c r="J13" s="166"/>
      <c r="K13" s="167"/>
      <c r="L13" s="947" t="str">
        <f t="shared" si="1"/>
        <v>SBB Grades 4-8 (for schools that do NOT have HS grades)</v>
      </c>
      <c r="M13" s="950">
        <f>$B$13</f>
        <v>5016.8</v>
      </c>
      <c r="N13" s="166"/>
      <c r="O13" s="166"/>
      <c r="P13" s="167"/>
      <c r="Q13" s="249"/>
      <c r="R13" s="951" t="str">
        <f t="shared" si="2"/>
        <v>SBB Grades 4-8 (for schools that do NOT have HS grades)</v>
      </c>
      <c r="S13" s="950">
        <f>$B$13</f>
        <v>5016.8</v>
      </c>
      <c r="T13" s="166"/>
      <c r="U13" s="166"/>
      <c r="V13" s="167"/>
      <c r="W13" s="249"/>
      <c r="X13" s="951" t="str">
        <f t="shared" si="3"/>
        <v>SBB Grades 4-8 (for schools that do NOT have HS grades)</v>
      </c>
      <c r="Y13" s="950">
        <f>$B$13</f>
        <v>5016.8</v>
      </c>
      <c r="Z13" s="166"/>
      <c r="AA13" s="166"/>
      <c r="AB13" s="167"/>
      <c r="AC13" s="249"/>
    </row>
    <row r="14" spans="1:29" ht="12.75">
      <c r="A14" s="258" t="s">
        <v>279</v>
      </c>
      <c r="B14" s="949">
        <v>1973.81</v>
      </c>
      <c r="C14" s="166"/>
      <c r="D14" s="166"/>
      <c r="E14" s="167"/>
      <c r="F14" s="200"/>
      <c r="G14" s="947" t="str">
        <f t="shared" si="0"/>
        <v>Non-SBB Grades 4-8 (for schools that do NOT have HS grades)</v>
      </c>
      <c r="H14" s="950">
        <f>$B$14</f>
        <v>1973.81</v>
      </c>
      <c r="I14" s="166"/>
      <c r="J14" s="166"/>
      <c r="K14" s="167"/>
      <c r="L14" s="947" t="str">
        <f t="shared" si="1"/>
        <v>Non-SBB Grades 4-8 (for schools that do NOT have HS grades)</v>
      </c>
      <c r="M14" s="950">
        <f>$B$14</f>
        <v>1973.81</v>
      </c>
      <c r="N14" s="166"/>
      <c r="O14" s="166"/>
      <c r="P14" s="167"/>
      <c r="Q14" s="249"/>
      <c r="R14" s="951" t="str">
        <f t="shared" si="2"/>
        <v>Non-SBB Grades 4-8 (for schools that do NOT have HS grades)</v>
      </c>
      <c r="S14" s="950">
        <f>$B$14</f>
        <v>1973.81</v>
      </c>
      <c r="T14" s="166"/>
      <c r="U14" s="166"/>
      <c r="V14" s="167"/>
      <c r="W14" s="249"/>
      <c r="X14" s="951" t="str">
        <f t="shared" si="3"/>
        <v>Non-SBB Grades 4-8 (for schools that do NOT have HS grades)</v>
      </c>
      <c r="Y14" s="950">
        <f>$B$14</f>
        <v>1973.81</v>
      </c>
      <c r="Z14" s="166"/>
      <c r="AA14" s="166"/>
      <c r="AB14" s="167"/>
      <c r="AC14" s="249"/>
    </row>
    <row r="15" spans="1:29" ht="12.75">
      <c r="A15" s="431" t="s">
        <v>89</v>
      </c>
      <c r="B15" s="843">
        <v>6220.83</v>
      </c>
      <c r="C15" s="166"/>
      <c r="D15" s="166"/>
      <c r="E15" s="167"/>
      <c r="F15" s="200"/>
      <c r="G15" s="430" t="str">
        <f t="shared" si="0"/>
        <v>SBB High School (Grades 9-12 or 6-12)</v>
      </c>
      <c r="H15" s="843">
        <f>$B$15</f>
        <v>6220.83</v>
      </c>
      <c r="I15" s="166"/>
      <c r="J15" s="166"/>
      <c r="K15" s="167"/>
      <c r="L15" s="430" t="str">
        <f t="shared" si="1"/>
        <v>SBB High School (Grades 9-12 or 6-12)</v>
      </c>
      <c r="M15" s="843">
        <f>$B$15</f>
        <v>6220.83</v>
      </c>
      <c r="N15" s="166"/>
      <c r="O15" s="166"/>
      <c r="P15" s="167"/>
      <c r="Q15" s="249"/>
      <c r="R15" s="441" t="str">
        <f t="shared" si="2"/>
        <v>SBB High School (Grades 9-12 or 6-12)</v>
      </c>
      <c r="S15" s="843">
        <f>$B$15</f>
        <v>6220.83</v>
      </c>
      <c r="T15" s="166"/>
      <c r="U15" s="166"/>
      <c r="V15" s="167"/>
      <c r="W15" s="249"/>
      <c r="X15" s="441" t="str">
        <f t="shared" si="3"/>
        <v>SBB High School (Grades 9-12 or 6-12)</v>
      </c>
      <c r="Y15" s="843">
        <f>$B$15</f>
        <v>6220.83</v>
      </c>
      <c r="Z15" s="166"/>
      <c r="AA15" s="166"/>
      <c r="AB15" s="167"/>
      <c r="AC15" s="249"/>
    </row>
    <row r="16" spans="1:29" ht="12.75">
      <c r="A16" s="946" t="s">
        <v>90</v>
      </c>
      <c r="B16" s="843">
        <v>2447.52</v>
      </c>
      <c r="C16" s="166"/>
      <c r="D16" s="166"/>
      <c r="E16" s="167"/>
      <c r="F16" s="200"/>
      <c r="G16" s="430" t="str">
        <f t="shared" si="0"/>
        <v>Non-SBB High School (Grades 9-12 or 6-12)</v>
      </c>
      <c r="H16" s="843">
        <f>$B$16</f>
        <v>2447.52</v>
      </c>
      <c r="I16" s="166"/>
      <c r="J16" s="166"/>
      <c r="K16" s="167"/>
      <c r="L16" s="430" t="str">
        <f t="shared" si="1"/>
        <v>Non-SBB High School (Grades 9-12 or 6-12)</v>
      </c>
      <c r="M16" s="843">
        <f>$B$16</f>
        <v>2447.52</v>
      </c>
      <c r="N16" s="166"/>
      <c r="O16" s="166"/>
      <c r="P16" s="167"/>
      <c r="Q16" s="249"/>
      <c r="R16" s="441" t="str">
        <f t="shared" si="2"/>
        <v>Non-SBB High School (Grades 9-12 or 6-12)</v>
      </c>
      <c r="S16" s="843">
        <f>$B$16</f>
        <v>2447.52</v>
      </c>
      <c r="T16" s="166"/>
      <c r="U16" s="166"/>
      <c r="V16" s="167"/>
      <c r="W16" s="249"/>
      <c r="X16" s="441" t="str">
        <f t="shared" si="3"/>
        <v>Non-SBB High School (Grades 9-12 or 6-12)</v>
      </c>
      <c r="Y16" s="843">
        <f>B16</f>
        <v>2447.52</v>
      </c>
      <c r="Z16" s="166"/>
      <c r="AA16" s="166"/>
      <c r="AB16" s="167"/>
      <c r="AC16" s="249"/>
    </row>
    <row r="17" spans="1:29" ht="12.75">
      <c r="A17" s="948"/>
      <c r="B17" s="945"/>
      <c r="C17" s="166"/>
      <c r="D17" s="166"/>
      <c r="E17" s="167"/>
      <c r="F17" s="200"/>
      <c r="G17" s="948"/>
      <c r="H17" s="945"/>
      <c r="I17" s="166"/>
      <c r="J17" s="166"/>
      <c r="K17" s="167"/>
      <c r="L17" s="449"/>
      <c r="M17" s="440"/>
      <c r="N17" s="166"/>
      <c r="O17" s="166"/>
      <c r="P17" s="167"/>
      <c r="Q17" s="249"/>
      <c r="R17" s="163"/>
      <c r="S17" s="440"/>
      <c r="T17" s="166"/>
      <c r="U17" s="166"/>
      <c r="V17" s="167"/>
      <c r="W17" s="249"/>
      <c r="X17" s="163"/>
      <c r="Y17" s="440"/>
      <c r="Z17" s="166"/>
      <c r="AA17" s="166"/>
      <c r="AB17" s="167"/>
      <c r="AC17" s="249"/>
    </row>
    <row r="18" spans="1:29" ht="12.75">
      <c r="A18" s="449"/>
      <c r="B18" s="945"/>
      <c r="C18" s="166"/>
      <c r="D18" s="166"/>
      <c r="E18" s="167"/>
      <c r="F18" s="200"/>
      <c r="G18" s="449"/>
      <c r="H18" s="945"/>
      <c r="I18" s="166"/>
      <c r="J18" s="166"/>
      <c r="K18" s="167"/>
      <c r="L18" s="449"/>
      <c r="M18" s="440"/>
      <c r="N18" s="166"/>
      <c r="O18" s="166"/>
      <c r="P18" s="167"/>
      <c r="Q18" s="249"/>
      <c r="R18" s="163"/>
      <c r="S18" s="440"/>
      <c r="T18" s="166"/>
      <c r="U18" s="166"/>
      <c r="V18" s="167"/>
      <c r="W18" s="249"/>
      <c r="X18" s="163"/>
      <c r="Y18" s="440"/>
      <c r="Z18" s="166"/>
      <c r="AA18" s="166"/>
      <c r="AB18" s="167"/>
      <c r="AC18" s="249"/>
    </row>
    <row r="19" spans="1:29" ht="12.75">
      <c r="A19" s="259"/>
      <c r="B19" s="166"/>
      <c r="C19" s="166"/>
      <c r="D19" s="166"/>
      <c r="E19" s="167"/>
      <c r="F19" s="200"/>
      <c r="G19" s="165"/>
      <c r="H19" s="166"/>
      <c r="I19" s="166"/>
      <c r="J19" s="166"/>
      <c r="K19" s="167"/>
      <c r="L19" s="259"/>
      <c r="M19" s="166"/>
      <c r="N19" s="166"/>
      <c r="O19" s="166"/>
      <c r="P19" s="167"/>
      <c r="Q19" s="249"/>
      <c r="R19" s="165"/>
      <c r="S19" s="166"/>
      <c r="T19" s="166"/>
      <c r="U19" s="166"/>
      <c r="V19" s="167"/>
      <c r="W19" s="249"/>
      <c r="X19" s="165"/>
      <c r="Y19" s="166"/>
      <c r="Z19" s="166"/>
      <c r="AA19" s="166"/>
      <c r="AB19" s="167"/>
      <c r="AC19" s="249"/>
    </row>
    <row r="20" spans="1:29" ht="15.75" thickBot="1">
      <c r="A20" s="260"/>
      <c r="B20" s="170"/>
      <c r="C20" s="170"/>
      <c r="D20" s="170"/>
      <c r="E20" s="167"/>
      <c r="F20" s="200"/>
      <c r="G20" s="169"/>
      <c r="H20" s="170"/>
      <c r="I20" s="170"/>
      <c r="J20" s="170"/>
      <c r="K20" s="167"/>
      <c r="L20" s="260"/>
      <c r="M20" s="170"/>
      <c r="N20" s="170"/>
      <c r="O20" s="170"/>
      <c r="P20" s="167"/>
      <c r="Q20" s="249"/>
      <c r="R20" s="169"/>
      <c r="S20" s="170"/>
      <c r="T20" s="170"/>
      <c r="U20" s="170"/>
      <c r="V20" s="167"/>
      <c r="W20" s="249"/>
      <c r="X20" s="169"/>
      <c r="Y20" s="170"/>
      <c r="Z20" s="170"/>
      <c r="AA20" s="170"/>
      <c r="AB20" s="167"/>
      <c r="AC20" s="249"/>
    </row>
    <row r="21" spans="1:29" ht="15.75" customHeight="1">
      <c r="A21" s="1078">
        <f>A7</f>
        <v>2017</v>
      </c>
      <c r="B21" s="1079"/>
      <c r="C21" s="1079"/>
      <c r="D21" s="1079"/>
      <c r="E21" s="1079"/>
      <c r="F21" s="245"/>
      <c r="G21" s="1085">
        <f>G7</f>
        <v>2018</v>
      </c>
      <c r="H21" s="1085"/>
      <c r="I21" s="1085"/>
      <c r="J21" s="1085"/>
      <c r="K21" s="1085"/>
      <c r="L21" s="1079">
        <f>L7</f>
        <v>2019</v>
      </c>
      <c r="M21" s="1079"/>
      <c r="N21" s="1079"/>
      <c r="O21" s="1079"/>
      <c r="P21" s="1079"/>
      <c r="Q21" s="249"/>
      <c r="R21" s="1079">
        <f>R7</f>
        <v>2020</v>
      </c>
      <c r="S21" s="1079"/>
      <c r="T21" s="1079"/>
      <c r="U21" s="1079"/>
      <c r="V21" s="1079"/>
      <c r="W21" s="249"/>
      <c r="X21" s="1079">
        <f>X7</f>
        <v>2021</v>
      </c>
      <c r="Y21" s="1079"/>
      <c r="Z21" s="1079"/>
      <c r="AA21" s="1079"/>
      <c r="AB21" s="1079"/>
      <c r="AC21" s="249"/>
    </row>
    <row r="22" spans="1:29" ht="12.75" thickBot="1">
      <c r="A22" s="1080"/>
      <c r="B22" s="1081"/>
      <c r="C22" s="1081"/>
      <c r="D22" s="1081"/>
      <c r="E22" s="1081"/>
      <c r="F22" s="243"/>
      <c r="G22" s="1086"/>
      <c r="H22" s="1086"/>
      <c r="I22" s="1086"/>
      <c r="J22" s="1086"/>
      <c r="K22" s="1086"/>
      <c r="L22" s="1081"/>
      <c r="M22" s="1081"/>
      <c r="N22" s="1081"/>
      <c r="O22" s="1081"/>
      <c r="P22" s="1081"/>
      <c r="Q22" s="243"/>
      <c r="R22" s="1081"/>
      <c r="S22" s="1081"/>
      <c r="T22" s="1081"/>
      <c r="U22" s="1081"/>
      <c r="V22" s="1081"/>
      <c r="W22" s="243"/>
      <c r="X22" s="1081"/>
      <c r="Y22" s="1081"/>
      <c r="Z22" s="1081"/>
      <c r="AA22" s="1081"/>
      <c r="AB22" s="1081"/>
      <c r="AC22" s="243"/>
    </row>
    <row r="23" spans="1:29" ht="15.75" thickBot="1">
      <c r="A23" s="1055" t="s">
        <v>91</v>
      </c>
      <c r="B23" s="1056"/>
      <c r="C23" s="1056"/>
      <c r="D23" s="1056"/>
      <c r="E23" s="1056"/>
      <c r="F23" s="246"/>
      <c r="G23" s="1056" t="s">
        <v>91</v>
      </c>
      <c r="H23" s="1056"/>
      <c r="I23" s="1056"/>
      <c r="J23" s="1056"/>
      <c r="K23" s="1056"/>
      <c r="L23" s="1056" t="s">
        <v>91</v>
      </c>
      <c r="M23" s="1056"/>
      <c r="N23" s="1056"/>
      <c r="O23" s="1056"/>
      <c r="P23" s="1056"/>
      <c r="Q23" s="246"/>
      <c r="R23" s="1056" t="s">
        <v>91</v>
      </c>
      <c r="S23" s="1056"/>
      <c r="T23" s="1056"/>
      <c r="U23" s="1056"/>
      <c r="V23" s="1056"/>
      <c r="W23" s="246"/>
      <c r="X23" s="1056" t="s">
        <v>91</v>
      </c>
      <c r="Y23" s="1056"/>
      <c r="Z23" s="1056"/>
      <c r="AA23" s="1056"/>
      <c r="AB23" s="1056"/>
      <c r="AC23" s="246"/>
    </row>
    <row r="24" spans="1:29" ht="15.75" thickBot="1">
      <c r="A24" s="172"/>
      <c r="B24" s="173"/>
      <c r="C24" s="173"/>
      <c r="D24" s="171"/>
      <c r="E24" s="171"/>
      <c r="F24" s="246"/>
      <c r="G24" s="171"/>
      <c r="H24" s="173"/>
      <c r="I24" s="173"/>
      <c r="J24" s="171"/>
      <c r="K24" s="171"/>
      <c r="L24" s="1010"/>
      <c r="M24" s="195"/>
      <c r="N24" s="173"/>
      <c r="O24" s="171"/>
      <c r="P24" s="171"/>
      <c r="Q24" s="246"/>
      <c r="R24" s="171"/>
      <c r="S24" s="173"/>
      <c r="T24" s="173"/>
      <c r="U24" s="171"/>
      <c r="V24" s="171"/>
      <c r="W24" s="246"/>
      <c r="X24" s="171"/>
      <c r="Y24" s="173"/>
      <c r="Z24" s="173"/>
      <c r="AA24" s="171"/>
      <c r="AB24" s="171"/>
      <c r="AC24" s="246"/>
    </row>
    <row r="25" spans="1:29" ht="27.75" thickBot="1">
      <c r="A25" s="554" t="s">
        <v>92</v>
      </c>
      <c r="B25" s="558" t="s">
        <v>93</v>
      </c>
      <c r="C25" s="559" t="s">
        <v>94</v>
      </c>
      <c r="D25" s="554" t="s">
        <v>95</v>
      </c>
      <c r="E25" s="107"/>
      <c r="F25" s="247"/>
      <c r="G25" s="560" t="s">
        <v>92</v>
      </c>
      <c r="H25" s="558" t="s">
        <v>93</v>
      </c>
      <c r="I25" s="559" t="s">
        <v>94</v>
      </c>
      <c r="J25" s="554" t="s">
        <v>95</v>
      </c>
      <c r="K25" s="107"/>
      <c r="L25" s="554" t="s">
        <v>92</v>
      </c>
      <c r="M25" s="558" t="s">
        <v>93</v>
      </c>
      <c r="N25" s="559" t="s">
        <v>94</v>
      </c>
      <c r="O25" s="554" t="s">
        <v>95</v>
      </c>
      <c r="P25" s="107"/>
      <c r="Q25" s="247"/>
      <c r="R25" s="560" t="s">
        <v>92</v>
      </c>
      <c r="S25" s="558" t="s">
        <v>93</v>
      </c>
      <c r="T25" s="559" t="s">
        <v>94</v>
      </c>
      <c r="U25" s="554" t="s">
        <v>95</v>
      </c>
      <c r="V25" s="107"/>
      <c r="W25" s="247"/>
      <c r="X25" s="560" t="s">
        <v>92</v>
      </c>
      <c r="Y25" s="558" t="s">
        <v>93</v>
      </c>
      <c r="Z25" s="559" t="s">
        <v>94</v>
      </c>
      <c r="AA25" s="554" t="s">
        <v>95</v>
      </c>
      <c r="AB25" s="107"/>
      <c r="AC25" s="247"/>
    </row>
    <row r="26" spans="1:29" ht="12">
      <c r="A26" s="555" t="s">
        <v>96</v>
      </c>
      <c r="B26" s="175"/>
      <c r="C26" s="175"/>
      <c r="D26" s="532">
        <f>B26+C26</f>
        <v>0</v>
      </c>
      <c r="E26" s="107"/>
      <c r="F26" s="248"/>
      <c r="G26" s="561" t="s">
        <v>96</v>
      </c>
      <c r="H26" s="175"/>
      <c r="I26" s="175"/>
      <c r="J26" s="532">
        <f>H26+I26</f>
        <v>0</v>
      </c>
      <c r="K26" s="107"/>
      <c r="L26" s="555" t="s">
        <v>96</v>
      </c>
      <c r="M26" s="175"/>
      <c r="N26" s="175"/>
      <c r="O26" s="532">
        <f>M26+N26</f>
        <v>0</v>
      </c>
      <c r="P26" s="107"/>
      <c r="Q26" s="248"/>
      <c r="R26" s="561" t="s">
        <v>96</v>
      </c>
      <c r="S26" s="175"/>
      <c r="T26" s="175"/>
      <c r="U26" s="532">
        <f>S26+T26</f>
        <v>0</v>
      </c>
      <c r="V26" s="107"/>
      <c r="W26" s="248"/>
      <c r="X26" s="561" t="s">
        <v>96</v>
      </c>
      <c r="Y26" s="175"/>
      <c r="Z26" s="175"/>
      <c r="AA26" s="532">
        <f>Y26+Z26</f>
        <v>0</v>
      </c>
      <c r="AB26" s="107"/>
      <c r="AC26" s="248"/>
    </row>
    <row r="27" spans="1:29" ht="12">
      <c r="A27" s="531">
        <v>1</v>
      </c>
      <c r="B27" s="177"/>
      <c r="C27" s="177"/>
      <c r="D27" s="533">
        <f>B27+C27</f>
        <v>0</v>
      </c>
      <c r="E27" s="107"/>
      <c r="F27" s="249"/>
      <c r="G27" s="562">
        <v>1</v>
      </c>
      <c r="H27" s="175"/>
      <c r="I27" s="177"/>
      <c r="J27" s="533">
        <f>H27+I27</f>
        <v>0</v>
      </c>
      <c r="K27" s="107"/>
      <c r="L27" s="531">
        <v>1</v>
      </c>
      <c r="M27" s="175"/>
      <c r="N27" s="177"/>
      <c r="O27" s="533">
        <f>M27+N27</f>
        <v>0</v>
      </c>
      <c r="P27" s="107"/>
      <c r="Q27" s="249"/>
      <c r="R27" s="562">
        <v>1</v>
      </c>
      <c r="S27" s="175"/>
      <c r="T27" s="177"/>
      <c r="U27" s="533">
        <f>S27+T27</f>
        <v>0</v>
      </c>
      <c r="V27" s="107"/>
      <c r="W27" s="249"/>
      <c r="X27" s="562">
        <v>1</v>
      </c>
      <c r="Y27" s="175"/>
      <c r="Z27" s="177"/>
      <c r="AA27" s="533">
        <f>Y27+Z27</f>
        <v>0</v>
      </c>
      <c r="AB27" s="107"/>
      <c r="AC27" s="249"/>
    </row>
    <row r="28" spans="1:29" ht="12">
      <c r="A28" s="531">
        <v>2</v>
      </c>
      <c r="B28" s="177"/>
      <c r="C28" s="177"/>
      <c r="D28" s="533">
        <f>B28+C28</f>
        <v>0</v>
      </c>
      <c r="E28" s="107"/>
      <c r="F28" s="249"/>
      <c r="G28" s="562">
        <v>2</v>
      </c>
      <c r="H28" s="175"/>
      <c r="I28" s="177"/>
      <c r="J28" s="533">
        <f>H28+I28</f>
        <v>0</v>
      </c>
      <c r="K28" s="107"/>
      <c r="L28" s="531">
        <v>2</v>
      </c>
      <c r="M28" s="175"/>
      <c r="N28" s="177"/>
      <c r="O28" s="533">
        <f>M28+N28</f>
        <v>0</v>
      </c>
      <c r="P28" s="107"/>
      <c r="Q28" s="249"/>
      <c r="R28" s="562">
        <v>2</v>
      </c>
      <c r="S28" s="175"/>
      <c r="T28" s="177"/>
      <c r="U28" s="533">
        <f>S28+T28</f>
        <v>0</v>
      </c>
      <c r="V28" s="107"/>
      <c r="W28" s="249"/>
      <c r="X28" s="562">
        <v>2</v>
      </c>
      <c r="Y28" s="175"/>
      <c r="Z28" s="177"/>
      <c r="AA28" s="533">
        <f>Y28+Z28</f>
        <v>0</v>
      </c>
      <c r="AB28" s="107"/>
      <c r="AC28" s="249"/>
    </row>
    <row r="29" spans="1:29" ht="12.75" thickBot="1">
      <c r="A29" s="531">
        <v>3</v>
      </c>
      <c r="B29" s="177"/>
      <c r="C29" s="177"/>
      <c r="D29" s="534">
        <f>B29+C29</f>
        <v>0</v>
      </c>
      <c r="E29" s="107"/>
      <c r="F29" s="249"/>
      <c r="G29" s="562">
        <v>3</v>
      </c>
      <c r="H29" s="175"/>
      <c r="I29" s="177"/>
      <c r="J29" s="534">
        <f>H29+I29</f>
        <v>0</v>
      </c>
      <c r="K29" s="107"/>
      <c r="L29" s="531">
        <v>3</v>
      </c>
      <c r="M29" s="175"/>
      <c r="N29" s="177"/>
      <c r="O29" s="534">
        <f>M29+N29</f>
        <v>0</v>
      </c>
      <c r="P29" s="107"/>
      <c r="Q29" s="249"/>
      <c r="R29" s="562">
        <v>3</v>
      </c>
      <c r="S29" s="175"/>
      <c r="T29" s="177"/>
      <c r="U29" s="534">
        <f>S29+T29</f>
        <v>0</v>
      </c>
      <c r="V29" s="107"/>
      <c r="W29" s="249"/>
      <c r="X29" s="562">
        <v>3</v>
      </c>
      <c r="Y29" s="175"/>
      <c r="Z29" s="177"/>
      <c r="AA29" s="534">
        <f>Y29+Z29</f>
        <v>0</v>
      </c>
      <c r="AB29" s="107"/>
      <c r="AC29" s="249"/>
    </row>
    <row r="30" spans="1:29" ht="12.75" thickBot="1">
      <c r="A30" s="556" t="s">
        <v>97</v>
      </c>
      <c r="B30" s="536">
        <f>SUM(B26:B29)</f>
        <v>0</v>
      </c>
      <c r="C30" s="537">
        <f>SUM(C26:C29)</f>
        <v>0</v>
      </c>
      <c r="D30" s="535">
        <f>B30+C30</f>
        <v>0</v>
      </c>
      <c r="E30" s="107"/>
      <c r="F30" s="249"/>
      <c r="G30" s="563" t="s">
        <v>97</v>
      </c>
      <c r="H30" s="536">
        <f>SUM(H26:H29)</f>
        <v>0</v>
      </c>
      <c r="I30" s="537">
        <f>SUM(I26:I29)</f>
        <v>0</v>
      </c>
      <c r="J30" s="535">
        <f>H30+I30</f>
        <v>0</v>
      </c>
      <c r="K30" s="107"/>
      <c r="L30" s="556" t="s">
        <v>97</v>
      </c>
      <c r="M30" s="536">
        <f>SUM(M26:M29)</f>
        <v>0</v>
      </c>
      <c r="N30" s="537">
        <f>SUM(N26:N29)</f>
        <v>0</v>
      </c>
      <c r="O30" s="535">
        <f>M30+N30</f>
        <v>0</v>
      </c>
      <c r="P30" s="107"/>
      <c r="Q30" s="249"/>
      <c r="R30" s="563" t="s">
        <v>97</v>
      </c>
      <c r="S30" s="536">
        <f>SUM(S26:S29)</f>
        <v>0</v>
      </c>
      <c r="T30" s="537">
        <f>SUM(T26:T29)</f>
        <v>0</v>
      </c>
      <c r="U30" s="535">
        <f>S30+T30</f>
        <v>0</v>
      </c>
      <c r="V30" s="107"/>
      <c r="W30" s="249"/>
      <c r="X30" s="563" t="s">
        <v>97</v>
      </c>
      <c r="Y30" s="536">
        <f>SUM(Y26:Y29)</f>
        <v>0</v>
      </c>
      <c r="Z30" s="537">
        <f>SUM(Z26:Z29)</f>
        <v>0</v>
      </c>
      <c r="AA30" s="535">
        <f>Y30+Z30</f>
        <v>0</v>
      </c>
      <c r="AB30" s="107"/>
      <c r="AC30" s="249"/>
    </row>
    <row r="31" spans="1:29" ht="12.75" thickBot="1">
      <c r="A31" s="557" t="s">
        <v>98</v>
      </c>
      <c r="B31" s="538">
        <v>1</v>
      </c>
      <c r="C31" s="538">
        <v>0.4</v>
      </c>
      <c r="D31" s="97"/>
      <c r="E31" s="107"/>
      <c r="F31" s="249"/>
      <c r="G31" s="564" t="s">
        <v>98</v>
      </c>
      <c r="H31" s="538">
        <v>1</v>
      </c>
      <c r="I31" s="538">
        <v>0.4</v>
      </c>
      <c r="J31" s="97"/>
      <c r="K31" s="107"/>
      <c r="L31" s="557" t="s">
        <v>98</v>
      </c>
      <c r="M31" s="538">
        <v>1</v>
      </c>
      <c r="N31" s="538">
        <v>0.4</v>
      </c>
      <c r="O31" s="97"/>
      <c r="P31" s="107"/>
      <c r="Q31" s="249"/>
      <c r="R31" s="564" t="s">
        <v>98</v>
      </c>
      <c r="S31" s="538">
        <v>1</v>
      </c>
      <c r="T31" s="538">
        <v>0.4</v>
      </c>
      <c r="U31" s="97"/>
      <c r="V31" s="107"/>
      <c r="W31" s="249"/>
      <c r="X31" s="564" t="s">
        <v>98</v>
      </c>
      <c r="Y31" s="538">
        <v>1</v>
      </c>
      <c r="Z31" s="538">
        <v>0.4</v>
      </c>
      <c r="AA31" s="97"/>
      <c r="AB31" s="107"/>
      <c r="AC31" s="249"/>
    </row>
    <row r="32" spans="1:29" ht="12.75" thickBot="1">
      <c r="A32" s="488" t="s">
        <v>99</v>
      </c>
      <c r="B32" s="539">
        <f>B30*B31</f>
        <v>0</v>
      </c>
      <c r="C32" s="539">
        <f>C30*C31</f>
        <v>0</v>
      </c>
      <c r="D32" s="535">
        <f>B32+C32</f>
        <v>0</v>
      </c>
      <c r="E32" s="107"/>
      <c r="F32" s="249"/>
      <c r="G32" s="565" t="s">
        <v>99</v>
      </c>
      <c r="H32" s="539">
        <f>H30*H31</f>
        <v>0</v>
      </c>
      <c r="I32" s="539">
        <f>I30*I31</f>
        <v>0</v>
      </c>
      <c r="J32" s="535">
        <f>H32+I32</f>
        <v>0</v>
      </c>
      <c r="K32" s="107"/>
      <c r="L32" s="488" t="s">
        <v>99</v>
      </c>
      <c r="M32" s="539">
        <f>M30*M31</f>
        <v>0</v>
      </c>
      <c r="N32" s="539">
        <f>N30*N31</f>
        <v>0</v>
      </c>
      <c r="O32" s="535">
        <f>M32+N32</f>
        <v>0</v>
      </c>
      <c r="P32" s="107"/>
      <c r="Q32" s="249"/>
      <c r="R32" s="565" t="s">
        <v>99</v>
      </c>
      <c r="S32" s="539">
        <f>S30*S31</f>
        <v>0</v>
      </c>
      <c r="T32" s="539">
        <f>T30*T31</f>
        <v>0</v>
      </c>
      <c r="U32" s="535">
        <f>S32+T32</f>
        <v>0</v>
      </c>
      <c r="V32" s="107"/>
      <c r="W32" s="249"/>
      <c r="X32" s="565" t="s">
        <v>99</v>
      </c>
      <c r="Y32" s="539">
        <f>Y30*Y31</f>
        <v>0</v>
      </c>
      <c r="Z32" s="539">
        <f>Z30*Z31</f>
        <v>0</v>
      </c>
      <c r="AA32" s="535">
        <f>Y32+Z32</f>
        <v>0</v>
      </c>
      <c r="AB32" s="107"/>
      <c r="AC32" s="249"/>
    </row>
    <row r="33" spans="1:29" ht="12">
      <c r="A33" s="178"/>
      <c r="B33" s="179"/>
      <c r="C33" s="107"/>
      <c r="D33" s="179"/>
      <c r="E33" s="107"/>
      <c r="F33" s="249"/>
      <c r="G33" s="179"/>
      <c r="H33" s="179"/>
      <c r="I33" s="107"/>
      <c r="J33" s="179"/>
      <c r="K33" s="107"/>
      <c r="L33" s="178"/>
      <c r="M33" s="179"/>
      <c r="N33" s="107"/>
      <c r="O33" s="179"/>
      <c r="P33" s="107"/>
      <c r="Q33" s="249"/>
      <c r="R33" s="179"/>
      <c r="S33" s="179"/>
      <c r="T33" s="107"/>
      <c r="U33" s="179"/>
      <c r="V33" s="107"/>
      <c r="W33" s="249"/>
      <c r="X33" s="179"/>
      <c r="Y33" s="179"/>
      <c r="Z33" s="107"/>
      <c r="AA33" s="179"/>
      <c r="AB33" s="107"/>
      <c r="AC33" s="249"/>
    </row>
    <row r="34" spans="1:29" ht="12.75" thickBot="1">
      <c r="A34" s="178"/>
      <c r="B34" s="179"/>
      <c r="C34" s="107"/>
      <c r="D34" s="179"/>
      <c r="E34" s="107"/>
      <c r="F34" s="249"/>
      <c r="G34" s="179"/>
      <c r="H34" s="179"/>
      <c r="I34" s="107"/>
      <c r="J34" s="179"/>
      <c r="K34" s="107"/>
      <c r="L34" s="178" t="s">
        <v>335</v>
      </c>
      <c r="M34" s="179"/>
      <c r="N34" s="107"/>
      <c r="O34" s="179"/>
      <c r="P34" s="107"/>
      <c r="Q34" s="249"/>
      <c r="R34" s="179"/>
      <c r="S34" s="179"/>
      <c r="T34" s="107"/>
      <c r="U34" s="179"/>
      <c r="V34" s="107"/>
      <c r="W34" s="249"/>
      <c r="X34" s="179"/>
      <c r="Y34" s="179"/>
      <c r="Z34" s="107"/>
      <c r="AA34" s="179"/>
      <c r="AB34" s="107"/>
      <c r="AC34" s="249"/>
    </row>
    <row r="35" spans="1:29" ht="12.75" thickBot="1">
      <c r="A35" s="1057" t="s">
        <v>100</v>
      </c>
      <c r="B35" s="1058"/>
      <c r="C35" s="107"/>
      <c r="D35" s="179"/>
      <c r="E35" s="107"/>
      <c r="F35" s="249"/>
      <c r="G35" s="1084" t="s">
        <v>100</v>
      </c>
      <c r="H35" s="1058"/>
      <c r="I35" s="107"/>
      <c r="J35" s="179"/>
      <c r="K35" s="107"/>
      <c r="L35" s="1057" t="s">
        <v>100</v>
      </c>
      <c r="M35" s="1058"/>
      <c r="N35" s="107"/>
      <c r="O35" s="179"/>
      <c r="P35" s="107"/>
      <c r="Q35" s="249"/>
      <c r="R35" s="1084" t="s">
        <v>100</v>
      </c>
      <c r="S35" s="1058"/>
      <c r="T35" s="107"/>
      <c r="U35" s="179"/>
      <c r="V35" s="107"/>
      <c r="W35" s="249"/>
      <c r="X35" s="1084" t="s">
        <v>100</v>
      </c>
      <c r="Y35" s="1058"/>
      <c r="Z35" s="107"/>
      <c r="AA35" s="179"/>
      <c r="AB35" s="107"/>
      <c r="AC35" s="249"/>
    </row>
    <row r="36" spans="1:29" ht="12">
      <c r="A36" s="566" t="s">
        <v>287</v>
      </c>
      <c r="B36" s="540">
        <f>D32</f>
        <v>0</v>
      </c>
      <c r="C36" s="107"/>
      <c r="D36" s="179"/>
      <c r="E36" s="107"/>
      <c r="F36" s="249"/>
      <c r="G36" s="570" t="s">
        <v>287</v>
      </c>
      <c r="H36" s="540">
        <f>J32</f>
        <v>0</v>
      </c>
      <c r="I36" s="107"/>
      <c r="J36" s="179"/>
      <c r="K36" s="107"/>
      <c r="L36" s="566" t="s">
        <v>287</v>
      </c>
      <c r="M36" s="540">
        <f>O32</f>
        <v>0</v>
      </c>
      <c r="N36" s="107"/>
      <c r="O36" s="179"/>
      <c r="P36" s="107"/>
      <c r="Q36" s="249"/>
      <c r="R36" s="570" t="s">
        <v>287</v>
      </c>
      <c r="S36" s="540">
        <f>U32</f>
        <v>0</v>
      </c>
      <c r="T36" s="107"/>
      <c r="U36" s="179"/>
      <c r="V36" s="107"/>
      <c r="W36" s="249"/>
      <c r="X36" s="570" t="s">
        <v>287</v>
      </c>
      <c r="Y36" s="540">
        <f>AA32</f>
        <v>0</v>
      </c>
      <c r="Z36" s="107"/>
      <c r="AA36" s="179"/>
      <c r="AB36" s="107"/>
      <c r="AC36" s="249"/>
    </row>
    <row r="37" spans="1:29" ht="12.75" thickBot="1">
      <c r="A37" s="567" t="s">
        <v>101</v>
      </c>
      <c r="B37" s="541">
        <f>B11</f>
        <v>5367.98</v>
      </c>
      <c r="C37" s="107"/>
      <c r="D37" s="179"/>
      <c r="E37" s="107"/>
      <c r="F37" s="249"/>
      <c r="G37" s="571" t="s">
        <v>101</v>
      </c>
      <c r="H37" s="541">
        <f>H11</f>
        <v>5367.98</v>
      </c>
      <c r="I37" s="107"/>
      <c r="J37" s="179"/>
      <c r="K37" s="107"/>
      <c r="L37" s="567" t="s">
        <v>101</v>
      </c>
      <c r="M37" s="541">
        <f>M11</f>
        <v>5367.98</v>
      </c>
      <c r="N37" s="107"/>
      <c r="O37" s="179"/>
      <c r="P37" s="107"/>
      <c r="Q37" s="249"/>
      <c r="R37" s="571" t="s">
        <v>101</v>
      </c>
      <c r="S37" s="541">
        <f>S11</f>
        <v>5367.98</v>
      </c>
      <c r="T37" s="107"/>
      <c r="U37" s="179"/>
      <c r="V37" s="107"/>
      <c r="W37" s="249"/>
      <c r="X37" s="571" t="s">
        <v>101</v>
      </c>
      <c r="Y37" s="541">
        <f>Y11</f>
        <v>5367.98</v>
      </c>
      <c r="Z37" s="107"/>
      <c r="AA37" s="179"/>
      <c r="AB37" s="107"/>
      <c r="AC37" s="249"/>
    </row>
    <row r="38" spans="1:29" ht="13.5" thickBot="1">
      <c r="A38" s="535" t="s">
        <v>102</v>
      </c>
      <c r="B38" s="542">
        <f>B36*B37</f>
        <v>0</v>
      </c>
      <c r="C38" s="107"/>
      <c r="D38" s="179"/>
      <c r="E38" s="107"/>
      <c r="F38" s="249"/>
      <c r="G38" s="572" t="s">
        <v>102</v>
      </c>
      <c r="H38" s="542">
        <f>H36*H37</f>
        <v>0</v>
      </c>
      <c r="I38" s="107"/>
      <c r="J38" s="179"/>
      <c r="K38" s="107"/>
      <c r="L38" s="535" t="s">
        <v>102</v>
      </c>
      <c r="M38" s="542">
        <f>M36*M37</f>
        <v>0</v>
      </c>
      <c r="N38" s="107"/>
      <c r="O38" s="179"/>
      <c r="P38" s="107"/>
      <c r="Q38" s="249"/>
      <c r="R38" s="572" t="s">
        <v>102</v>
      </c>
      <c r="S38" s="542">
        <f>S36*S37</f>
        <v>0</v>
      </c>
      <c r="T38" s="107"/>
      <c r="U38" s="179"/>
      <c r="V38" s="107"/>
      <c r="W38" s="249"/>
      <c r="X38" s="572" t="s">
        <v>102</v>
      </c>
      <c r="Y38" s="542">
        <f>Y36*Y37</f>
        <v>0</v>
      </c>
      <c r="Z38" s="107"/>
      <c r="AA38" s="179"/>
      <c r="AB38" s="107"/>
      <c r="AC38" s="249"/>
    </row>
    <row r="39" spans="1:29" ht="12.75">
      <c r="A39" s="180"/>
      <c r="B39" s="181"/>
      <c r="C39" s="107"/>
      <c r="D39" s="107"/>
      <c r="E39" s="179"/>
      <c r="F39" s="249"/>
      <c r="G39" s="7"/>
      <c r="H39" s="181"/>
      <c r="I39" s="107"/>
      <c r="J39" s="107"/>
      <c r="K39" s="179"/>
      <c r="L39" s="180"/>
      <c r="M39" s="181"/>
      <c r="N39" s="107"/>
      <c r="O39" s="107"/>
      <c r="P39" s="179"/>
      <c r="Q39" s="249"/>
      <c r="R39" s="7"/>
      <c r="S39" s="181"/>
      <c r="T39" s="107"/>
      <c r="U39" s="107"/>
      <c r="V39" s="179"/>
      <c r="W39" s="249"/>
      <c r="X39" s="7"/>
      <c r="Y39" s="181"/>
      <c r="Z39" s="107"/>
      <c r="AA39" s="107"/>
      <c r="AB39" s="179"/>
      <c r="AC39" s="249"/>
    </row>
    <row r="40" spans="1:29" ht="13.5" thickBot="1">
      <c r="A40" s="180"/>
      <c r="B40" s="181"/>
      <c r="C40" s="107"/>
      <c r="D40" s="107"/>
      <c r="E40" s="179"/>
      <c r="F40" s="249"/>
      <c r="G40" s="7"/>
      <c r="H40" s="181"/>
      <c r="I40" s="107"/>
      <c r="J40" s="107"/>
      <c r="K40" s="179"/>
      <c r="L40" s="180"/>
      <c r="M40" s="181"/>
      <c r="N40" s="107"/>
      <c r="O40" s="107"/>
      <c r="P40" s="179"/>
      <c r="Q40" s="249"/>
      <c r="R40" s="7"/>
      <c r="S40" s="181"/>
      <c r="T40" s="107"/>
      <c r="U40" s="107"/>
      <c r="V40" s="179"/>
      <c r="W40" s="249"/>
      <c r="X40" s="7"/>
      <c r="Y40" s="181"/>
      <c r="Z40" s="107"/>
      <c r="AA40" s="107"/>
      <c r="AB40" s="179"/>
      <c r="AC40" s="249"/>
    </row>
    <row r="41" spans="1:29" ht="12.75" thickBot="1">
      <c r="A41" s="1057" t="s">
        <v>103</v>
      </c>
      <c r="B41" s="1058"/>
      <c r="C41" s="107"/>
      <c r="D41" s="107"/>
      <c r="E41" s="179"/>
      <c r="F41" s="249"/>
      <c r="G41" s="1084" t="s">
        <v>103</v>
      </c>
      <c r="H41" s="1058"/>
      <c r="I41" s="107"/>
      <c r="J41" s="107"/>
      <c r="K41" s="179"/>
      <c r="L41" s="1057" t="s">
        <v>103</v>
      </c>
      <c r="M41" s="1058"/>
      <c r="N41" s="107"/>
      <c r="O41" s="107"/>
      <c r="P41" s="179"/>
      <c r="Q41" s="249"/>
      <c r="R41" s="1084" t="s">
        <v>103</v>
      </c>
      <c r="S41" s="1058"/>
      <c r="T41" s="107"/>
      <c r="U41" s="107"/>
      <c r="V41" s="179"/>
      <c r="W41" s="249"/>
      <c r="X41" s="1084" t="s">
        <v>103</v>
      </c>
      <c r="Y41" s="1058"/>
      <c r="Z41" s="107"/>
      <c r="AA41" s="107"/>
      <c r="AB41" s="179"/>
      <c r="AC41" s="249"/>
    </row>
    <row r="42" spans="1:29" ht="12">
      <c r="A42" s="566" t="s">
        <v>104</v>
      </c>
      <c r="B42" s="540">
        <f>D30</f>
        <v>0</v>
      </c>
      <c r="C42" s="107"/>
      <c r="D42" s="107"/>
      <c r="E42" s="179"/>
      <c r="F42" s="249"/>
      <c r="G42" s="570" t="s">
        <v>104</v>
      </c>
      <c r="H42" s="540">
        <f>J30</f>
        <v>0</v>
      </c>
      <c r="I42" s="107"/>
      <c r="J42" s="107"/>
      <c r="K42" s="179"/>
      <c r="L42" s="566" t="s">
        <v>104</v>
      </c>
      <c r="M42" s="540">
        <f>O30</f>
        <v>0</v>
      </c>
      <c r="N42" s="107"/>
      <c r="O42" s="107"/>
      <c r="P42" s="179"/>
      <c r="Q42" s="249"/>
      <c r="R42" s="570" t="s">
        <v>104</v>
      </c>
      <c r="S42" s="540">
        <f>U30</f>
        <v>0</v>
      </c>
      <c r="T42" s="107"/>
      <c r="U42" s="107"/>
      <c r="V42" s="179"/>
      <c r="W42" s="249"/>
      <c r="X42" s="570" t="s">
        <v>104</v>
      </c>
      <c r="Y42" s="540">
        <f>AA30</f>
        <v>0</v>
      </c>
      <c r="Z42" s="107"/>
      <c r="AA42" s="107"/>
      <c r="AB42" s="179"/>
      <c r="AC42" s="249"/>
    </row>
    <row r="43" spans="1:29" ht="12.75" thickBot="1">
      <c r="A43" s="567" t="s">
        <v>105</v>
      </c>
      <c r="B43" s="541">
        <f>B12</f>
        <v>2111.98</v>
      </c>
      <c r="C43" s="107"/>
      <c r="D43" s="107"/>
      <c r="E43" s="107"/>
      <c r="F43" s="249"/>
      <c r="G43" s="571" t="s">
        <v>105</v>
      </c>
      <c r="H43" s="541">
        <f>H12</f>
        <v>2111.98</v>
      </c>
      <c r="I43" s="107"/>
      <c r="J43" s="107"/>
      <c r="K43" s="107"/>
      <c r="L43" s="567" t="s">
        <v>105</v>
      </c>
      <c r="M43" s="541">
        <f>M12</f>
        <v>2111.98</v>
      </c>
      <c r="N43" s="107"/>
      <c r="O43" s="107"/>
      <c r="P43" s="107"/>
      <c r="Q43" s="249"/>
      <c r="R43" s="571" t="s">
        <v>105</v>
      </c>
      <c r="S43" s="541">
        <f>S12</f>
        <v>2111.98</v>
      </c>
      <c r="T43" s="107"/>
      <c r="U43" s="107"/>
      <c r="V43" s="107"/>
      <c r="W43" s="249"/>
      <c r="X43" s="571" t="s">
        <v>105</v>
      </c>
      <c r="Y43" s="541">
        <f>Y12</f>
        <v>2111.98</v>
      </c>
      <c r="Z43" s="107"/>
      <c r="AA43" s="107"/>
      <c r="AB43" s="107"/>
      <c r="AC43" s="249"/>
    </row>
    <row r="44" spans="1:29" ht="13.5" thickBot="1">
      <c r="A44" s="535" t="s">
        <v>106</v>
      </c>
      <c r="B44" s="542">
        <f>B42*B43</f>
        <v>0</v>
      </c>
      <c r="C44" s="107"/>
      <c r="D44" s="107"/>
      <c r="E44" s="107"/>
      <c r="F44" s="249"/>
      <c r="G44" s="572" t="s">
        <v>106</v>
      </c>
      <c r="H44" s="542">
        <f>H42*H43</f>
        <v>0</v>
      </c>
      <c r="I44" s="107"/>
      <c r="J44" s="107"/>
      <c r="K44" s="107"/>
      <c r="L44" s="535" t="s">
        <v>106</v>
      </c>
      <c r="M44" s="542">
        <f>M42*M43</f>
        <v>0</v>
      </c>
      <c r="N44" s="107"/>
      <c r="O44" s="107"/>
      <c r="P44" s="107"/>
      <c r="Q44" s="249"/>
      <c r="R44" s="572" t="s">
        <v>106</v>
      </c>
      <c r="S44" s="542">
        <f>S42*S43</f>
        <v>0</v>
      </c>
      <c r="T44" s="107"/>
      <c r="U44" s="107"/>
      <c r="V44" s="107"/>
      <c r="W44" s="249"/>
      <c r="X44" s="572" t="s">
        <v>106</v>
      </c>
      <c r="Y44" s="542">
        <f>Y42*Y43</f>
        <v>0</v>
      </c>
      <c r="Z44" s="107"/>
      <c r="AA44" s="107"/>
      <c r="AB44" s="107"/>
      <c r="AC44" s="249"/>
    </row>
    <row r="45" spans="1:29" ht="12">
      <c r="A45" s="182"/>
      <c r="B45" s="183"/>
      <c r="C45" s="184"/>
      <c r="D45" s="176"/>
      <c r="E45" s="188"/>
      <c r="F45" s="249"/>
      <c r="G45" s="183"/>
      <c r="H45" s="183"/>
      <c r="I45" s="184"/>
      <c r="J45" s="176"/>
      <c r="K45" s="188"/>
      <c r="L45" s="182"/>
      <c r="M45" s="183"/>
      <c r="N45" s="184"/>
      <c r="O45" s="176"/>
      <c r="P45" s="188"/>
      <c r="Q45" s="249"/>
      <c r="R45" s="183"/>
      <c r="S45" s="183"/>
      <c r="T45" s="184"/>
      <c r="U45" s="176"/>
      <c r="V45" s="188"/>
      <c r="W45" s="249"/>
      <c r="X45" s="183"/>
      <c r="Y45" s="183"/>
      <c r="Z45" s="184"/>
      <c r="AA45" s="176"/>
      <c r="AB45" s="188"/>
      <c r="AC45" s="249"/>
    </row>
    <row r="46" spans="1:29" ht="12.75" thickBot="1">
      <c r="A46" s="182"/>
      <c r="B46" s="183"/>
      <c r="C46" s="184"/>
      <c r="D46" s="176"/>
      <c r="E46" s="188"/>
      <c r="F46" s="249"/>
      <c r="G46" s="183"/>
      <c r="H46" s="183"/>
      <c r="I46" s="184"/>
      <c r="J46" s="176"/>
      <c r="K46" s="188"/>
      <c r="L46" s="182"/>
      <c r="M46" s="183"/>
      <c r="N46" s="184"/>
      <c r="O46" s="176"/>
      <c r="P46" s="188"/>
      <c r="Q46" s="249"/>
      <c r="R46" s="183"/>
      <c r="S46" s="183"/>
      <c r="T46" s="184"/>
      <c r="U46" s="176"/>
      <c r="V46" s="188"/>
      <c r="W46" s="249"/>
      <c r="X46" s="183"/>
      <c r="Y46" s="183"/>
      <c r="Z46" s="184"/>
      <c r="AA46" s="176"/>
      <c r="AB46" s="188"/>
      <c r="AC46" s="249"/>
    </row>
    <row r="47" spans="1:29" ht="12.75" thickBot="1">
      <c r="A47" s="568" t="s">
        <v>107</v>
      </c>
      <c r="B47" s="565"/>
      <c r="C47" s="184"/>
      <c r="D47" s="176"/>
      <c r="E47" s="188"/>
      <c r="F47" s="249"/>
      <c r="G47" s="573" t="s">
        <v>107</v>
      </c>
      <c r="H47" s="565"/>
      <c r="I47" s="184"/>
      <c r="J47" s="176"/>
      <c r="K47" s="188"/>
      <c r="L47" s="1008" t="s">
        <v>107</v>
      </c>
      <c r="M47" s="1009"/>
      <c r="N47" s="184"/>
      <c r="O47" s="176"/>
      <c r="P47" s="188"/>
      <c r="Q47" s="249"/>
      <c r="R47" s="573" t="s">
        <v>107</v>
      </c>
      <c r="S47" s="565"/>
      <c r="T47" s="184"/>
      <c r="U47" s="176"/>
      <c r="V47" s="188"/>
      <c r="W47" s="249"/>
      <c r="X47" s="573" t="s">
        <v>107</v>
      </c>
      <c r="Y47" s="565"/>
      <c r="Z47" s="184"/>
      <c r="AA47" s="176"/>
      <c r="AB47" s="188"/>
      <c r="AC47" s="249"/>
    </row>
    <row r="48" spans="1:29" ht="12">
      <c r="A48" s="569" t="s">
        <v>102</v>
      </c>
      <c r="B48" s="543">
        <f>B38</f>
        <v>0</v>
      </c>
      <c r="C48" s="184"/>
      <c r="D48" s="176"/>
      <c r="E48" s="188"/>
      <c r="F48" s="249"/>
      <c r="G48" s="574" t="s">
        <v>102</v>
      </c>
      <c r="H48" s="543">
        <f>H38</f>
        <v>0</v>
      </c>
      <c r="I48" s="184"/>
      <c r="J48" s="176"/>
      <c r="K48" s="188"/>
      <c r="L48" s="569" t="s">
        <v>102</v>
      </c>
      <c r="M48" s="543">
        <f>M38</f>
        <v>0</v>
      </c>
      <c r="N48" s="184"/>
      <c r="O48" s="176"/>
      <c r="P48" s="188"/>
      <c r="Q48" s="249"/>
      <c r="R48" s="574" t="s">
        <v>102</v>
      </c>
      <c r="S48" s="543">
        <f>S38</f>
        <v>0</v>
      </c>
      <c r="T48" s="184"/>
      <c r="U48" s="176"/>
      <c r="V48" s="188"/>
      <c r="W48" s="249"/>
      <c r="X48" s="574" t="s">
        <v>102</v>
      </c>
      <c r="Y48" s="543">
        <f>Y38</f>
        <v>0</v>
      </c>
      <c r="Z48" s="184"/>
      <c r="AA48" s="176"/>
      <c r="AB48" s="188"/>
      <c r="AC48" s="249"/>
    </row>
    <row r="49" spans="1:29" ht="12.75" thickBot="1">
      <c r="A49" s="569" t="s">
        <v>106</v>
      </c>
      <c r="B49" s="541">
        <f>B44</f>
        <v>0</v>
      </c>
      <c r="C49" s="184"/>
      <c r="D49" s="176"/>
      <c r="E49" s="188"/>
      <c r="F49" s="249"/>
      <c r="G49" s="574" t="s">
        <v>106</v>
      </c>
      <c r="H49" s="541">
        <f>H44</f>
        <v>0</v>
      </c>
      <c r="I49" s="184"/>
      <c r="J49" s="176"/>
      <c r="K49" s="188"/>
      <c r="L49" s="569" t="s">
        <v>106</v>
      </c>
      <c r="M49" s="541">
        <f>M44</f>
        <v>0</v>
      </c>
      <c r="N49" s="184"/>
      <c r="O49" s="176"/>
      <c r="P49" s="188"/>
      <c r="Q49" s="249"/>
      <c r="R49" s="574" t="s">
        <v>106</v>
      </c>
      <c r="S49" s="541">
        <f>S44</f>
        <v>0</v>
      </c>
      <c r="T49" s="184"/>
      <c r="U49" s="176"/>
      <c r="V49" s="188"/>
      <c r="W49" s="249"/>
      <c r="X49" s="574" t="s">
        <v>106</v>
      </c>
      <c r="Y49" s="541">
        <f>Y44</f>
        <v>0</v>
      </c>
      <c r="Z49" s="184"/>
      <c r="AA49" s="176"/>
      <c r="AB49" s="188"/>
      <c r="AC49" s="249"/>
    </row>
    <row r="50" spans="1:29" ht="13.5" thickBot="1">
      <c r="A50" s="535" t="s">
        <v>108</v>
      </c>
      <c r="B50" s="542">
        <f>B48+B49</f>
        <v>0</v>
      </c>
      <c r="C50" s="184"/>
      <c r="D50" s="176"/>
      <c r="E50" s="188"/>
      <c r="F50" s="249"/>
      <c r="G50" s="572" t="s">
        <v>108</v>
      </c>
      <c r="H50" s="542">
        <f>H48+H49</f>
        <v>0</v>
      </c>
      <c r="I50" s="184"/>
      <c r="J50" s="176"/>
      <c r="K50" s="188"/>
      <c r="L50" s="535" t="s">
        <v>108</v>
      </c>
      <c r="M50" s="542">
        <f>M48+M49</f>
        <v>0</v>
      </c>
      <c r="N50" s="184"/>
      <c r="O50" s="176"/>
      <c r="P50" s="188"/>
      <c r="Q50" s="249"/>
      <c r="R50" s="572" t="s">
        <v>108</v>
      </c>
      <c r="S50" s="542">
        <f>S48+S49</f>
        <v>0</v>
      </c>
      <c r="T50" s="184"/>
      <c r="U50" s="176"/>
      <c r="V50" s="188"/>
      <c r="W50" s="249"/>
      <c r="X50" s="572" t="s">
        <v>108</v>
      </c>
      <c r="Y50" s="542">
        <f>Y48+Y49</f>
        <v>0</v>
      </c>
      <c r="Z50" s="184"/>
      <c r="AA50" s="176"/>
      <c r="AB50" s="188"/>
      <c r="AC50" s="249"/>
    </row>
    <row r="51" spans="1:29" ht="12">
      <c r="A51" s="182"/>
      <c r="B51" s="183"/>
      <c r="C51" s="184"/>
      <c r="D51" s="176"/>
      <c r="E51" s="188"/>
      <c r="F51" s="249"/>
      <c r="G51" s="183"/>
      <c r="H51" s="183"/>
      <c r="I51" s="184"/>
      <c r="J51" s="176"/>
      <c r="K51" s="188"/>
      <c r="L51" s="182"/>
      <c r="M51" s="183"/>
      <c r="N51" s="184"/>
      <c r="O51" s="176"/>
      <c r="P51" s="188"/>
      <c r="Q51" s="249"/>
      <c r="R51" s="183"/>
      <c r="S51" s="183"/>
      <c r="T51" s="184"/>
      <c r="U51" s="176"/>
      <c r="V51" s="188"/>
      <c r="W51" s="249"/>
      <c r="X51" s="183"/>
      <c r="Y51" s="183"/>
      <c r="Z51" s="184"/>
      <c r="AA51" s="176"/>
      <c r="AB51" s="188"/>
      <c r="AC51" s="249"/>
    </row>
    <row r="52" spans="1:29" ht="12.75" thickBot="1">
      <c r="A52" s="185"/>
      <c r="B52" s="186"/>
      <c r="C52" s="187"/>
      <c r="D52" s="187"/>
      <c r="E52" s="244"/>
      <c r="F52" s="249"/>
      <c r="G52" s="186"/>
      <c r="H52" s="186"/>
      <c r="I52" s="187"/>
      <c r="J52" s="187"/>
      <c r="K52" s="244"/>
      <c r="L52" s="185"/>
      <c r="M52" s="186"/>
      <c r="N52" s="187"/>
      <c r="O52" s="187"/>
      <c r="P52" s="244"/>
      <c r="Q52" s="249"/>
      <c r="R52" s="186"/>
      <c r="S52" s="186"/>
      <c r="T52" s="187"/>
      <c r="U52" s="187"/>
      <c r="V52" s="244"/>
      <c r="W52" s="249"/>
      <c r="X52" s="186"/>
      <c r="Y52" s="186"/>
      <c r="Z52" s="187"/>
      <c r="AA52" s="187"/>
      <c r="AB52" s="244"/>
      <c r="AC52" s="249"/>
    </row>
    <row r="53" spans="1:29" ht="12">
      <c r="A53" s="261"/>
      <c r="B53" s="168"/>
      <c r="C53" s="168"/>
      <c r="D53" s="168"/>
      <c r="E53" s="188"/>
      <c r="F53" s="249"/>
      <c r="G53" s="168"/>
      <c r="H53" s="168"/>
      <c r="I53" s="168"/>
      <c r="J53" s="168"/>
      <c r="K53" s="188"/>
      <c r="L53" s="261"/>
      <c r="M53" s="168"/>
      <c r="N53" s="168"/>
      <c r="O53" s="168"/>
      <c r="P53" s="188"/>
      <c r="Q53" s="249"/>
      <c r="R53" s="168"/>
      <c r="S53" s="168"/>
      <c r="T53" s="168"/>
      <c r="U53" s="168"/>
      <c r="V53" s="188"/>
      <c r="W53" s="249"/>
      <c r="X53" s="168"/>
      <c r="Y53" s="168"/>
      <c r="Z53" s="168"/>
      <c r="AA53" s="168"/>
      <c r="AB53" s="188"/>
      <c r="AC53" s="249"/>
    </row>
    <row r="54" spans="1:29" ht="12">
      <c r="A54" s="261"/>
      <c r="B54" s="168"/>
      <c r="C54" s="168"/>
      <c r="D54" s="168"/>
      <c r="E54" s="167"/>
      <c r="F54" s="249"/>
      <c r="G54" s="168"/>
      <c r="H54" s="168"/>
      <c r="I54" s="168"/>
      <c r="J54" s="168"/>
      <c r="K54" s="167"/>
      <c r="L54" s="261"/>
      <c r="M54" s="168"/>
      <c r="N54" s="168"/>
      <c r="O54" s="168"/>
      <c r="P54" s="167"/>
      <c r="Q54" s="249"/>
      <c r="R54" s="168"/>
      <c r="S54" s="168"/>
      <c r="T54" s="168"/>
      <c r="U54" s="168"/>
      <c r="V54" s="167"/>
      <c r="W54" s="249"/>
      <c r="X54" s="168"/>
      <c r="Y54" s="168"/>
      <c r="Z54" s="168"/>
      <c r="AA54" s="168"/>
      <c r="AB54" s="167"/>
      <c r="AC54" s="249"/>
    </row>
    <row r="55" spans="1:29" ht="12">
      <c r="A55" s="261"/>
      <c r="B55" s="168"/>
      <c r="C55" s="168"/>
      <c r="D55" s="168"/>
      <c r="E55" s="167"/>
      <c r="F55" s="249"/>
      <c r="G55" s="168"/>
      <c r="H55" s="168"/>
      <c r="I55" s="168"/>
      <c r="J55" s="168"/>
      <c r="K55" s="167"/>
      <c r="L55" s="261"/>
      <c r="M55" s="168"/>
      <c r="N55" s="168"/>
      <c r="O55" s="168"/>
      <c r="P55" s="167"/>
      <c r="Q55" s="249"/>
      <c r="R55" s="168"/>
      <c r="S55" s="168"/>
      <c r="T55" s="168"/>
      <c r="U55" s="168"/>
      <c r="V55" s="167"/>
      <c r="W55" s="249"/>
      <c r="X55" s="168"/>
      <c r="Y55" s="168"/>
      <c r="Z55" s="168"/>
      <c r="AA55" s="168"/>
      <c r="AB55" s="167"/>
      <c r="AC55" s="249"/>
    </row>
    <row r="56" spans="1:29" ht="12.75" thickBot="1">
      <c r="A56" s="261"/>
      <c r="B56" s="168"/>
      <c r="C56" s="168"/>
      <c r="D56" s="168"/>
      <c r="E56" s="167"/>
      <c r="F56" s="249"/>
      <c r="G56" s="168"/>
      <c r="H56" s="168"/>
      <c r="I56" s="168"/>
      <c r="J56" s="168"/>
      <c r="K56" s="167"/>
      <c r="L56" s="261"/>
      <c r="M56" s="168"/>
      <c r="N56" s="168"/>
      <c r="O56" s="168"/>
      <c r="P56" s="167"/>
      <c r="Q56" s="249"/>
      <c r="R56" s="168"/>
      <c r="S56" s="168"/>
      <c r="T56" s="168"/>
      <c r="U56" s="168"/>
      <c r="V56" s="167"/>
      <c r="W56" s="249"/>
      <c r="X56" s="168"/>
      <c r="Y56" s="168"/>
      <c r="Z56" s="168"/>
      <c r="AA56" s="168"/>
      <c r="AB56" s="167"/>
      <c r="AC56" s="249"/>
    </row>
    <row r="57" spans="1:29" ht="15.75" thickBot="1">
      <c r="A57" s="1055" t="s">
        <v>109</v>
      </c>
      <c r="B57" s="1056"/>
      <c r="C57" s="1056"/>
      <c r="D57" s="1056"/>
      <c r="E57" s="1056"/>
      <c r="F57" s="660"/>
      <c r="G57" s="1056" t="s">
        <v>109</v>
      </c>
      <c r="H57" s="1056"/>
      <c r="I57" s="1056"/>
      <c r="J57" s="1056"/>
      <c r="K57" s="1056"/>
      <c r="L57" s="1055" t="s">
        <v>109</v>
      </c>
      <c r="M57" s="1056"/>
      <c r="N57" s="1056"/>
      <c r="O57" s="1056"/>
      <c r="P57" s="1056"/>
      <c r="Q57" s="248"/>
      <c r="R57" s="1056" t="s">
        <v>109</v>
      </c>
      <c r="S57" s="1056"/>
      <c r="T57" s="1056"/>
      <c r="U57" s="1056"/>
      <c r="V57" s="1056"/>
      <c r="W57" s="248"/>
      <c r="X57" s="1056" t="s">
        <v>109</v>
      </c>
      <c r="Y57" s="1056"/>
      <c r="Z57" s="1056"/>
      <c r="AA57" s="1056"/>
      <c r="AB57" s="1056"/>
      <c r="AC57" s="248"/>
    </row>
    <row r="58" spans="1:29" ht="36" customHeight="1" thickBot="1">
      <c r="A58" s="1059" t="s">
        <v>110</v>
      </c>
      <c r="B58" s="1060"/>
      <c r="C58" s="1060"/>
      <c r="D58" s="1060"/>
      <c r="E58" s="1060"/>
      <c r="F58" s="248"/>
      <c r="G58" s="1060" t="s">
        <v>110</v>
      </c>
      <c r="H58" s="1060"/>
      <c r="I58" s="1060"/>
      <c r="J58" s="1060"/>
      <c r="K58" s="1060"/>
      <c r="L58" s="1059" t="s">
        <v>334</v>
      </c>
      <c r="M58" s="1060"/>
      <c r="N58" s="1060"/>
      <c r="O58" s="1060"/>
      <c r="P58" s="1060"/>
      <c r="Q58" s="248"/>
      <c r="R58" s="1060" t="s">
        <v>334</v>
      </c>
      <c r="S58" s="1060"/>
      <c r="T58" s="1060"/>
      <c r="U58" s="1060"/>
      <c r="V58" s="1060"/>
      <c r="W58" s="248"/>
      <c r="X58" s="1060" t="s">
        <v>334</v>
      </c>
      <c r="Y58" s="1060"/>
      <c r="Z58" s="1060"/>
      <c r="AA58" s="1060"/>
      <c r="AB58" s="1060"/>
      <c r="AC58" s="248"/>
    </row>
    <row r="59" spans="1:29" ht="15.75" thickBot="1">
      <c r="A59" s="172"/>
      <c r="B59" s="173"/>
      <c r="C59" s="173"/>
      <c r="D59" s="171"/>
      <c r="E59" s="171"/>
      <c r="F59" s="249"/>
      <c r="G59" s="171"/>
      <c r="H59" s="173"/>
      <c r="I59" s="173"/>
      <c r="J59" s="171"/>
      <c r="K59" s="171"/>
      <c r="L59" s="1010"/>
      <c r="M59" s="195"/>
      <c r="N59" s="173"/>
      <c r="O59" s="171"/>
      <c r="P59" s="171"/>
      <c r="Q59" s="249"/>
      <c r="R59" s="171"/>
      <c r="S59" s="173"/>
      <c r="T59" s="173"/>
      <c r="U59" s="171"/>
      <c r="V59" s="171"/>
      <c r="W59" s="249"/>
      <c r="X59" s="171"/>
      <c r="Y59" s="173"/>
      <c r="Z59" s="173"/>
      <c r="AA59" s="171"/>
      <c r="AB59" s="171"/>
      <c r="AC59" s="249"/>
    </row>
    <row r="60" spans="1:29" ht="24.75" thickBot="1">
      <c r="A60" s="488" t="s">
        <v>92</v>
      </c>
      <c r="B60" s="576" t="s">
        <v>93</v>
      </c>
      <c r="C60" s="577" t="s">
        <v>94</v>
      </c>
      <c r="D60" s="488" t="s">
        <v>95</v>
      </c>
      <c r="E60" s="97"/>
      <c r="F60" s="249"/>
      <c r="G60" s="565" t="s">
        <v>92</v>
      </c>
      <c r="H60" s="576" t="s">
        <v>93</v>
      </c>
      <c r="I60" s="577" t="s">
        <v>94</v>
      </c>
      <c r="J60" s="488" t="s">
        <v>95</v>
      </c>
      <c r="K60" s="97"/>
      <c r="L60" s="488" t="s">
        <v>92</v>
      </c>
      <c r="M60" s="1011" t="s">
        <v>93</v>
      </c>
      <c r="N60" s="1014" t="s">
        <v>94</v>
      </c>
      <c r="O60" s="488" t="s">
        <v>95</v>
      </c>
      <c r="P60" s="97"/>
      <c r="Q60" s="249"/>
      <c r="R60" s="565" t="s">
        <v>92</v>
      </c>
      <c r="S60" s="576" t="s">
        <v>93</v>
      </c>
      <c r="T60" s="577" t="s">
        <v>94</v>
      </c>
      <c r="U60" s="488" t="s">
        <v>95</v>
      </c>
      <c r="V60" s="97"/>
      <c r="W60" s="249"/>
      <c r="X60" s="565" t="s">
        <v>92</v>
      </c>
      <c r="Y60" s="576" t="s">
        <v>93</v>
      </c>
      <c r="Z60" s="577" t="s">
        <v>94</v>
      </c>
      <c r="AA60" s="488" t="s">
        <v>95</v>
      </c>
      <c r="AB60" s="97"/>
      <c r="AC60" s="249"/>
    </row>
    <row r="61" spans="1:29" ht="12">
      <c r="A61" s="555">
        <v>4</v>
      </c>
      <c r="B61" s="175"/>
      <c r="C61" s="175"/>
      <c r="D61" s="532">
        <f>B61+C61</f>
        <v>0</v>
      </c>
      <c r="E61" s="97"/>
      <c r="F61" s="249"/>
      <c r="G61" s="561">
        <v>4</v>
      </c>
      <c r="H61" s="175"/>
      <c r="I61" s="175"/>
      <c r="J61" s="532">
        <f>H61+I61</f>
        <v>0</v>
      </c>
      <c r="K61" s="97"/>
      <c r="L61" s="555">
        <v>4</v>
      </c>
      <c r="M61" s="175"/>
      <c r="N61" s="175"/>
      <c r="O61" s="532">
        <f>M61+N61</f>
        <v>0</v>
      </c>
      <c r="P61" s="97"/>
      <c r="Q61" s="249"/>
      <c r="R61" s="561">
        <v>4</v>
      </c>
      <c r="S61" s="175"/>
      <c r="T61" s="175"/>
      <c r="U61" s="532">
        <f>S61+T61</f>
        <v>0</v>
      </c>
      <c r="V61" s="97"/>
      <c r="W61" s="249"/>
      <c r="X61" s="561">
        <v>4</v>
      </c>
      <c r="Y61" s="175"/>
      <c r="Z61" s="175"/>
      <c r="AA61" s="532">
        <f>Y61+Z61</f>
        <v>0</v>
      </c>
      <c r="AB61" s="97"/>
      <c r="AC61" s="249"/>
    </row>
    <row r="62" spans="1:29" ht="12">
      <c r="A62" s="531">
        <v>5</v>
      </c>
      <c r="B62" s="175"/>
      <c r="C62" s="177"/>
      <c r="D62" s="533">
        <f>B62+C62</f>
        <v>0</v>
      </c>
      <c r="E62" s="97"/>
      <c r="F62" s="249"/>
      <c r="G62" s="562">
        <v>5</v>
      </c>
      <c r="H62" s="175"/>
      <c r="I62" s="177"/>
      <c r="J62" s="533">
        <f>H62+I62</f>
        <v>0</v>
      </c>
      <c r="K62" s="97"/>
      <c r="L62" s="531">
        <v>5</v>
      </c>
      <c r="M62" s="175"/>
      <c r="N62" s="177"/>
      <c r="O62" s="533">
        <f>M62+N62</f>
        <v>0</v>
      </c>
      <c r="P62" s="97"/>
      <c r="Q62" s="249"/>
      <c r="R62" s="562">
        <v>5</v>
      </c>
      <c r="S62" s="175"/>
      <c r="T62" s="175"/>
      <c r="U62" s="533">
        <f>S62+T62</f>
        <v>0</v>
      </c>
      <c r="V62" s="97"/>
      <c r="W62" s="249"/>
      <c r="X62" s="562">
        <v>5</v>
      </c>
      <c r="Y62" s="175"/>
      <c r="Z62" s="175"/>
      <c r="AA62" s="533">
        <f>Y62+Z62</f>
        <v>0</v>
      </c>
      <c r="AB62" s="97"/>
      <c r="AC62" s="249"/>
    </row>
    <row r="63" spans="1:29" ht="12">
      <c r="A63" s="531">
        <v>6</v>
      </c>
      <c r="B63" s="175"/>
      <c r="C63" s="177"/>
      <c r="D63" s="533">
        <f>B63+C63</f>
        <v>0</v>
      </c>
      <c r="E63" s="97"/>
      <c r="F63" s="249"/>
      <c r="G63" s="562">
        <v>6</v>
      </c>
      <c r="H63" s="175"/>
      <c r="I63" s="177"/>
      <c r="J63" s="533">
        <f>H63+I63</f>
        <v>0</v>
      </c>
      <c r="K63" s="97"/>
      <c r="L63" s="531">
        <v>6</v>
      </c>
      <c r="M63" s="175"/>
      <c r="N63" s="177"/>
      <c r="O63" s="533">
        <f>M63+N63</f>
        <v>0</v>
      </c>
      <c r="P63" s="97"/>
      <c r="Q63" s="249"/>
      <c r="R63" s="562">
        <v>6</v>
      </c>
      <c r="S63" s="175"/>
      <c r="T63" s="175"/>
      <c r="U63" s="533">
        <f>S63+T63</f>
        <v>0</v>
      </c>
      <c r="V63" s="97"/>
      <c r="W63" s="249"/>
      <c r="X63" s="562">
        <v>6</v>
      </c>
      <c r="Y63" s="175"/>
      <c r="Z63" s="175"/>
      <c r="AA63" s="533">
        <f>Y63+Z63</f>
        <v>0</v>
      </c>
      <c r="AB63" s="97"/>
      <c r="AC63" s="249"/>
    </row>
    <row r="64" spans="1:29" ht="12">
      <c r="A64" s="531">
        <v>7</v>
      </c>
      <c r="B64" s="175"/>
      <c r="C64" s="177"/>
      <c r="D64" s="533">
        <f>B64+C64</f>
        <v>0</v>
      </c>
      <c r="E64" s="97"/>
      <c r="F64" s="249"/>
      <c r="G64" s="562">
        <v>7</v>
      </c>
      <c r="H64" s="175"/>
      <c r="I64" s="177"/>
      <c r="J64" s="533">
        <f>H64+I64</f>
        <v>0</v>
      </c>
      <c r="K64" s="97"/>
      <c r="L64" s="531">
        <v>7</v>
      </c>
      <c r="M64" s="175"/>
      <c r="N64" s="177"/>
      <c r="O64" s="533">
        <f>M64+N64</f>
        <v>0</v>
      </c>
      <c r="P64" s="97"/>
      <c r="Q64" s="249"/>
      <c r="R64" s="562">
        <v>7</v>
      </c>
      <c r="S64" s="175"/>
      <c r="T64" s="175"/>
      <c r="U64" s="533">
        <f>S64+T64</f>
        <v>0</v>
      </c>
      <c r="V64" s="97"/>
      <c r="W64" s="249"/>
      <c r="X64" s="562">
        <v>7</v>
      </c>
      <c r="Y64" s="175"/>
      <c r="Z64" s="175"/>
      <c r="AA64" s="533">
        <f>Y64+Z64</f>
        <v>0</v>
      </c>
      <c r="AB64" s="97"/>
      <c r="AC64" s="249"/>
    </row>
    <row r="65" spans="1:29" ht="12.75" thickBot="1">
      <c r="A65" s="575">
        <v>8</v>
      </c>
      <c r="B65" s="175"/>
      <c r="C65" s="177"/>
      <c r="D65" s="534">
        <f>B65+C65</f>
        <v>0</v>
      </c>
      <c r="E65" s="97"/>
      <c r="F65" s="249"/>
      <c r="G65" s="578">
        <v>8</v>
      </c>
      <c r="H65" s="175"/>
      <c r="I65" s="177"/>
      <c r="J65" s="534">
        <f>H65+I65</f>
        <v>0</v>
      </c>
      <c r="K65" s="97"/>
      <c r="L65" s="575">
        <v>8</v>
      </c>
      <c r="M65" s="175"/>
      <c r="N65" s="177"/>
      <c r="O65" s="534">
        <f>M65+N65</f>
        <v>0</v>
      </c>
      <c r="P65" s="97"/>
      <c r="Q65" s="249"/>
      <c r="R65" s="578">
        <v>8</v>
      </c>
      <c r="S65" s="175"/>
      <c r="T65" s="175"/>
      <c r="U65" s="534">
        <f>S65+T65</f>
        <v>0</v>
      </c>
      <c r="V65" s="97"/>
      <c r="W65" s="249"/>
      <c r="X65" s="578">
        <v>8</v>
      </c>
      <c r="Y65" s="175"/>
      <c r="Z65" s="175"/>
      <c r="AA65" s="534">
        <f>Y65+Z65</f>
        <v>0</v>
      </c>
      <c r="AB65" s="97"/>
      <c r="AC65" s="249"/>
    </row>
    <row r="66" spans="1:29" ht="12.75" thickBot="1">
      <c r="A66" s="556" t="s">
        <v>111</v>
      </c>
      <c r="B66" s="536">
        <f>SUM(B61:B65)</f>
        <v>0</v>
      </c>
      <c r="C66" s="537">
        <f>SUM(C61:C65)</f>
        <v>0</v>
      </c>
      <c r="D66" s="539">
        <f>SUM(D61:D65)</f>
        <v>0</v>
      </c>
      <c r="E66" s="97"/>
      <c r="F66" s="249"/>
      <c r="G66" s="563" t="s">
        <v>111</v>
      </c>
      <c r="H66" s="536">
        <f>SUM(H61:H65)</f>
        <v>0</v>
      </c>
      <c r="I66" s="537">
        <f>SUM(I61:I65)</f>
        <v>0</v>
      </c>
      <c r="J66" s="539">
        <f>SUM(J61:J65)</f>
        <v>0</v>
      </c>
      <c r="K66" s="97"/>
      <c r="L66" s="556" t="s">
        <v>111</v>
      </c>
      <c r="M66" s="536">
        <f>SUM(M61:M65)</f>
        <v>0</v>
      </c>
      <c r="N66" s="537">
        <f>SUM(N61:N65)</f>
        <v>0</v>
      </c>
      <c r="O66" s="539">
        <f>SUM(O61:O65)</f>
        <v>0</v>
      </c>
      <c r="P66" s="97"/>
      <c r="Q66" s="249"/>
      <c r="R66" s="563" t="s">
        <v>111</v>
      </c>
      <c r="S66" s="536">
        <f>SUM(S61:S65)</f>
        <v>0</v>
      </c>
      <c r="T66" s="537">
        <f>SUM(T61:T65)</f>
        <v>0</v>
      </c>
      <c r="U66" s="539">
        <f>SUM(U61:U65)</f>
        <v>0</v>
      </c>
      <c r="V66" s="97"/>
      <c r="W66" s="249"/>
      <c r="X66" s="563" t="s">
        <v>111</v>
      </c>
      <c r="Y66" s="536">
        <f>SUM(Y61:Y65)</f>
        <v>0</v>
      </c>
      <c r="Z66" s="537">
        <f>SUM(Z61:Z65)</f>
        <v>0</v>
      </c>
      <c r="AA66" s="539">
        <f>SUM(AA61:AA65)</f>
        <v>0</v>
      </c>
      <c r="AB66" s="97"/>
      <c r="AC66" s="249"/>
    </row>
    <row r="67" spans="1:29" ht="12.75" thickBot="1">
      <c r="A67" s="557" t="s">
        <v>98</v>
      </c>
      <c r="B67" s="538">
        <v>1</v>
      </c>
      <c r="C67" s="538">
        <v>0.4</v>
      </c>
      <c r="D67" s="97"/>
      <c r="E67" s="97"/>
      <c r="F67" s="249"/>
      <c r="G67" s="564" t="s">
        <v>98</v>
      </c>
      <c r="H67" s="538">
        <v>1</v>
      </c>
      <c r="I67" s="538">
        <v>0.4</v>
      </c>
      <c r="J67" s="97"/>
      <c r="K67" s="97"/>
      <c r="L67" s="557" t="s">
        <v>98</v>
      </c>
      <c r="M67" s="538">
        <v>1</v>
      </c>
      <c r="N67" s="538">
        <v>0.4</v>
      </c>
      <c r="O67" s="97"/>
      <c r="P67" s="97"/>
      <c r="Q67" s="249"/>
      <c r="R67" s="564" t="s">
        <v>98</v>
      </c>
      <c r="S67" s="538">
        <v>1</v>
      </c>
      <c r="T67" s="538">
        <v>0.4</v>
      </c>
      <c r="U67" s="97"/>
      <c r="V67" s="97"/>
      <c r="W67" s="249"/>
      <c r="X67" s="564" t="s">
        <v>98</v>
      </c>
      <c r="Y67" s="538">
        <v>1</v>
      </c>
      <c r="Z67" s="538">
        <v>0.4</v>
      </c>
      <c r="AA67" s="97"/>
      <c r="AB67" s="97"/>
      <c r="AC67" s="249"/>
    </row>
    <row r="68" spans="1:29" ht="12.75" thickBot="1">
      <c r="A68" s="488" t="s">
        <v>112</v>
      </c>
      <c r="B68" s="539">
        <f>B66*B67</f>
        <v>0</v>
      </c>
      <c r="C68" s="627">
        <f>C66*C67</f>
        <v>0</v>
      </c>
      <c r="D68" s="628">
        <f>B68+C68</f>
        <v>0</v>
      </c>
      <c r="E68" s="97"/>
      <c r="F68" s="249"/>
      <c r="G68" s="565" t="s">
        <v>112</v>
      </c>
      <c r="H68" s="539">
        <f>H66*H67</f>
        <v>0</v>
      </c>
      <c r="I68" s="627">
        <f>I66*I67</f>
        <v>0</v>
      </c>
      <c r="J68" s="628">
        <f>H68+I68</f>
        <v>0</v>
      </c>
      <c r="K68" s="97"/>
      <c r="L68" s="488" t="s">
        <v>112</v>
      </c>
      <c r="M68" s="539">
        <f>M66*M67</f>
        <v>0</v>
      </c>
      <c r="N68" s="627">
        <f>N66*N67</f>
        <v>0</v>
      </c>
      <c r="O68" s="628">
        <f>M68+N68</f>
        <v>0</v>
      </c>
      <c r="P68" s="97"/>
      <c r="Q68" s="249"/>
      <c r="R68" s="565" t="s">
        <v>112</v>
      </c>
      <c r="S68" s="539">
        <f>S66*S67</f>
        <v>0</v>
      </c>
      <c r="T68" s="627">
        <f>T66*T67</f>
        <v>0</v>
      </c>
      <c r="U68" s="628">
        <f>S68+T68</f>
        <v>0</v>
      </c>
      <c r="V68" s="97"/>
      <c r="W68" s="249"/>
      <c r="X68" s="565" t="s">
        <v>112</v>
      </c>
      <c r="Y68" s="539">
        <f>Y66*Y67</f>
        <v>0</v>
      </c>
      <c r="Z68" s="627">
        <f>Z66*Z67</f>
        <v>0</v>
      </c>
      <c r="AA68" s="628">
        <f>Y68+Z68</f>
        <v>0</v>
      </c>
      <c r="AB68" s="97"/>
      <c r="AC68" s="249"/>
    </row>
    <row r="69" spans="1:29" ht="12">
      <c r="A69" s="178"/>
      <c r="B69" s="179"/>
      <c r="C69" s="107"/>
      <c r="D69" s="179"/>
      <c r="E69" s="107"/>
      <c r="F69" s="249"/>
      <c r="G69" s="179"/>
      <c r="H69" s="179"/>
      <c r="I69" s="107"/>
      <c r="J69" s="179"/>
      <c r="K69" s="107"/>
      <c r="L69" s="178"/>
      <c r="M69" s="179"/>
      <c r="N69" s="107"/>
      <c r="O69" s="179"/>
      <c r="P69" s="107"/>
      <c r="Q69" s="249"/>
      <c r="R69" s="179"/>
      <c r="S69" s="179"/>
      <c r="T69" s="107"/>
      <c r="U69" s="179"/>
      <c r="V69" s="107"/>
      <c r="W69" s="249"/>
      <c r="X69" s="179"/>
      <c r="Y69" s="179"/>
      <c r="Z69" s="107"/>
      <c r="AA69" s="179"/>
      <c r="AB69" s="107"/>
      <c r="AC69" s="249"/>
    </row>
    <row r="70" spans="1:29" ht="12.75" thickBot="1">
      <c r="A70" s="178"/>
      <c r="B70" s="179"/>
      <c r="C70" s="107"/>
      <c r="D70" s="179"/>
      <c r="E70" s="107"/>
      <c r="F70" s="249"/>
      <c r="G70" s="179"/>
      <c r="H70" s="179"/>
      <c r="I70" s="107"/>
      <c r="J70" s="179"/>
      <c r="K70" s="107"/>
      <c r="L70" s="178"/>
      <c r="M70" s="179"/>
      <c r="N70" s="107"/>
      <c r="O70" s="179"/>
      <c r="P70" s="107"/>
      <c r="Q70" s="249"/>
      <c r="R70" s="179"/>
      <c r="S70" s="179"/>
      <c r="T70" s="107"/>
      <c r="U70" s="179"/>
      <c r="V70" s="107"/>
      <c r="W70" s="249"/>
      <c r="X70" s="179"/>
      <c r="Y70" s="179"/>
      <c r="Z70" s="107"/>
      <c r="AA70" s="179"/>
      <c r="AB70" s="107"/>
      <c r="AC70" s="249"/>
    </row>
    <row r="71" spans="1:29" ht="12.75" thickBot="1">
      <c r="A71" s="1057" t="s">
        <v>113</v>
      </c>
      <c r="B71" s="1058"/>
      <c r="C71" s="107"/>
      <c r="D71" s="179"/>
      <c r="E71" s="107"/>
      <c r="F71" s="249"/>
      <c r="G71" s="1084" t="s">
        <v>113</v>
      </c>
      <c r="H71" s="1058"/>
      <c r="I71" s="107"/>
      <c r="J71" s="179"/>
      <c r="K71" s="107"/>
      <c r="L71" s="1057" t="s">
        <v>113</v>
      </c>
      <c r="M71" s="1058"/>
      <c r="N71" s="107"/>
      <c r="O71" s="179"/>
      <c r="P71" s="107"/>
      <c r="Q71" s="249"/>
      <c r="R71" s="1084" t="s">
        <v>113</v>
      </c>
      <c r="S71" s="1058"/>
      <c r="T71" s="107"/>
      <c r="U71" s="179"/>
      <c r="V71" s="107"/>
      <c r="W71" s="249"/>
      <c r="X71" s="1084" t="s">
        <v>113</v>
      </c>
      <c r="Y71" s="1058"/>
      <c r="Z71" s="107"/>
      <c r="AA71" s="179"/>
      <c r="AB71" s="107"/>
      <c r="AC71" s="249"/>
    </row>
    <row r="72" spans="1:29" ht="12">
      <c r="A72" s="566" t="s">
        <v>286</v>
      </c>
      <c r="B72" s="629">
        <f>D68</f>
        <v>0</v>
      </c>
      <c r="C72" s="107"/>
      <c r="D72" s="179"/>
      <c r="E72" s="107"/>
      <c r="F72" s="249"/>
      <c r="G72" s="570" t="s">
        <v>286</v>
      </c>
      <c r="H72" s="630">
        <f>J68</f>
        <v>0</v>
      </c>
      <c r="I72" s="107"/>
      <c r="J72" s="179"/>
      <c r="K72" s="107"/>
      <c r="L72" s="566" t="s">
        <v>286</v>
      </c>
      <c r="M72" s="630">
        <f>O68</f>
        <v>0</v>
      </c>
      <c r="N72" s="107"/>
      <c r="O72" s="179"/>
      <c r="P72" s="107"/>
      <c r="Q72" s="249"/>
      <c r="R72" s="570" t="s">
        <v>286</v>
      </c>
      <c r="S72" s="630">
        <f>U68</f>
        <v>0</v>
      </c>
      <c r="T72" s="107"/>
      <c r="U72" s="179"/>
      <c r="V72" s="107"/>
      <c r="W72" s="249"/>
      <c r="X72" s="570" t="s">
        <v>286</v>
      </c>
      <c r="Y72" s="630">
        <f>AA68</f>
        <v>0</v>
      </c>
      <c r="Z72" s="107"/>
      <c r="AA72" s="179"/>
      <c r="AB72" s="107"/>
      <c r="AC72" s="249"/>
    </row>
    <row r="73" spans="1:29" ht="12.75" thickBot="1">
      <c r="A73" s="567" t="s">
        <v>114</v>
      </c>
      <c r="B73" s="541">
        <f>B13</f>
        <v>5016.8</v>
      </c>
      <c r="C73" s="107"/>
      <c r="D73" s="179"/>
      <c r="E73" s="107"/>
      <c r="F73" s="249"/>
      <c r="G73" s="571" t="s">
        <v>114</v>
      </c>
      <c r="H73" s="541">
        <f>H13</f>
        <v>5016.8</v>
      </c>
      <c r="I73" s="107"/>
      <c r="J73" s="179"/>
      <c r="K73" s="107"/>
      <c r="L73" s="567" t="s">
        <v>114</v>
      </c>
      <c r="M73" s="541">
        <f>M13</f>
        <v>5016.8</v>
      </c>
      <c r="N73" s="107"/>
      <c r="O73" s="179"/>
      <c r="P73" s="107"/>
      <c r="Q73" s="249"/>
      <c r="R73" s="571" t="s">
        <v>114</v>
      </c>
      <c r="S73" s="541">
        <f>S13</f>
        <v>5016.8</v>
      </c>
      <c r="T73" s="107"/>
      <c r="U73" s="179"/>
      <c r="V73" s="107"/>
      <c r="W73" s="249"/>
      <c r="X73" s="571" t="s">
        <v>114</v>
      </c>
      <c r="Y73" s="541">
        <f>Y13</f>
        <v>5016.8</v>
      </c>
      <c r="Z73" s="107"/>
      <c r="AA73" s="179"/>
      <c r="AB73" s="107"/>
      <c r="AC73" s="249"/>
    </row>
    <row r="74" spans="1:29" ht="13.5" thickBot="1">
      <c r="A74" s="535" t="s">
        <v>115</v>
      </c>
      <c r="B74" s="542">
        <f>B72*B73</f>
        <v>0</v>
      </c>
      <c r="C74" s="107"/>
      <c r="D74" s="179"/>
      <c r="E74" s="107"/>
      <c r="F74" s="249"/>
      <c r="G74" s="572" t="s">
        <v>115</v>
      </c>
      <c r="H74" s="542">
        <f>H72*H73</f>
        <v>0</v>
      </c>
      <c r="I74" s="107"/>
      <c r="J74" s="179"/>
      <c r="K74" s="107"/>
      <c r="L74" s="535" t="s">
        <v>115</v>
      </c>
      <c r="M74" s="542">
        <f>M72*M73</f>
        <v>0</v>
      </c>
      <c r="N74" s="107"/>
      <c r="O74" s="179"/>
      <c r="P74" s="107"/>
      <c r="Q74" s="249"/>
      <c r="R74" s="572" t="s">
        <v>115</v>
      </c>
      <c r="S74" s="542">
        <f>S72*S73</f>
        <v>0</v>
      </c>
      <c r="T74" s="107"/>
      <c r="U74" s="179"/>
      <c r="V74" s="107"/>
      <c r="W74" s="249"/>
      <c r="X74" s="572" t="s">
        <v>115</v>
      </c>
      <c r="Y74" s="542">
        <f>Y72*Y73</f>
        <v>0</v>
      </c>
      <c r="Z74" s="107"/>
      <c r="AA74" s="179"/>
      <c r="AB74" s="107"/>
      <c r="AC74" s="249"/>
    </row>
    <row r="75" spans="1:29" ht="12.75">
      <c r="A75" s="191"/>
      <c r="B75" s="192"/>
      <c r="C75" s="107"/>
      <c r="D75" s="107"/>
      <c r="E75" s="179"/>
      <c r="F75" s="250"/>
      <c r="G75" s="239"/>
      <c r="H75" s="192"/>
      <c r="I75" s="107"/>
      <c r="J75" s="107"/>
      <c r="K75" s="179"/>
      <c r="L75" s="191"/>
      <c r="M75" s="192"/>
      <c r="N75" s="107"/>
      <c r="O75" s="107"/>
      <c r="P75" s="179"/>
      <c r="Q75" s="250"/>
      <c r="R75" s="239"/>
      <c r="S75" s="192"/>
      <c r="T75" s="107"/>
      <c r="U75" s="107"/>
      <c r="V75" s="179"/>
      <c r="W75" s="250"/>
      <c r="X75" s="239"/>
      <c r="Y75" s="192"/>
      <c r="Z75" s="107"/>
      <c r="AA75" s="107"/>
      <c r="AB75" s="179"/>
      <c r="AC75" s="250"/>
    </row>
    <row r="76" spans="1:29" ht="13.5" thickBot="1">
      <c r="A76" s="191"/>
      <c r="B76" s="192"/>
      <c r="C76" s="107"/>
      <c r="D76" s="107"/>
      <c r="E76" s="179"/>
      <c r="F76" s="250"/>
      <c r="G76" s="239"/>
      <c r="H76" s="192"/>
      <c r="I76" s="107"/>
      <c r="J76" s="107"/>
      <c r="K76" s="179"/>
      <c r="L76" s="191"/>
      <c r="M76" s="192"/>
      <c r="N76" s="107"/>
      <c r="O76" s="107"/>
      <c r="P76" s="179"/>
      <c r="Q76" s="250"/>
      <c r="R76" s="239"/>
      <c r="S76" s="192"/>
      <c r="T76" s="107"/>
      <c r="U76" s="107"/>
      <c r="V76" s="179"/>
      <c r="W76" s="250"/>
      <c r="X76" s="239"/>
      <c r="Y76" s="192"/>
      <c r="Z76" s="107"/>
      <c r="AA76" s="107"/>
      <c r="AB76" s="179"/>
      <c r="AC76" s="250"/>
    </row>
    <row r="77" spans="1:29" ht="12.75" thickBot="1">
      <c r="A77" s="1057" t="s">
        <v>116</v>
      </c>
      <c r="B77" s="1058"/>
      <c r="C77" s="107"/>
      <c r="D77" s="107"/>
      <c r="E77" s="179"/>
      <c r="F77" s="248"/>
      <c r="G77" s="1084" t="s">
        <v>116</v>
      </c>
      <c r="H77" s="1058"/>
      <c r="I77" s="107"/>
      <c r="J77" s="107"/>
      <c r="K77" s="179"/>
      <c r="L77" s="1057" t="s">
        <v>116</v>
      </c>
      <c r="M77" s="1058"/>
      <c r="N77" s="107"/>
      <c r="O77" s="107"/>
      <c r="P77" s="179"/>
      <c r="Q77" s="248"/>
      <c r="R77" s="1084" t="s">
        <v>116</v>
      </c>
      <c r="S77" s="1058"/>
      <c r="T77" s="107"/>
      <c r="U77" s="107"/>
      <c r="V77" s="179"/>
      <c r="W77" s="248"/>
      <c r="X77" s="1084" t="s">
        <v>116</v>
      </c>
      <c r="Y77" s="1058"/>
      <c r="Z77" s="107"/>
      <c r="AA77" s="107"/>
      <c r="AB77" s="179"/>
      <c r="AC77" s="248"/>
    </row>
    <row r="78" spans="1:29" ht="12">
      <c r="A78" s="566" t="s">
        <v>117</v>
      </c>
      <c r="B78" s="540">
        <f>D66</f>
        <v>0</v>
      </c>
      <c r="C78" s="107"/>
      <c r="D78" s="107"/>
      <c r="E78" s="179"/>
      <c r="F78" s="249"/>
      <c r="G78" s="570" t="s">
        <v>117</v>
      </c>
      <c r="H78" s="540">
        <f>J66</f>
        <v>0</v>
      </c>
      <c r="I78" s="107"/>
      <c r="J78" s="107"/>
      <c r="K78" s="179"/>
      <c r="L78" s="566" t="s">
        <v>117</v>
      </c>
      <c r="M78" s="540">
        <f>O66</f>
        <v>0</v>
      </c>
      <c r="N78" s="107"/>
      <c r="O78" s="107"/>
      <c r="P78" s="179"/>
      <c r="Q78" s="249"/>
      <c r="R78" s="570" t="s">
        <v>117</v>
      </c>
      <c r="S78" s="540">
        <f>U66</f>
        <v>0</v>
      </c>
      <c r="T78" s="107"/>
      <c r="U78" s="107"/>
      <c r="V78" s="179"/>
      <c r="W78" s="249"/>
      <c r="X78" s="570" t="s">
        <v>117</v>
      </c>
      <c r="Y78" s="540">
        <f>AA66</f>
        <v>0</v>
      </c>
      <c r="Z78" s="107"/>
      <c r="AA78" s="107"/>
      <c r="AB78" s="179"/>
      <c r="AC78" s="249"/>
    </row>
    <row r="79" spans="1:29" ht="12.75" thickBot="1">
      <c r="A79" s="567" t="s">
        <v>118</v>
      </c>
      <c r="B79" s="541">
        <f>B14</f>
        <v>1973.81</v>
      </c>
      <c r="C79" s="107"/>
      <c r="D79" s="107"/>
      <c r="E79" s="107"/>
      <c r="F79" s="249"/>
      <c r="G79" s="571" t="s">
        <v>118</v>
      </c>
      <c r="H79" s="541">
        <f>H14</f>
        <v>1973.81</v>
      </c>
      <c r="I79" s="107"/>
      <c r="J79" s="107"/>
      <c r="K79" s="107"/>
      <c r="L79" s="567" t="s">
        <v>118</v>
      </c>
      <c r="M79" s="541">
        <f>M14</f>
        <v>1973.81</v>
      </c>
      <c r="N79" s="107"/>
      <c r="O79" s="107"/>
      <c r="P79" s="107"/>
      <c r="Q79" s="249"/>
      <c r="R79" s="571" t="s">
        <v>118</v>
      </c>
      <c r="S79" s="541">
        <f>S14</f>
        <v>1973.81</v>
      </c>
      <c r="T79" s="107"/>
      <c r="U79" s="107"/>
      <c r="V79" s="107"/>
      <c r="W79" s="249"/>
      <c r="X79" s="571" t="s">
        <v>118</v>
      </c>
      <c r="Y79" s="541">
        <f>Y14</f>
        <v>1973.81</v>
      </c>
      <c r="Z79" s="107"/>
      <c r="AA79" s="107"/>
      <c r="AB79" s="107"/>
      <c r="AC79" s="249"/>
    </row>
    <row r="80" spans="1:29" ht="13.5" thickBot="1">
      <c r="A80" s="535" t="s">
        <v>119</v>
      </c>
      <c r="B80" s="542">
        <f>B78*B79</f>
        <v>0</v>
      </c>
      <c r="C80" s="107"/>
      <c r="D80" s="107"/>
      <c r="E80" s="107"/>
      <c r="F80" s="249"/>
      <c r="G80" s="572" t="s">
        <v>119</v>
      </c>
      <c r="H80" s="542">
        <f>H78*H79</f>
        <v>0</v>
      </c>
      <c r="I80" s="107"/>
      <c r="J80" s="107"/>
      <c r="K80" s="107"/>
      <c r="L80" s="535" t="s">
        <v>119</v>
      </c>
      <c r="M80" s="542">
        <f>M78*M79</f>
        <v>0</v>
      </c>
      <c r="N80" s="107"/>
      <c r="O80" s="107"/>
      <c r="P80" s="107"/>
      <c r="Q80" s="249"/>
      <c r="R80" s="572" t="s">
        <v>119</v>
      </c>
      <c r="S80" s="542">
        <f>S78*S79</f>
        <v>0</v>
      </c>
      <c r="T80" s="107"/>
      <c r="U80" s="107"/>
      <c r="V80" s="107"/>
      <c r="W80" s="249"/>
      <c r="X80" s="572" t="s">
        <v>119</v>
      </c>
      <c r="Y80" s="542">
        <f>Y78*Y79</f>
        <v>0</v>
      </c>
      <c r="Z80" s="107"/>
      <c r="AA80" s="107"/>
      <c r="AB80" s="107"/>
      <c r="AC80" s="249"/>
    </row>
    <row r="81" spans="1:29" ht="12">
      <c r="A81" s="193"/>
      <c r="B81" s="184"/>
      <c r="C81" s="184"/>
      <c r="D81" s="176"/>
      <c r="E81" s="188"/>
      <c r="F81" s="249"/>
      <c r="G81" s="184"/>
      <c r="H81" s="184"/>
      <c r="I81" s="184"/>
      <c r="J81" s="176"/>
      <c r="K81" s="188"/>
      <c r="L81" s="193"/>
      <c r="M81" s="184"/>
      <c r="N81" s="184"/>
      <c r="O81" s="176"/>
      <c r="P81" s="188"/>
      <c r="Q81" s="249"/>
      <c r="R81" s="184"/>
      <c r="S81" s="184"/>
      <c r="T81" s="184"/>
      <c r="U81" s="176"/>
      <c r="V81" s="188"/>
      <c r="W81" s="249"/>
      <c r="X81" s="184"/>
      <c r="Y81" s="184"/>
      <c r="Z81" s="184"/>
      <c r="AA81" s="176"/>
      <c r="AB81" s="188"/>
      <c r="AC81" s="249"/>
    </row>
    <row r="82" spans="1:29" ht="12.75" thickBot="1">
      <c r="A82" s="193"/>
      <c r="B82" s="184"/>
      <c r="C82" s="184"/>
      <c r="D82" s="176"/>
      <c r="E82" s="188"/>
      <c r="F82" s="249"/>
      <c r="G82" s="184"/>
      <c r="H82" s="184"/>
      <c r="I82" s="184"/>
      <c r="J82" s="176"/>
      <c r="K82" s="188"/>
      <c r="L82" s="193"/>
      <c r="M82" s="184"/>
      <c r="N82" s="184"/>
      <c r="O82" s="176"/>
      <c r="P82" s="188"/>
      <c r="Q82" s="249"/>
      <c r="R82" s="184"/>
      <c r="S82" s="184"/>
      <c r="T82" s="184"/>
      <c r="U82" s="176"/>
      <c r="V82" s="188"/>
      <c r="W82" s="249"/>
      <c r="X82" s="184"/>
      <c r="Y82" s="184"/>
      <c r="Z82" s="184"/>
      <c r="AA82" s="176"/>
      <c r="AB82" s="188"/>
      <c r="AC82" s="249"/>
    </row>
    <row r="83" spans="1:29" ht="12.75" thickBot="1">
      <c r="A83" s="1057" t="s">
        <v>120</v>
      </c>
      <c r="B83" s="1058"/>
      <c r="C83" s="184"/>
      <c r="D83" s="176"/>
      <c r="E83" s="188"/>
      <c r="F83" s="249"/>
      <c r="G83" s="1084" t="s">
        <v>120</v>
      </c>
      <c r="H83" s="1058"/>
      <c r="I83" s="184"/>
      <c r="J83" s="176"/>
      <c r="K83" s="188"/>
      <c r="L83" s="1057" t="s">
        <v>120</v>
      </c>
      <c r="M83" s="1058"/>
      <c r="N83" s="184"/>
      <c r="O83" s="176"/>
      <c r="P83" s="188"/>
      <c r="Q83" s="249"/>
      <c r="R83" s="1084" t="s">
        <v>120</v>
      </c>
      <c r="S83" s="1058"/>
      <c r="T83" s="184"/>
      <c r="U83" s="176"/>
      <c r="V83" s="188"/>
      <c r="W83" s="249"/>
      <c r="X83" s="1084" t="s">
        <v>120</v>
      </c>
      <c r="Y83" s="1058"/>
      <c r="Z83" s="184"/>
      <c r="AA83" s="176"/>
      <c r="AB83" s="188"/>
      <c r="AC83" s="249"/>
    </row>
    <row r="84" spans="1:29" ht="12">
      <c r="A84" s="566" t="s">
        <v>115</v>
      </c>
      <c r="B84" s="544">
        <f>B74</f>
        <v>0</v>
      </c>
      <c r="C84" s="184"/>
      <c r="D84" s="176"/>
      <c r="E84" s="188"/>
      <c r="F84" s="249"/>
      <c r="G84" s="570" t="s">
        <v>115</v>
      </c>
      <c r="H84" s="544">
        <f>H74</f>
        <v>0</v>
      </c>
      <c r="I84" s="184"/>
      <c r="J84" s="176"/>
      <c r="K84" s="188"/>
      <c r="L84" s="566" t="s">
        <v>115</v>
      </c>
      <c r="M84" s="544">
        <f>M74</f>
        <v>0</v>
      </c>
      <c r="N84" s="184"/>
      <c r="O84" s="176"/>
      <c r="P84" s="188"/>
      <c r="Q84" s="249"/>
      <c r="R84" s="570" t="s">
        <v>115</v>
      </c>
      <c r="S84" s="544">
        <f>S74</f>
        <v>0</v>
      </c>
      <c r="T84" s="184"/>
      <c r="U84" s="176"/>
      <c r="V84" s="188"/>
      <c r="W84" s="249"/>
      <c r="X84" s="570" t="s">
        <v>115</v>
      </c>
      <c r="Y84" s="544">
        <f>Y74</f>
        <v>0</v>
      </c>
      <c r="Z84" s="184"/>
      <c r="AA84" s="176"/>
      <c r="AB84" s="188"/>
      <c r="AC84" s="249"/>
    </row>
    <row r="85" spans="1:29" ht="12.75" thickBot="1">
      <c r="A85" s="566" t="s">
        <v>119</v>
      </c>
      <c r="B85" s="545">
        <f>B80</f>
        <v>0</v>
      </c>
      <c r="C85" s="184"/>
      <c r="D85" s="176"/>
      <c r="E85" s="188"/>
      <c r="F85" s="249"/>
      <c r="G85" s="570" t="s">
        <v>119</v>
      </c>
      <c r="H85" s="545">
        <f>H80</f>
        <v>0</v>
      </c>
      <c r="I85" s="184"/>
      <c r="J85" s="176"/>
      <c r="K85" s="188"/>
      <c r="L85" s="566" t="s">
        <v>119</v>
      </c>
      <c r="M85" s="545">
        <f>M80</f>
        <v>0</v>
      </c>
      <c r="N85" s="184"/>
      <c r="O85" s="176"/>
      <c r="P85" s="188"/>
      <c r="Q85" s="249"/>
      <c r="R85" s="570" t="s">
        <v>119</v>
      </c>
      <c r="S85" s="545">
        <f>S80</f>
        <v>0</v>
      </c>
      <c r="T85" s="184"/>
      <c r="U85" s="176"/>
      <c r="V85" s="188"/>
      <c r="W85" s="249"/>
      <c r="X85" s="570" t="s">
        <v>119</v>
      </c>
      <c r="Y85" s="545">
        <f>Y80</f>
        <v>0</v>
      </c>
      <c r="Z85" s="184"/>
      <c r="AA85" s="176"/>
      <c r="AB85" s="188"/>
      <c r="AC85" s="249"/>
    </row>
    <row r="86" spans="1:29" ht="13.5" thickBot="1">
      <c r="A86" s="535" t="s">
        <v>121</v>
      </c>
      <c r="B86" s="542">
        <f>B84+B85</f>
        <v>0</v>
      </c>
      <c r="C86" s="184"/>
      <c r="D86" s="176"/>
      <c r="E86" s="188"/>
      <c r="F86" s="249"/>
      <c r="G86" s="572" t="s">
        <v>121</v>
      </c>
      <c r="H86" s="542">
        <f>H84+H85</f>
        <v>0</v>
      </c>
      <c r="I86" s="184"/>
      <c r="J86" s="176"/>
      <c r="K86" s="188"/>
      <c r="L86" s="535" t="s">
        <v>121</v>
      </c>
      <c r="M86" s="542">
        <f>M84+M85</f>
        <v>0</v>
      </c>
      <c r="N86" s="184"/>
      <c r="O86" s="176"/>
      <c r="P86" s="188"/>
      <c r="Q86" s="249"/>
      <c r="R86" s="572" t="s">
        <v>121</v>
      </c>
      <c r="S86" s="542">
        <f>S84+S85</f>
        <v>0</v>
      </c>
      <c r="T86" s="184"/>
      <c r="U86" s="176"/>
      <c r="V86" s="188"/>
      <c r="W86" s="249"/>
      <c r="X86" s="572" t="s">
        <v>121</v>
      </c>
      <c r="Y86" s="542">
        <f>Y84+Y85</f>
        <v>0</v>
      </c>
      <c r="Z86" s="184"/>
      <c r="AA86" s="176"/>
      <c r="AB86" s="188"/>
      <c r="AC86" s="249"/>
    </row>
    <row r="87" spans="1:29" ht="12">
      <c r="A87" s="193"/>
      <c r="B87" s="184"/>
      <c r="C87" s="184"/>
      <c r="D87" s="176"/>
      <c r="E87" s="188"/>
      <c r="F87" s="249"/>
      <c r="G87" s="184"/>
      <c r="H87" s="184"/>
      <c r="I87" s="184"/>
      <c r="J87" s="176"/>
      <c r="K87" s="188"/>
      <c r="L87" s="193"/>
      <c r="M87" s="184"/>
      <c r="N87" s="184"/>
      <c r="O87" s="176"/>
      <c r="P87" s="188"/>
      <c r="Q87" s="249"/>
      <c r="R87" s="184"/>
      <c r="S87" s="184"/>
      <c r="T87" s="184"/>
      <c r="U87" s="176"/>
      <c r="V87" s="188"/>
      <c r="W87" s="249"/>
      <c r="X87" s="184"/>
      <c r="Y87" s="184"/>
      <c r="Z87" s="184"/>
      <c r="AA87" s="176"/>
      <c r="AB87" s="188"/>
      <c r="AC87" s="249"/>
    </row>
    <row r="88" spans="1:29" ht="12">
      <c r="A88" s="193"/>
      <c r="B88" s="184"/>
      <c r="C88" s="184"/>
      <c r="D88" s="176"/>
      <c r="E88" s="188"/>
      <c r="F88" s="249"/>
      <c r="G88" s="184"/>
      <c r="H88" s="184"/>
      <c r="I88" s="184"/>
      <c r="J88" s="176"/>
      <c r="K88" s="188"/>
      <c r="L88" s="193"/>
      <c r="M88" s="184"/>
      <c r="N88" s="184"/>
      <c r="O88" s="176"/>
      <c r="P88" s="188"/>
      <c r="Q88" s="249"/>
      <c r="R88" s="184"/>
      <c r="S88" s="184"/>
      <c r="T88" s="184"/>
      <c r="U88" s="176"/>
      <c r="V88" s="188"/>
      <c r="W88" s="249"/>
      <c r="X88" s="184"/>
      <c r="Y88" s="184"/>
      <c r="Z88" s="184"/>
      <c r="AA88" s="176"/>
      <c r="AB88" s="188"/>
      <c r="AC88" s="249"/>
    </row>
    <row r="89" spans="1:29" ht="12">
      <c r="A89" s="193"/>
      <c r="B89" s="184"/>
      <c r="C89" s="184"/>
      <c r="D89" s="176"/>
      <c r="E89" s="188"/>
      <c r="F89" s="249"/>
      <c r="G89" s="184"/>
      <c r="H89" s="184"/>
      <c r="I89" s="184"/>
      <c r="J89" s="176"/>
      <c r="K89" s="188"/>
      <c r="L89" s="193"/>
      <c r="M89" s="184"/>
      <c r="N89" s="184"/>
      <c r="O89" s="176"/>
      <c r="P89" s="188"/>
      <c r="Q89" s="249"/>
      <c r="R89" s="184"/>
      <c r="S89" s="184"/>
      <c r="T89" s="184"/>
      <c r="U89" s="176"/>
      <c r="V89" s="188"/>
      <c r="W89" s="249"/>
      <c r="X89" s="184"/>
      <c r="Y89" s="184"/>
      <c r="Z89" s="184"/>
      <c r="AA89" s="176"/>
      <c r="AB89" s="188"/>
      <c r="AC89" s="249"/>
    </row>
    <row r="90" spans="1:29" ht="12.75" thickBot="1">
      <c r="A90" s="193"/>
      <c r="B90" s="184"/>
      <c r="C90" s="184"/>
      <c r="D90" s="176"/>
      <c r="E90" s="188"/>
      <c r="F90" s="249"/>
      <c r="G90" s="184"/>
      <c r="H90" s="184"/>
      <c r="I90" s="184"/>
      <c r="J90" s="176"/>
      <c r="K90" s="188"/>
      <c r="L90" s="437"/>
      <c r="M90" s="438"/>
      <c r="N90" s="184"/>
      <c r="O90" s="176"/>
      <c r="P90" s="188"/>
      <c r="Q90" s="249"/>
      <c r="R90" s="184"/>
      <c r="S90" s="184"/>
      <c r="T90" s="184"/>
      <c r="U90" s="176"/>
      <c r="V90" s="188"/>
      <c r="W90" s="249"/>
      <c r="X90" s="184"/>
      <c r="Y90" s="184"/>
      <c r="Z90" s="184"/>
      <c r="AA90" s="176"/>
      <c r="AB90" s="188"/>
      <c r="AC90" s="249"/>
    </row>
    <row r="91" spans="1:29" ht="16.5" customHeight="1" thickBot="1">
      <c r="A91" s="1055" t="s">
        <v>277</v>
      </c>
      <c r="B91" s="1056"/>
      <c r="C91" s="1056"/>
      <c r="D91" s="1056"/>
      <c r="E91" s="1096"/>
      <c r="F91" s="661"/>
      <c r="G91" s="1055" t="s">
        <v>277</v>
      </c>
      <c r="H91" s="1056"/>
      <c r="I91" s="1056"/>
      <c r="J91" s="1056"/>
      <c r="K91" s="1056"/>
      <c r="L91" s="1055" t="s">
        <v>277</v>
      </c>
      <c r="M91" s="1056"/>
      <c r="N91" s="1056"/>
      <c r="O91" s="1056"/>
      <c r="P91" s="1096"/>
      <c r="Q91" s="249"/>
      <c r="R91" s="1055" t="s">
        <v>277</v>
      </c>
      <c r="S91" s="1056"/>
      <c r="T91" s="1056"/>
      <c r="U91" s="1056"/>
      <c r="V91" s="1096"/>
      <c r="W91" s="249"/>
      <c r="X91" s="1055" t="s">
        <v>277</v>
      </c>
      <c r="Y91" s="1056"/>
      <c r="Z91" s="1056"/>
      <c r="AA91" s="1056"/>
      <c r="AB91" s="1096"/>
      <c r="AC91" s="249"/>
    </row>
    <row r="92" spans="1:29" ht="34.5" customHeight="1" thickBot="1">
      <c r="A92" s="1059" t="s">
        <v>420</v>
      </c>
      <c r="B92" s="1060"/>
      <c r="C92" s="1060"/>
      <c r="D92" s="1060"/>
      <c r="E92" s="1099"/>
      <c r="F92" s="662"/>
      <c r="G92" s="1059" t="s">
        <v>420</v>
      </c>
      <c r="H92" s="1060"/>
      <c r="I92" s="1060"/>
      <c r="J92" s="1060"/>
      <c r="K92" s="1060"/>
      <c r="L92" s="1059" t="s">
        <v>420</v>
      </c>
      <c r="M92" s="1060"/>
      <c r="N92" s="1060"/>
      <c r="O92" s="1060"/>
      <c r="P92" s="1099"/>
      <c r="Q92" s="249"/>
      <c r="R92" s="1059" t="s">
        <v>420</v>
      </c>
      <c r="S92" s="1060"/>
      <c r="T92" s="1060"/>
      <c r="U92" s="1060"/>
      <c r="V92" s="1099"/>
      <c r="W92" s="249"/>
      <c r="X92" s="1059" t="s">
        <v>420</v>
      </c>
      <c r="Y92" s="1060"/>
      <c r="Z92" s="1060"/>
      <c r="AA92" s="1060"/>
      <c r="AB92" s="1099"/>
      <c r="AC92" s="249"/>
    </row>
    <row r="93" spans="1:29" ht="15.75" thickBot="1">
      <c r="A93" s="172"/>
      <c r="B93" s="173"/>
      <c r="C93" s="173"/>
      <c r="D93" s="171"/>
      <c r="E93" s="445"/>
      <c r="F93" s="663"/>
      <c r="G93" s="172"/>
      <c r="H93" s="173"/>
      <c r="I93" s="173"/>
      <c r="J93" s="171"/>
      <c r="K93" s="171"/>
      <c r="L93" s="172"/>
      <c r="M93" s="173"/>
      <c r="N93" s="173"/>
      <c r="O93" s="171"/>
      <c r="P93" s="171"/>
      <c r="Q93" s="249"/>
      <c r="R93" s="172"/>
      <c r="S93" s="173"/>
      <c r="T93" s="173"/>
      <c r="U93" s="171"/>
      <c r="V93" s="171"/>
      <c r="W93" s="249"/>
      <c r="X93" s="172"/>
      <c r="Y93" s="173"/>
      <c r="Z93" s="173"/>
      <c r="AA93" s="171"/>
      <c r="AB93" s="171"/>
      <c r="AC93" s="249"/>
    </row>
    <row r="94" spans="1:29" ht="24.75" thickBot="1">
      <c r="A94" s="488" t="s">
        <v>92</v>
      </c>
      <c r="B94" s="937" t="s">
        <v>450</v>
      </c>
      <c r="C94" s="577" t="s">
        <v>124</v>
      </c>
      <c r="D94" s="488" t="s">
        <v>94</v>
      </c>
      <c r="E94" s="568" t="s">
        <v>39</v>
      </c>
      <c r="F94" s="664"/>
      <c r="G94" s="488" t="s">
        <v>92</v>
      </c>
      <c r="H94" s="576" t="str">
        <f>B94</f>
        <v>Gen Ed and  LRE1Students</v>
      </c>
      <c r="I94" s="625" t="s">
        <v>124</v>
      </c>
      <c r="J94" s="488" t="s">
        <v>323</v>
      </c>
      <c r="K94" s="568" t="s">
        <v>39</v>
      </c>
      <c r="L94" s="488" t="s">
        <v>92</v>
      </c>
      <c r="M94" s="1011" t="str">
        <f>B94</f>
        <v>Gen Ed and  LRE1Students</v>
      </c>
      <c r="N94" s="1014" t="str">
        <f>C94</f>
        <v>LRE2 Students</v>
      </c>
      <c r="O94" s="488" t="str">
        <f>D94</f>
        <v>LRE3 Students</v>
      </c>
      <c r="P94" s="488" t="str">
        <f>K94</f>
        <v>Total Enrollment</v>
      </c>
      <c r="Q94" s="249"/>
      <c r="R94" s="488" t="s">
        <v>92</v>
      </c>
      <c r="S94" s="937" t="str">
        <f>H94</f>
        <v>Gen Ed and  LRE1Students</v>
      </c>
      <c r="T94" s="938" t="s">
        <v>124</v>
      </c>
      <c r="U94" s="488" t="s">
        <v>94</v>
      </c>
      <c r="V94" s="488" t="str">
        <f>K94</f>
        <v>Total Enrollment</v>
      </c>
      <c r="W94" s="249"/>
      <c r="X94" s="488" t="s">
        <v>92</v>
      </c>
      <c r="Y94" s="576" t="str">
        <f>B94</f>
        <v>Gen Ed and  LRE1Students</v>
      </c>
      <c r="Z94" s="937" t="str">
        <f>C94</f>
        <v>LRE2 Students</v>
      </c>
      <c r="AA94" s="595" t="str">
        <f>D94</f>
        <v>LRE3 Students</v>
      </c>
      <c r="AB94" s="595" t="str">
        <f>E94</f>
        <v>Total Enrollment</v>
      </c>
      <c r="AC94" s="249"/>
    </row>
    <row r="95" spans="1:29" ht="12">
      <c r="A95" s="531">
        <v>6</v>
      </c>
      <c r="B95" s="175"/>
      <c r="C95" s="177"/>
      <c r="D95" s="844"/>
      <c r="E95" s="546">
        <f>SUM(B95:D95)</f>
        <v>0</v>
      </c>
      <c r="F95" s="665"/>
      <c r="G95" s="531">
        <v>6</v>
      </c>
      <c r="H95" s="175"/>
      <c r="I95" s="177"/>
      <c r="J95" s="846"/>
      <c r="K95" s="546">
        <f>SUM(H95:J95)</f>
        <v>0</v>
      </c>
      <c r="L95" s="531">
        <v>6</v>
      </c>
      <c r="M95" s="988"/>
      <c r="N95" s="988"/>
      <c r="O95" s="988"/>
      <c r="P95" s="532">
        <f>SUM(M95:O95)</f>
        <v>0</v>
      </c>
      <c r="Q95" s="676"/>
      <c r="R95" s="531">
        <v>6</v>
      </c>
      <c r="S95" s="988"/>
      <c r="T95" s="988"/>
      <c r="U95" s="988"/>
      <c r="V95" s="642">
        <f>SUM(S95:U95)</f>
        <v>0</v>
      </c>
      <c r="W95" s="249"/>
      <c r="X95" s="531">
        <v>6</v>
      </c>
      <c r="Y95" s="988"/>
      <c r="Z95" s="988"/>
      <c r="AA95" s="988"/>
      <c r="AB95" s="642">
        <f>SUM(Y95:AA95)</f>
        <v>0</v>
      </c>
      <c r="AC95" s="249"/>
    </row>
    <row r="96" spans="1:29" ht="12">
      <c r="A96" s="531">
        <v>7</v>
      </c>
      <c r="B96" s="175"/>
      <c r="C96" s="177"/>
      <c r="D96" s="844"/>
      <c r="E96" s="546">
        <f>SUM(B96:D96)</f>
        <v>0</v>
      </c>
      <c r="F96" s="665"/>
      <c r="G96" s="531">
        <v>7</v>
      </c>
      <c r="H96" s="175"/>
      <c r="I96" s="177"/>
      <c r="J96" s="846"/>
      <c r="K96" s="546">
        <f>SUM(H96:J96)</f>
        <v>0</v>
      </c>
      <c r="L96" s="531">
        <v>7</v>
      </c>
      <c r="M96" s="988"/>
      <c r="N96" s="988"/>
      <c r="O96" s="988"/>
      <c r="P96" s="533">
        <f>SUM(M96:O96)</f>
        <v>0</v>
      </c>
      <c r="Q96" s="676"/>
      <c r="R96" s="531">
        <v>7</v>
      </c>
      <c r="S96" s="988"/>
      <c r="T96" s="988"/>
      <c r="U96" s="988"/>
      <c r="V96" s="642">
        <f>SUM(S96:U96)</f>
        <v>0</v>
      </c>
      <c r="W96" s="249"/>
      <c r="X96" s="531">
        <v>7</v>
      </c>
      <c r="Y96" s="988"/>
      <c r="Z96" s="988"/>
      <c r="AA96" s="988"/>
      <c r="AB96" s="642">
        <f>SUM(Y96:AA96)</f>
        <v>0</v>
      </c>
      <c r="AC96" s="249"/>
    </row>
    <row r="97" spans="1:29" ht="12.75" thickBot="1">
      <c r="A97" s="575">
        <v>8</v>
      </c>
      <c r="B97" s="175"/>
      <c r="C97" s="580"/>
      <c r="D97" s="845"/>
      <c r="E97" s="579">
        <f>SUM(B97:D97)</f>
        <v>0</v>
      </c>
      <c r="F97" s="666"/>
      <c r="G97" s="575">
        <v>8</v>
      </c>
      <c r="H97" s="175"/>
      <c r="I97" s="177"/>
      <c r="J97" s="847"/>
      <c r="K97" s="579">
        <f>SUM(H97:J97)</f>
        <v>0</v>
      </c>
      <c r="L97" s="575">
        <v>8</v>
      </c>
      <c r="M97" s="988"/>
      <c r="N97" s="988"/>
      <c r="O97" s="989"/>
      <c r="P97" s="534">
        <f>SUM(M97:O97)</f>
        <v>0</v>
      </c>
      <c r="Q97" s="676"/>
      <c r="R97" s="575">
        <v>8</v>
      </c>
      <c r="S97" s="988"/>
      <c r="T97" s="988"/>
      <c r="U97" s="988"/>
      <c r="V97" s="642">
        <f>SUM(S97:U97)</f>
        <v>0</v>
      </c>
      <c r="W97" s="249"/>
      <c r="X97" s="575">
        <v>8</v>
      </c>
      <c r="Y97" s="988"/>
      <c r="Z97" s="988"/>
      <c r="AA97" s="988"/>
      <c r="AB97" s="642">
        <f>SUM(Y97:AA97)</f>
        <v>0</v>
      </c>
      <c r="AC97" s="249"/>
    </row>
    <row r="98" spans="1:29" ht="12.75" thickBot="1">
      <c r="A98" s="556" t="s">
        <v>292</v>
      </c>
      <c r="B98" s="537">
        <f>SUM(B95:B97)</f>
        <v>0</v>
      </c>
      <c r="C98" s="539">
        <f>SUM(C95:C97)</f>
        <v>0</v>
      </c>
      <c r="D98" s="539">
        <f>SUM(D95:D97)</f>
        <v>0</v>
      </c>
      <c r="E98" s="535">
        <f>SUM(E95:E97)</f>
        <v>0</v>
      </c>
      <c r="F98" s="664"/>
      <c r="G98" s="556" t="s">
        <v>292</v>
      </c>
      <c r="H98" s="536">
        <f>SUM(H95:H97)</f>
        <v>0</v>
      </c>
      <c r="I98" s="537">
        <f>SUM(I95:I97)</f>
        <v>0</v>
      </c>
      <c r="J98" s="539">
        <f>SUM(J95:J97)</f>
        <v>0</v>
      </c>
      <c r="K98" s="547">
        <f>SUM(K95:K97)</f>
        <v>0</v>
      </c>
      <c r="L98" s="556" t="s">
        <v>292</v>
      </c>
      <c r="M98" s="536">
        <f>SUM(M95:M97)</f>
        <v>0</v>
      </c>
      <c r="N98" s="537">
        <f>SUM(N95:N97)</f>
        <v>0</v>
      </c>
      <c r="O98" s="537">
        <f>SUM(O95:O97)</f>
        <v>0</v>
      </c>
      <c r="P98" s="539">
        <f>SUM(P95:P97)</f>
        <v>0</v>
      </c>
      <c r="Q98" s="249"/>
      <c r="R98" s="556" t="s">
        <v>292</v>
      </c>
      <c r="S98" s="536">
        <f>SUM(S95:S97)</f>
        <v>0</v>
      </c>
      <c r="T98" s="537">
        <f>SUM(T95:T97)</f>
        <v>0</v>
      </c>
      <c r="U98" s="537">
        <f>SUM(U95:U97)</f>
        <v>0</v>
      </c>
      <c r="V98" s="537">
        <f>SUM(V95:V97)</f>
        <v>0</v>
      </c>
      <c r="W98" s="249"/>
      <c r="X98" s="556" t="s">
        <v>292</v>
      </c>
      <c r="Y98" s="536">
        <f>SUM(Y95:Y97)</f>
        <v>0</v>
      </c>
      <c r="Z98" s="537">
        <f>SUM(Z95:Z97)</f>
        <v>0</v>
      </c>
      <c r="AA98" s="539">
        <f>SUM(AA95:AA97)</f>
        <v>0</v>
      </c>
      <c r="AB98" s="539">
        <f>SUM(AB95:AB97)</f>
        <v>0</v>
      </c>
      <c r="AC98" s="249"/>
    </row>
    <row r="99" spans="1:29" ht="12.75" thickBot="1">
      <c r="A99" s="557" t="s">
        <v>98</v>
      </c>
      <c r="B99" s="538">
        <v>1</v>
      </c>
      <c r="C99" s="631">
        <v>0.7</v>
      </c>
      <c r="D99" s="632">
        <v>0.4</v>
      </c>
      <c r="E99" s="190"/>
      <c r="F99" s="664"/>
      <c r="G99" s="557" t="s">
        <v>98</v>
      </c>
      <c r="H99" s="538">
        <v>1</v>
      </c>
      <c r="I99" s="631">
        <v>0.7</v>
      </c>
      <c r="J99" s="632">
        <v>0.4</v>
      </c>
      <c r="K99" s="97"/>
      <c r="L99" s="557" t="s">
        <v>98</v>
      </c>
      <c r="M99" s="538">
        <v>1</v>
      </c>
      <c r="N99" s="538">
        <v>0.7</v>
      </c>
      <c r="O99" s="538">
        <v>0.4</v>
      </c>
      <c r="P99" s="97"/>
      <c r="Q99" s="249"/>
      <c r="R99" s="557" t="s">
        <v>98</v>
      </c>
      <c r="S99" s="538">
        <v>1</v>
      </c>
      <c r="T99" s="538">
        <v>0.7</v>
      </c>
      <c r="U99" s="538">
        <v>0.4</v>
      </c>
      <c r="V99" s="944"/>
      <c r="W99" s="249"/>
      <c r="X99" s="557" t="s">
        <v>98</v>
      </c>
      <c r="Y99" s="538">
        <v>1</v>
      </c>
      <c r="Z99" s="538">
        <v>0.7</v>
      </c>
      <c r="AA99" s="538">
        <v>0.4</v>
      </c>
      <c r="AB99" s="97"/>
      <c r="AC99" s="249"/>
    </row>
    <row r="100" spans="1:29" ht="12.75" thickBot="1">
      <c r="A100" s="488" t="s">
        <v>288</v>
      </c>
      <c r="B100" s="539">
        <f>B98*B99</f>
        <v>0</v>
      </c>
      <c r="C100" s="539">
        <f>C98*C99</f>
        <v>0</v>
      </c>
      <c r="D100" s="539">
        <f>D98*D99</f>
        <v>0</v>
      </c>
      <c r="E100" s="535">
        <f>SUM(B100:D100)</f>
        <v>0</v>
      </c>
      <c r="F100" s="664"/>
      <c r="G100" s="488" t="s">
        <v>288</v>
      </c>
      <c r="H100" s="539">
        <f>H98*H99</f>
        <v>0</v>
      </c>
      <c r="I100" s="539">
        <f>I98*I99</f>
        <v>0</v>
      </c>
      <c r="J100" s="539">
        <f>J98*J99</f>
        <v>0</v>
      </c>
      <c r="K100" s="547">
        <f>SUM(H100:J100)</f>
        <v>0</v>
      </c>
      <c r="L100" s="488" t="s">
        <v>288</v>
      </c>
      <c r="M100" s="539">
        <f>M98*M99</f>
        <v>0</v>
      </c>
      <c r="N100" s="539">
        <f>N98*N99</f>
        <v>0</v>
      </c>
      <c r="O100" s="535">
        <f>O98*O99</f>
        <v>0</v>
      </c>
      <c r="P100" s="943">
        <f>SUM(M100:O100)</f>
        <v>0</v>
      </c>
      <c r="Q100" s="249"/>
      <c r="R100" s="488" t="s">
        <v>288</v>
      </c>
      <c r="S100" s="539">
        <f>S98*S99</f>
        <v>0</v>
      </c>
      <c r="T100" s="539">
        <f>T98*T99</f>
        <v>0</v>
      </c>
      <c r="U100" s="535">
        <f>U98*U99</f>
        <v>0</v>
      </c>
      <c r="V100" s="943">
        <f>SUM(S100:U100)</f>
        <v>0</v>
      </c>
      <c r="W100" s="249"/>
      <c r="X100" s="488" t="s">
        <v>288</v>
      </c>
      <c r="Y100" s="539">
        <f>Y98*Y99</f>
        <v>0</v>
      </c>
      <c r="Z100" s="539">
        <f>Z98*Z99</f>
        <v>0</v>
      </c>
      <c r="AA100" s="535">
        <f>AA98*AA99</f>
        <v>0</v>
      </c>
      <c r="AB100" s="943">
        <f>SUM(Y100:AA100)</f>
        <v>0</v>
      </c>
      <c r="AC100" s="249"/>
    </row>
    <row r="101" spans="1:29" ht="12">
      <c r="A101" s="178"/>
      <c r="B101" s="179"/>
      <c r="C101" s="107"/>
      <c r="D101" s="179"/>
      <c r="E101" s="174"/>
      <c r="F101" s="667"/>
      <c r="G101" s="178"/>
      <c r="H101" s="179"/>
      <c r="I101" s="107"/>
      <c r="J101" s="179"/>
      <c r="K101" s="107"/>
      <c r="L101" s="178"/>
      <c r="M101" s="179"/>
      <c r="N101" s="107"/>
      <c r="O101" s="179"/>
      <c r="P101" s="107"/>
      <c r="Q101" s="249"/>
      <c r="R101" s="178"/>
      <c r="S101" s="179"/>
      <c r="T101" s="107"/>
      <c r="U101" s="179"/>
      <c r="V101" s="107"/>
      <c r="W101" s="249"/>
      <c r="X101" s="178"/>
      <c r="Y101" s="179"/>
      <c r="Z101" s="107"/>
      <c r="AA101" s="179"/>
      <c r="AB101" s="107"/>
      <c r="AC101" s="249"/>
    </row>
    <row r="102" spans="1:29" ht="12.75" thickBot="1">
      <c r="A102" s="178"/>
      <c r="B102" s="179"/>
      <c r="C102" s="107"/>
      <c r="D102" s="179"/>
      <c r="E102" s="174"/>
      <c r="F102" s="667"/>
      <c r="G102" s="178"/>
      <c r="H102" s="179"/>
      <c r="I102" s="107"/>
      <c r="J102" s="179"/>
      <c r="K102" s="107"/>
      <c r="L102" s="178"/>
      <c r="M102" s="179"/>
      <c r="N102" s="107"/>
      <c r="O102" s="179"/>
      <c r="P102" s="107"/>
      <c r="Q102" s="249"/>
      <c r="R102" s="178"/>
      <c r="S102" s="179"/>
      <c r="T102" s="107"/>
      <c r="U102" s="179"/>
      <c r="V102" s="107"/>
      <c r="W102" s="249"/>
      <c r="X102" s="178"/>
      <c r="Y102" s="179"/>
      <c r="Z102" s="107"/>
      <c r="AA102" s="179"/>
      <c r="AB102" s="107"/>
      <c r="AC102" s="249"/>
    </row>
    <row r="103" spans="1:29" ht="12.75" thickBot="1">
      <c r="A103" s="1057" t="s">
        <v>293</v>
      </c>
      <c r="B103" s="1058"/>
      <c r="C103" s="107"/>
      <c r="D103" s="179"/>
      <c r="E103" s="174"/>
      <c r="F103" s="984"/>
      <c r="G103" s="1057" t="s">
        <v>293</v>
      </c>
      <c r="H103" s="1058"/>
      <c r="I103" s="107"/>
      <c r="J103" s="179"/>
      <c r="K103" s="107"/>
      <c r="L103" s="1057" t="s">
        <v>293</v>
      </c>
      <c r="M103" s="1058"/>
      <c r="N103" s="107"/>
      <c r="O103" s="179"/>
      <c r="P103" s="107"/>
      <c r="Q103" s="249"/>
      <c r="R103" s="1057" t="s">
        <v>293</v>
      </c>
      <c r="S103" s="1058"/>
      <c r="T103" s="107"/>
      <c r="U103" s="179"/>
      <c r="V103" s="107"/>
      <c r="W103" s="249"/>
      <c r="X103" s="1057" t="s">
        <v>293</v>
      </c>
      <c r="Y103" s="1058"/>
      <c r="Z103" s="107"/>
      <c r="AA103" s="179"/>
      <c r="AB103" s="107"/>
      <c r="AC103" s="249"/>
    </row>
    <row r="104" spans="1:29" ht="12">
      <c r="A104" s="566" t="s">
        <v>289</v>
      </c>
      <c r="B104" s="540">
        <f>E100</f>
        <v>0</v>
      </c>
      <c r="C104" s="107"/>
      <c r="D104" s="179"/>
      <c r="E104" s="174"/>
      <c r="F104" s="668"/>
      <c r="G104" s="566" t="s">
        <v>289</v>
      </c>
      <c r="H104" s="540">
        <f>K100</f>
        <v>0</v>
      </c>
      <c r="I104" s="107"/>
      <c r="J104" s="179"/>
      <c r="K104" s="107"/>
      <c r="L104" s="566" t="s">
        <v>289</v>
      </c>
      <c r="M104" s="540">
        <f>P100</f>
        <v>0</v>
      </c>
      <c r="N104" s="107"/>
      <c r="O104" s="179"/>
      <c r="P104" s="107"/>
      <c r="Q104" s="249"/>
      <c r="R104" s="566" t="s">
        <v>289</v>
      </c>
      <c r="S104" s="540">
        <f>V100</f>
        <v>0</v>
      </c>
      <c r="T104" s="107"/>
      <c r="U104" s="179"/>
      <c r="V104" s="107"/>
      <c r="W104" s="249"/>
      <c r="X104" s="566" t="s">
        <v>289</v>
      </c>
      <c r="Y104" s="540">
        <f>AB100</f>
        <v>0</v>
      </c>
      <c r="Z104" s="107"/>
      <c r="AA104" s="179"/>
      <c r="AB104" s="107"/>
      <c r="AC104" s="249"/>
    </row>
    <row r="105" spans="1:29" ht="12.75" thickBot="1">
      <c r="A105" s="567" t="s">
        <v>280</v>
      </c>
      <c r="B105" s="541">
        <f>B15</f>
        <v>6220.83</v>
      </c>
      <c r="C105" s="107"/>
      <c r="D105" s="179"/>
      <c r="E105" s="174"/>
      <c r="F105" s="669"/>
      <c r="G105" s="567" t="s">
        <v>280</v>
      </c>
      <c r="H105" s="541">
        <f>H15</f>
        <v>6220.83</v>
      </c>
      <c r="I105" s="107"/>
      <c r="J105" s="179"/>
      <c r="K105" s="107"/>
      <c r="L105" s="567" t="s">
        <v>280</v>
      </c>
      <c r="M105" s="541">
        <f>M15</f>
        <v>6220.83</v>
      </c>
      <c r="N105" s="107"/>
      <c r="O105" s="179"/>
      <c r="P105" s="107"/>
      <c r="Q105" s="249"/>
      <c r="R105" s="567" t="s">
        <v>280</v>
      </c>
      <c r="S105" s="541">
        <f>S15</f>
        <v>6220.83</v>
      </c>
      <c r="T105" s="107"/>
      <c r="U105" s="179"/>
      <c r="V105" s="107"/>
      <c r="W105" s="249"/>
      <c r="X105" s="567" t="s">
        <v>280</v>
      </c>
      <c r="Y105" s="541">
        <f>Y15</f>
        <v>6220.83</v>
      </c>
      <c r="Z105" s="107"/>
      <c r="AA105" s="179"/>
      <c r="AB105" s="107"/>
      <c r="AC105" s="249"/>
    </row>
    <row r="106" spans="1:29" ht="13.5" thickBot="1">
      <c r="A106" s="535" t="s">
        <v>281</v>
      </c>
      <c r="B106" s="542">
        <f>B104*B105</f>
        <v>0</v>
      </c>
      <c r="C106" s="107"/>
      <c r="D106" s="179"/>
      <c r="E106" s="174"/>
      <c r="F106" s="670"/>
      <c r="G106" s="535" t="s">
        <v>281</v>
      </c>
      <c r="H106" s="542">
        <f>H104*H105</f>
        <v>0</v>
      </c>
      <c r="I106" s="107"/>
      <c r="J106" s="179"/>
      <c r="K106" s="107"/>
      <c r="L106" s="535" t="s">
        <v>281</v>
      </c>
      <c r="M106" s="542">
        <f>M104*M105</f>
        <v>0</v>
      </c>
      <c r="N106" s="107"/>
      <c r="O106" s="179"/>
      <c r="P106" s="107"/>
      <c r="Q106" s="249"/>
      <c r="R106" s="535" t="s">
        <v>281</v>
      </c>
      <c r="S106" s="542">
        <f>S104*S105</f>
        <v>0</v>
      </c>
      <c r="T106" s="107"/>
      <c r="U106" s="179"/>
      <c r="V106" s="107"/>
      <c r="W106" s="249"/>
      <c r="X106" s="535" t="s">
        <v>281</v>
      </c>
      <c r="Y106" s="542">
        <f>Y104*Y105</f>
        <v>0</v>
      </c>
      <c r="Z106" s="107"/>
      <c r="AA106" s="179"/>
      <c r="AB106" s="107"/>
      <c r="AC106" s="249"/>
    </row>
    <row r="107" spans="1:29" ht="12.75">
      <c r="A107" s="191"/>
      <c r="B107" s="192"/>
      <c r="C107" s="107"/>
      <c r="D107" s="107"/>
      <c r="E107" s="444"/>
      <c r="F107" s="671"/>
      <c r="G107" s="191"/>
      <c r="H107" s="192"/>
      <c r="I107" s="107"/>
      <c r="J107" s="107"/>
      <c r="K107" s="179"/>
      <c r="L107" s="191"/>
      <c r="M107" s="192"/>
      <c r="N107" s="107"/>
      <c r="O107" s="107"/>
      <c r="P107" s="179"/>
      <c r="Q107" s="249"/>
      <c r="R107" s="191"/>
      <c r="S107" s="192"/>
      <c r="T107" s="107"/>
      <c r="U107" s="107"/>
      <c r="V107" s="179"/>
      <c r="W107" s="249"/>
      <c r="X107" s="191"/>
      <c r="Y107" s="192"/>
      <c r="Z107" s="107"/>
      <c r="AA107" s="107"/>
      <c r="AB107" s="179"/>
      <c r="AC107" s="249"/>
    </row>
    <row r="108" spans="1:29" ht="13.5" thickBot="1">
      <c r="A108" s="191"/>
      <c r="B108" s="192"/>
      <c r="C108" s="107"/>
      <c r="D108" s="107"/>
      <c r="E108" s="444"/>
      <c r="F108" s="671"/>
      <c r="G108" s="191"/>
      <c r="H108" s="192"/>
      <c r="I108" s="107"/>
      <c r="J108" s="107"/>
      <c r="K108" s="179"/>
      <c r="L108" s="191"/>
      <c r="M108" s="192"/>
      <c r="N108" s="107"/>
      <c r="O108" s="107"/>
      <c r="P108" s="179"/>
      <c r="Q108" s="249"/>
      <c r="R108" s="191"/>
      <c r="S108" s="192"/>
      <c r="T108" s="107"/>
      <c r="U108" s="107"/>
      <c r="V108" s="179"/>
      <c r="W108" s="249"/>
      <c r="X108" s="191"/>
      <c r="Y108" s="192"/>
      <c r="Z108" s="107"/>
      <c r="AA108" s="107"/>
      <c r="AB108" s="179"/>
      <c r="AC108" s="249"/>
    </row>
    <row r="109" spans="1:29" ht="12.75" thickBot="1">
      <c r="A109" s="1057" t="s">
        <v>294</v>
      </c>
      <c r="B109" s="1058"/>
      <c r="C109" s="107"/>
      <c r="D109" s="107"/>
      <c r="E109" s="444"/>
      <c r="F109" s="984"/>
      <c r="G109" s="1057" t="s">
        <v>294</v>
      </c>
      <c r="H109" s="1058"/>
      <c r="I109" s="107"/>
      <c r="J109" s="107"/>
      <c r="K109" s="179"/>
      <c r="L109" s="1057" t="s">
        <v>294</v>
      </c>
      <c r="M109" s="1058"/>
      <c r="N109" s="107"/>
      <c r="O109" s="107"/>
      <c r="P109" s="179"/>
      <c r="Q109" s="249"/>
      <c r="R109" s="1057" t="s">
        <v>294</v>
      </c>
      <c r="S109" s="1058"/>
      <c r="T109" s="107"/>
      <c r="U109" s="107"/>
      <c r="V109" s="179"/>
      <c r="W109" s="249"/>
      <c r="X109" s="1057" t="s">
        <v>294</v>
      </c>
      <c r="Y109" s="1058"/>
      <c r="Z109" s="107"/>
      <c r="AA109" s="107"/>
      <c r="AB109" s="179"/>
      <c r="AC109" s="249"/>
    </row>
    <row r="110" spans="1:29" ht="12">
      <c r="A110" s="566" t="s">
        <v>285</v>
      </c>
      <c r="B110" s="540">
        <f>E98</f>
        <v>0</v>
      </c>
      <c r="C110" s="107"/>
      <c r="D110" s="107"/>
      <c r="E110" s="444"/>
      <c r="F110" s="668"/>
      <c r="G110" s="566" t="s">
        <v>285</v>
      </c>
      <c r="H110" s="540">
        <f>K98</f>
        <v>0</v>
      </c>
      <c r="I110" s="107"/>
      <c r="J110" s="107"/>
      <c r="K110" s="179"/>
      <c r="L110" s="566" t="s">
        <v>285</v>
      </c>
      <c r="M110" s="540">
        <f>P98</f>
        <v>0</v>
      </c>
      <c r="N110" s="107"/>
      <c r="O110" s="107"/>
      <c r="P110" s="179"/>
      <c r="Q110" s="249"/>
      <c r="R110" s="566" t="s">
        <v>285</v>
      </c>
      <c r="S110" s="540">
        <f>V98</f>
        <v>0</v>
      </c>
      <c r="T110" s="107"/>
      <c r="U110" s="107"/>
      <c r="V110" s="179"/>
      <c r="W110" s="249"/>
      <c r="X110" s="566" t="s">
        <v>285</v>
      </c>
      <c r="Y110" s="540">
        <f>AB98</f>
        <v>0</v>
      </c>
      <c r="Z110" s="107"/>
      <c r="AA110" s="107"/>
      <c r="AB110" s="179"/>
      <c r="AC110" s="249"/>
    </row>
    <row r="111" spans="1:29" ht="12.75" thickBot="1">
      <c r="A111" s="567" t="s">
        <v>282</v>
      </c>
      <c r="B111" s="541">
        <f>B16</f>
        <v>2447.52</v>
      </c>
      <c r="C111" s="107"/>
      <c r="D111" s="107"/>
      <c r="E111" s="174"/>
      <c r="F111" s="669"/>
      <c r="G111" s="567" t="s">
        <v>282</v>
      </c>
      <c r="H111" s="541">
        <f>H16</f>
        <v>2447.52</v>
      </c>
      <c r="I111" s="107"/>
      <c r="J111" s="107"/>
      <c r="K111" s="107"/>
      <c r="L111" s="567" t="s">
        <v>282</v>
      </c>
      <c r="M111" s="541">
        <f>M16</f>
        <v>2447.52</v>
      </c>
      <c r="N111" s="107"/>
      <c r="O111" s="107"/>
      <c r="P111" s="107"/>
      <c r="Q111" s="249"/>
      <c r="R111" s="567" t="s">
        <v>282</v>
      </c>
      <c r="S111" s="541">
        <f>S16</f>
        <v>2447.52</v>
      </c>
      <c r="T111" s="107"/>
      <c r="U111" s="107"/>
      <c r="V111" s="107"/>
      <c r="W111" s="249"/>
      <c r="X111" s="567" t="s">
        <v>282</v>
      </c>
      <c r="Y111" s="541">
        <f>Y16</f>
        <v>2447.52</v>
      </c>
      <c r="Z111" s="107"/>
      <c r="AA111" s="107"/>
      <c r="AB111" s="107"/>
      <c r="AC111" s="249"/>
    </row>
    <row r="112" spans="1:29" ht="13.5" thickBot="1">
      <c r="A112" s="535" t="s">
        <v>283</v>
      </c>
      <c r="B112" s="542">
        <f>B110*B111</f>
        <v>0</v>
      </c>
      <c r="C112" s="107"/>
      <c r="D112" s="107"/>
      <c r="E112" s="174"/>
      <c r="F112" s="670"/>
      <c r="G112" s="535" t="s">
        <v>283</v>
      </c>
      <c r="H112" s="542">
        <f>H110*H111</f>
        <v>0</v>
      </c>
      <c r="I112" s="107"/>
      <c r="J112" s="107"/>
      <c r="K112" s="107"/>
      <c r="L112" s="535" t="s">
        <v>283</v>
      </c>
      <c r="M112" s="542">
        <f>M110*M111</f>
        <v>0</v>
      </c>
      <c r="N112" s="107"/>
      <c r="O112" s="107"/>
      <c r="P112" s="107"/>
      <c r="Q112" s="249"/>
      <c r="R112" s="535" t="s">
        <v>283</v>
      </c>
      <c r="S112" s="542">
        <f>S110*S111</f>
        <v>0</v>
      </c>
      <c r="T112" s="107"/>
      <c r="U112" s="107"/>
      <c r="V112" s="107"/>
      <c r="W112" s="249"/>
      <c r="X112" s="535" t="s">
        <v>283</v>
      </c>
      <c r="Y112" s="542">
        <f>Y110*Y111</f>
        <v>0</v>
      </c>
      <c r="Z112" s="107"/>
      <c r="AA112" s="107"/>
      <c r="AB112" s="107"/>
      <c r="AC112" s="249"/>
    </row>
    <row r="113" spans="1:29" ht="12">
      <c r="A113" s="193"/>
      <c r="B113" s="184"/>
      <c r="C113" s="184"/>
      <c r="D113" s="176"/>
      <c r="E113" s="446"/>
      <c r="F113" s="672"/>
      <c r="G113" s="193"/>
      <c r="H113" s="184"/>
      <c r="I113" s="184"/>
      <c r="J113" s="176"/>
      <c r="K113" s="188"/>
      <c r="L113" s="193"/>
      <c r="M113" s="184"/>
      <c r="N113" s="184"/>
      <c r="O113" s="176"/>
      <c r="P113" s="188"/>
      <c r="Q113" s="249"/>
      <c r="R113" s="193"/>
      <c r="S113" s="184"/>
      <c r="T113" s="184"/>
      <c r="U113" s="176"/>
      <c r="V113" s="188"/>
      <c r="W113" s="249"/>
      <c r="X113" s="193"/>
      <c r="Y113" s="184"/>
      <c r="Z113" s="184"/>
      <c r="AA113" s="176"/>
      <c r="AB113" s="188"/>
      <c r="AC113" s="249"/>
    </row>
    <row r="114" spans="1:29" ht="12.75" thickBot="1">
      <c r="A114" s="193"/>
      <c r="B114" s="184"/>
      <c r="C114" s="184"/>
      <c r="D114" s="176"/>
      <c r="E114" s="446"/>
      <c r="F114" s="672"/>
      <c r="G114" s="193"/>
      <c r="H114" s="184"/>
      <c r="I114" s="184"/>
      <c r="J114" s="176"/>
      <c r="K114" s="188"/>
      <c r="L114" s="193"/>
      <c r="M114" s="184"/>
      <c r="N114" s="184"/>
      <c r="O114" s="176"/>
      <c r="P114" s="188"/>
      <c r="Q114" s="249"/>
      <c r="R114" s="193"/>
      <c r="S114" s="184"/>
      <c r="T114" s="184"/>
      <c r="U114" s="176"/>
      <c r="V114" s="188"/>
      <c r="W114" s="249"/>
      <c r="X114" s="193"/>
      <c r="Y114" s="184"/>
      <c r="Z114" s="184"/>
      <c r="AA114" s="176"/>
      <c r="AB114" s="188"/>
      <c r="AC114" s="249"/>
    </row>
    <row r="115" spans="1:29" ht="12.75" thickBot="1">
      <c r="A115" s="1057" t="s">
        <v>284</v>
      </c>
      <c r="B115" s="1058"/>
      <c r="C115" s="184"/>
      <c r="D115" s="176"/>
      <c r="E115" s="446"/>
      <c r="F115" s="984"/>
      <c r="G115" s="1057" t="s">
        <v>284</v>
      </c>
      <c r="H115" s="1058"/>
      <c r="I115" s="184"/>
      <c r="J115" s="176"/>
      <c r="K115" s="188"/>
      <c r="L115" s="1057" t="s">
        <v>284</v>
      </c>
      <c r="M115" s="1058"/>
      <c r="N115" s="184"/>
      <c r="O115" s="176"/>
      <c r="P115" s="188"/>
      <c r="Q115" s="249"/>
      <c r="R115" s="1057" t="s">
        <v>284</v>
      </c>
      <c r="S115" s="1058"/>
      <c r="T115" s="184"/>
      <c r="U115" s="176"/>
      <c r="V115" s="188"/>
      <c r="W115" s="249"/>
      <c r="X115" s="1057" t="s">
        <v>284</v>
      </c>
      <c r="Y115" s="1058"/>
      <c r="Z115" s="184"/>
      <c r="AA115" s="176"/>
      <c r="AB115" s="188"/>
      <c r="AC115" s="249"/>
    </row>
    <row r="116" spans="1:29" ht="12">
      <c r="A116" s="566" t="s">
        <v>281</v>
      </c>
      <c r="B116" s="544">
        <f>B106</f>
        <v>0</v>
      </c>
      <c r="C116" s="184"/>
      <c r="D116" s="176"/>
      <c r="E116" s="446"/>
      <c r="F116" s="668"/>
      <c r="G116" s="566" t="s">
        <v>281</v>
      </c>
      <c r="H116" s="544">
        <f>H106</f>
        <v>0</v>
      </c>
      <c r="I116" s="184"/>
      <c r="J116" s="176"/>
      <c r="K116" s="188"/>
      <c r="L116" s="566" t="s">
        <v>281</v>
      </c>
      <c r="M116" s="544">
        <f>M106</f>
        <v>0</v>
      </c>
      <c r="N116" s="184"/>
      <c r="O116" s="176"/>
      <c r="P116" s="188"/>
      <c r="Q116" s="249"/>
      <c r="R116" s="566" t="s">
        <v>281</v>
      </c>
      <c r="S116" s="544">
        <f>S106</f>
        <v>0</v>
      </c>
      <c r="T116" s="184"/>
      <c r="U116" s="176"/>
      <c r="V116" s="188"/>
      <c r="W116" s="249"/>
      <c r="X116" s="566" t="s">
        <v>281</v>
      </c>
      <c r="Y116" s="544">
        <f>Y106</f>
        <v>0</v>
      </c>
      <c r="Z116" s="184"/>
      <c r="AA116" s="176"/>
      <c r="AB116" s="188"/>
      <c r="AC116" s="249"/>
    </row>
    <row r="117" spans="1:29" ht="12.75" thickBot="1">
      <c r="A117" s="566" t="s">
        <v>283</v>
      </c>
      <c r="B117" s="545">
        <f>B112</f>
        <v>0</v>
      </c>
      <c r="C117" s="184"/>
      <c r="D117" s="176"/>
      <c r="E117" s="446"/>
      <c r="F117" s="668"/>
      <c r="G117" s="566" t="s">
        <v>283</v>
      </c>
      <c r="H117" s="545">
        <f>H112</f>
        <v>0</v>
      </c>
      <c r="I117" s="184"/>
      <c r="J117" s="176"/>
      <c r="K117" s="188"/>
      <c r="L117" s="566" t="s">
        <v>283</v>
      </c>
      <c r="M117" s="545">
        <f>M112</f>
        <v>0</v>
      </c>
      <c r="N117" s="184"/>
      <c r="O117" s="176"/>
      <c r="P117" s="188"/>
      <c r="Q117" s="249"/>
      <c r="R117" s="566" t="s">
        <v>283</v>
      </c>
      <c r="S117" s="545">
        <f>S112</f>
        <v>0</v>
      </c>
      <c r="T117" s="184"/>
      <c r="U117" s="176"/>
      <c r="V117" s="188"/>
      <c r="W117" s="249"/>
      <c r="X117" s="566" t="s">
        <v>283</v>
      </c>
      <c r="Y117" s="545">
        <f>Y112</f>
        <v>0</v>
      </c>
      <c r="Z117" s="184"/>
      <c r="AA117" s="176"/>
      <c r="AB117" s="188"/>
      <c r="AC117" s="249"/>
    </row>
    <row r="118" spans="1:29" ht="13.5" thickBot="1">
      <c r="A118" s="535" t="s">
        <v>290</v>
      </c>
      <c r="B118" s="542">
        <f>B116+B117</f>
        <v>0</v>
      </c>
      <c r="C118" s="438"/>
      <c r="D118" s="187"/>
      <c r="E118" s="447"/>
      <c r="F118" s="673"/>
      <c r="G118" s="535" t="s">
        <v>290</v>
      </c>
      <c r="H118" s="542">
        <f>H116+H117</f>
        <v>0</v>
      </c>
      <c r="I118" s="184"/>
      <c r="J118" s="176"/>
      <c r="K118" s="188"/>
      <c r="L118" s="535" t="s">
        <v>290</v>
      </c>
      <c r="M118" s="542">
        <f>M116+M117</f>
        <v>0</v>
      </c>
      <c r="N118" s="184"/>
      <c r="O118" s="176"/>
      <c r="P118" s="188"/>
      <c r="Q118" s="249"/>
      <c r="R118" s="535" t="s">
        <v>290</v>
      </c>
      <c r="S118" s="542">
        <f>S116+S117</f>
        <v>0</v>
      </c>
      <c r="T118" s="184"/>
      <c r="U118" s="176"/>
      <c r="V118" s="188"/>
      <c r="W118" s="249"/>
      <c r="X118" s="535" t="s">
        <v>290</v>
      </c>
      <c r="Y118" s="542">
        <f>Y116+Y117</f>
        <v>0</v>
      </c>
      <c r="Z118" s="184"/>
      <c r="AA118" s="176"/>
      <c r="AB118" s="188"/>
      <c r="AC118" s="249"/>
    </row>
    <row r="119" spans="1:29" ht="12">
      <c r="A119" s="432"/>
      <c r="B119" s="433"/>
      <c r="C119" s="434"/>
      <c r="D119" s="434"/>
      <c r="E119" s="435"/>
      <c r="F119" s="249"/>
      <c r="G119" s="184"/>
      <c r="H119" s="188"/>
      <c r="I119" s="184"/>
      <c r="J119" s="184"/>
      <c r="K119" s="167"/>
      <c r="L119" s="193"/>
      <c r="M119" s="188"/>
      <c r="N119" s="184"/>
      <c r="O119" s="184"/>
      <c r="P119" s="167"/>
      <c r="Q119" s="249"/>
      <c r="R119" s="184"/>
      <c r="S119" s="188"/>
      <c r="T119" s="184"/>
      <c r="U119" s="184"/>
      <c r="V119" s="167"/>
      <c r="W119" s="249"/>
      <c r="X119" s="184"/>
      <c r="Y119" s="188"/>
      <c r="Z119" s="184"/>
      <c r="AA119" s="184"/>
      <c r="AB119" s="167"/>
      <c r="AC119" s="249"/>
    </row>
    <row r="120" spans="1:29" ht="12">
      <c r="A120" s="193"/>
      <c r="B120" s="188"/>
      <c r="C120" s="184"/>
      <c r="D120" s="184"/>
      <c r="E120" s="436"/>
      <c r="F120" s="249"/>
      <c r="G120" s="184"/>
      <c r="H120" s="188"/>
      <c r="I120" s="184"/>
      <c r="J120" s="184"/>
      <c r="K120" s="167"/>
      <c r="L120" s="193"/>
      <c r="M120" s="188"/>
      <c r="N120" s="184"/>
      <c r="O120" s="184"/>
      <c r="P120" s="167"/>
      <c r="Q120" s="249"/>
      <c r="R120" s="184"/>
      <c r="S120" s="188"/>
      <c r="T120" s="184"/>
      <c r="U120" s="184"/>
      <c r="V120" s="167"/>
      <c r="W120" s="249"/>
      <c r="X120" s="184"/>
      <c r="Y120" s="188"/>
      <c r="Z120" s="184"/>
      <c r="AA120" s="184"/>
      <c r="AB120" s="167"/>
      <c r="AC120" s="249"/>
    </row>
    <row r="121" spans="1:29" ht="12">
      <c r="A121" s="193"/>
      <c r="B121" s="188"/>
      <c r="C121" s="184"/>
      <c r="D121" s="184"/>
      <c r="E121" s="436"/>
      <c r="F121" s="249"/>
      <c r="G121" s="184"/>
      <c r="H121" s="188"/>
      <c r="I121" s="184"/>
      <c r="J121" s="184"/>
      <c r="K121" s="167"/>
      <c r="L121" s="193"/>
      <c r="M121" s="188"/>
      <c r="N121" s="184"/>
      <c r="O121" s="184"/>
      <c r="P121" s="167"/>
      <c r="Q121" s="249"/>
      <c r="R121" s="184"/>
      <c r="S121" s="188"/>
      <c r="T121" s="184"/>
      <c r="U121" s="184"/>
      <c r="V121" s="167"/>
      <c r="W121" s="249"/>
      <c r="X121" s="184"/>
      <c r="Y121" s="188"/>
      <c r="Z121" s="184"/>
      <c r="AA121" s="184"/>
      <c r="AB121" s="167"/>
      <c r="AC121" s="249"/>
    </row>
    <row r="122" spans="1:29" ht="32.25" customHeight="1" thickBot="1">
      <c r="A122" s="437"/>
      <c r="B122" s="244"/>
      <c r="C122" s="438"/>
      <c r="D122" s="438"/>
      <c r="E122" s="439"/>
      <c r="F122" s="249"/>
      <c r="G122" s="184"/>
      <c r="H122" s="188"/>
      <c r="I122" s="184"/>
      <c r="J122" s="184"/>
      <c r="K122" s="167"/>
      <c r="L122" s="193"/>
      <c r="M122" s="188"/>
      <c r="N122" s="184"/>
      <c r="O122" s="184"/>
      <c r="P122" s="167"/>
      <c r="Q122" s="249"/>
      <c r="R122" s="184"/>
      <c r="S122" s="188"/>
      <c r="T122" s="184"/>
      <c r="U122" s="184"/>
      <c r="V122" s="167"/>
      <c r="W122" s="249"/>
      <c r="X122" s="184"/>
      <c r="Y122" s="188"/>
      <c r="Z122" s="184"/>
      <c r="AA122" s="184"/>
      <c r="AB122" s="167"/>
      <c r="AC122" s="249"/>
    </row>
    <row r="123" spans="1:29" ht="15.75" thickBot="1">
      <c r="A123" s="1055" t="s">
        <v>122</v>
      </c>
      <c r="B123" s="1056"/>
      <c r="C123" s="1056"/>
      <c r="D123" s="1056"/>
      <c r="E123" s="1056"/>
      <c r="F123" s="249"/>
      <c r="G123" s="1056" t="s">
        <v>122</v>
      </c>
      <c r="H123" s="1056"/>
      <c r="I123" s="1056"/>
      <c r="J123" s="1056"/>
      <c r="K123" s="1056"/>
      <c r="L123" s="1055" t="s">
        <v>122</v>
      </c>
      <c r="M123" s="1056"/>
      <c r="N123" s="1056"/>
      <c r="O123" s="1056"/>
      <c r="P123" s="1096"/>
      <c r="Q123" s="249"/>
      <c r="R123" s="1056" t="s">
        <v>122</v>
      </c>
      <c r="S123" s="1056"/>
      <c r="T123" s="1056"/>
      <c r="U123" s="1056"/>
      <c r="V123" s="1056"/>
      <c r="W123" s="249"/>
      <c r="X123" s="1056" t="s">
        <v>122</v>
      </c>
      <c r="Y123" s="1056"/>
      <c r="Z123" s="1056"/>
      <c r="AA123" s="1056"/>
      <c r="AB123" s="1056"/>
      <c r="AC123" s="249"/>
    </row>
    <row r="124" spans="1:29" ht="15.75" thickBot="1">
      <c r="A124" s="194"/>
      <c r="B124" s="195"/>
      <c r="C124" s="195"/>
      <c r="D124" s="195"/>
      <c r="E124" s="195"/>
      <c r="F124" s="249"/>
      <c r="G124" s="195"/>
      <c r="H124" s="195"/>
      <c r="I124" s="195"/>
      <c r="J124" s="195"/>
      <c r="K124" s="195"/>
      <c r="L124" s="194"/>
      <c r="M124" s="195"/>
      <c r="N124" s="195"/>
      <c r="O124" s="195"/>
      <c r="P124" s="195"/>
      <c r="Q124" s="249"/>
      <c r="R124" s="195"/>
      <c r="S124" s="195"/>
      <c r="T124" s="195"/>
      <c r="U124" s="195"/>
      <c r="V124" s="195"/>
      <c r="W124" s="249"/>
      <c r="X124" s="195"/>
      <c r="Y124" s="195"/>
      <c r="Z124" s="195"/>
      <c r="AA124" s="195"/>
      <c r="AB124" s="195"/>
      <c r="AC124" s="249"/>
    </row>
    <row r="125" spans="1:29" ht="24.75" thickBot="1">
      <c r="A125" s="488" t="s">
        <v>92</v>
      </c>
      <c r="B125" s="576" t="s">
        <v>123</v>
      </c>
      <c r="C125" s="577" t="s">
        <v>124</v>
      </c>
      <c r="D125" s="488" t="s">
        <v>94</v>
      </c>
      <c r="E125" s="568" t="s">
        <v>39</v>
      </c>
      <c r="F125" s="249"/>
      <c r="G125" s="565" t="s">
        <v>92</v>
      </c>
      <c r="H125" s="576" t="s">
        <v>123</v>
      </c>
      <c r="I125" s="577" t="s">
        <v>124</v>
      </c>
      <c r="J125" s="488" t="s">
        <v>94</v>
      </c>
      <c r="K125" s="568" t="s">
        <v>39</v>
      </c>
      <c r="L125" s="488" t="s">
        <v>92</v>
      </c>
      <c r="M125" s="1011" t="s">
        <v>123</v>
      </c>
      <c r="N125" s="1014" t="s">
        <v>124</v>
      </c>
      <c r="O125" s="488" t="s">
        <v>94</v>
      </c>
      <c r="P125" s="1012" t="s">
        <v>39</v>
      </c>
      <c r="Q125" s="249"/>
      <c r="R125" s="565" t="s">
        <v>92</v>
      </c>
      <c r="S125" s="576" t="s">
        <v>123</v>
      </c>
      <c r="T125" s="577" t="s">
        <v>124</v>
      </c>
      <c r="U125" s="488" t="s">
        <v>94</v>
      </c>
      <c r="V125" s="568" t="s">
        <v>39</v>
      </c>
      <c r="W125" s="249"/>
      <c r="X125" s="565" t="s">
        <v>92</v>
      </c>
      <c r="Y125" s="576" t="s">
        <v>123</v>
      </c>
      <c r="Z125" s="577" t="s">
        <v>124</v>
      </c>
      <c r="AA125" s="488" t="s">
        <v>94</v>
      </c>
      <c r="AB125" s="568" t="s">
        <v>39</v>
      </c>
      <c r="AC125" s="249"/>
    </row>
    <row r="126" spans="1:29" ht="12">
      <c r="A126" s="531">
        <v>9</v>
      </c>
      <c r="B126" s="175">
        <v>126</v>
      </c>
      <c r="C126" s="175">
        <v>32</v>
      </c>
      <c r="D126" s="196">
        <v>2</v>
      </c>
      <c r="E126" s="546">
        <f>SUM(B126:D126)</f>
        <v>160</v>
      </c>
      <c r="F126" s="249"/>
      <c r="G126" s="562">
        <v>9</v>
      </c>
      <c r="H126" s="175">
        <v>126</v>
      </c>
      <c r="I126" s="175">
        <v>32</v>
      </c>
      <c r="J126" s="196">
        <v>2</v>
      </c>
      <c r="K126" s="546">
        <f>SUM(H126:J126)</f>
        <v>160</v>
      </c>
      <c r="L126" s="531">
        <v>9</v>
      </c>
      <c r="M126" s="175">
        <v>126</v>
      </c>
      <c r="N126" s="175">
        <v>32</v>
      </c>
      <c r="O126" s="196">
        <v>2</v>
      </c>
      <c r="P126" s="546">
        <f>SUM(M126:O126)</f>
        <v>160</v>
      </c>
      <c r="Q126" s="249"/>
      <c r="R126" s="562">
        <v>9</v>
      </c>
      <c r="S126" s="175">
        <v>126</v>
      </c>
      <c r="T126" s="175">
        <v>32</v>
      </c>
      <c r="U126" s="196">
        <v>2</v>
      </c>
      <c r="V126" s="546">
        <f>SUM(S126:U126)</f>
        <v>160</v>
      </c>
      <c r="W126" s="249"/>
      <c r="X126" s="562">
        <v>9</v>
      </c>
      <c r="Y126" s="175">
        <v>126</v>
      </c>
      <c r="Z126" s="175">
        <v>32</v>
      </c>
      <c r="AA126" s="196">
        <v>2</v>
      </c>
      <c r="AB126" s="546">
        <f>SUM(Y126:AA126)</f>
        <v>160</v>
      </c>
      <c r="AC126" s="249"/>
    </row>
    <row r="127" spans="1:29" ht="12">
      <c r="A127" s="575">
        <v>10</v>
      </c>
      <c r="B127" s="175"/>
      <c r="C127" s="175"/>
      <c r="D127" s="196"/>
      <c r="E127" s="546">
        <f>SUM(B127:D127)</f>
        <v>0</v>
      </c>
      <c r="F127" s="249"/>
      <c r="G127" s="578">
        <v>10</v>
      </c>
      <c r="H127" s="175">
        <v>126</v>
      </c>
      <c r="I127" s="175">
        <v>32</v>
      </c>
      <c r="J127" s="196">
        <v>2</v>
      </c>
      <c r="K127" s="546">
        <f>SUM(H127:J127)</f>
        <v>160</v>
      </c>
      <c r="L127" s="575">
        <v>10</v>
      </c>
      <c r="M127" s="175">
        <v>126</v>
      </c>
      <c r="N127" s="175">
        <v>32</v>
      </c>
      <c r="O127" s="196">
        <v>2</v>
      </c>
      <c r="P127" s="546">
        <f>SUM(M127:O127)</f>
        <v>160</v>
      </c>
      <c r="Q127" s="249"/>
      <c r="R127" s="578">
        <v>10</v>
      </c>
      <c r="S127" s="175">
        <v>126</v>
      </c>
      <c r="T127" s="175">
        <v>32</v>
      </c>
      <c r="U127" s="196">
        <v>2</v>
      </c>
      <c r="V127" s="546">
        <f>SUM(S127:U127)</f>
        <v>160</v>
      </c>
      <c r="W127" s="249"/>
      <c r="X127" s="578">
        <v>10</v>
      </c>
      <c r="Y127" s="175">
        <v>126</v>
      </c>
      <c r="Z127" s="175">
        <v>32</v>
      </c>
      <c r="AA127" s="196">
        <v>2</v>
      </c>
      <c r="AB127" s="546">
        <f>SUM(Y127:AA127)</f>
        <v>160</v>
      </c>
      <c r="AC127" s="249"/>
    </row>
    <row r="128" spans="1:29" ht="12">
      <c r="A128" s="575">
        <v>11</v>
      </c>
      <c r="B128" s="175"/>
      <c r="C128" s="175"/>
      <c r="D128" s="196"/>
      <c r="E128" s="546">
        <f>SUM(B128:D128)</f>
        <v>0</v>
      </c>
      <c r="F128" s="249"/>
      <c r="G128" s="578">
        <v>11</v>
      </c>
      <c r="H128" s="175"/>
      <c r="I128" s="175"/>
      <c r="J128" s="196"/>
      <c r="K128" s="546">
        <f>SUM(H128:J128)</f>
        <v>0</v>
      </c>
      <c r="L128" s="575">
        <v>11</v>
      </c>
      <c r="M128" s="175">
        <v>126</v>
      </c>
      <c r="N128" s="175">
        <v>32</v>
      </c>
      <c r="O128" s="196">
        <v>2</v>
      </c>
      <c r="P128" s="546">
        <f>SUM(M128:O128)</f>
        <v>160</v>
      </c>
      <c r="Q128" s="249"/>
      <c r="R128" s="578">
        <v>11</v>
      </c>
      <c r="S128" s="175">
        <v>126</v>
      </c>
      <c r="T128" s="175">
        <v>32</v>
      </c>
      <c r="U128" s="196">
        <v>2</v>
      </c>
      <c r="V128" s="546">
        <f>SUM(S128:U128)</f>
        <v>160</v>
      </c>
      <c r="W128" s="249"/>
      <c r="X128" s="578">
        <v>11</v>
      </c>
      <c r="Y128" s="175">
        <v>126</v>
      </c>
      <c r="Z128" s="175">
        <v>32</v>
      </c>
      <c r="AA128" s="196">
        <v>2</v>
      </c>
      <c r="AB128" s="546">
        <f>SUM(Y128:AA128)</f>
        <v>160</v>
      </c>
      <c r="AC128" s="249"/>
    </row>
    <row r="129" spans="1:29" ht="12">
      <c r="A129" s="575">
        <v>12</v>
      </c>
      <c r="B129" s="175"/>
      <c r="C129" s="175"/>
      <c r="D129" s="196"/>
      <c r="E129" s="546">
        <f>SUM(B129:D129)</f>
        <v>0</v>
      </c>
      <c r="F129" s="249"/>
      <c r="G129" s="578">
        <v>12</v>
      </c>
      <c r="H129" s="175"/>
      <c r="I129" s="175"/>
      <c r="J129" s="196"/>
      <c r="K129" s="546">
        <f>SUM(H129:J129)</f>
        <v>0</v>
      </c>
      <c r="L129" s="575">
        <v>12</v>
      </c>
      <c r="M129" s="175"/>
      <c r="N129" s="175"/>
      <c r="O129" s="196"/>
      <c r="P129" s="546">
        <f>SUM(M129:O129)</f>
        <v>0</v>
      </c>
      <c r="Q129" s="249"/>
      <c r="R129" s="578">
        <v>12</v>
      </c>
      <c r="S129" s="175">
        <v>126</v>
      </c>
      <c r="T129" s="175">
        <v>32</v>
      </c>
      <c r="U129" s="196">
        <v>2</v>
      </c>
      <c r="V129" s="546">
        <f>SUM(S129:U129)</f>
        <v>160</v>
      </c>
      <c r="W129" s="249"/>
      <c r="X129" s="578">
        <v>12</v>
      </c>
      <c r="Y129" s="175">
        <v>126</v>
      </c>
      <c r="Z129" s="175">
        <v>32</v>
      </c>
      <c r="AA129" s="196">
        <v>2</v>
      </c>
      <c r="AB129" s="546">
        <f>SUM(Y129:AA129)</f>
        <v>160</v>
      </c>
      <c r="AC129" s="249"/>
    </row>
    <row r="130" spans="1:29" ht="12">
      <c r="A130" s="556" t="s">
        <v>125</v>
      </c>
      <c r="B130" s="536">
        <f>SUM(B126:B129)</f>
        <v>126</v>
      </c>
      <c r="C130" s="536">
        <f>SUM(C126:C129)</f>
        <v>32</v>
      </c>
      <c r="D130" s="536">
        <f>SUM(D126:D129)</f>
        <v>2</v>
      </c>
      <c r="E130" s="537">
        <f>SUM(E126:E129)</f>
        <v>160</v>
      </c>
      <c r="F130" s="249"/>
      <c r="G130" s="563" t="s">
        <v>125</v>
      </c>
      <c r="H130" s="536">
        <f>SUM(H126:H129)</f>
        <v>252</v>
      </c>
      <c r="I130" s="536">
        <f>SUM(I126:I129)</f>
        <v>64</v>
      </c>
      <c r="J130" s="536">
        <f>SUM(J126:J129)</f>
        <v>4</v>
      </c>
      <c r="K130" s="537">
        <f>SUM(K126:K129)</f>
        <v>320</v>
      </c>
      <c r="L130" s="556" t="s">
        <v>125</v>
      </c>
      <c r="M130" s="536">
        <f>SUM(M126:M129)</f>
        <v>378</v>
      </c>
      <c r="N130" s="536">
        <f>SUM(N126:N129)</f>
        <v>96</v>
      </c>
      <c r="O130" s="536">
        <f>SUM(O126:O129)</f>
        <v>6</v>
      </c>
      <c r="P130" s="537">
        <f>SUM(P126:P129)</f>
        <v>480</v>
      </c>
      <c r="Q130" s="249"/>
      <c r="R130" s="563" t="s">
        <v>125</v>
      </c>
      <c r="S130" s="536">
        <f>SUM(S126:S129)</f>
        <v>504</v>
      </c>
      <c r="T130" s="536">
        <f>SUM(T126:T129)</f>
        <v>128</v>
      </c>
      <c r="U130" s="536">
        <f>SUM(U126:U129)</f>
        <v>8</v>
      </c>
      <c r="V130" s="537">
        <f>SUM(V126:V129)</f>
        <v>640</v>
      </c>
      <c r="W130" s="249"/>
      <c r="X130" s="563" t="s">
        <v>125</v>
      </c>
      <c r="Y130" s="536">
        <f>SUM(Y126:Y129)</f>
        <v>504</v>
      </c>
      <c r="Z130" s="536">
        <f>SUM(Z126:Z129)</f>
        <v>128</v>
      </c>
      <c r="AA130" s="536">
        <f>SUM(AA126:AA129)</f>
        <v>8</v>
      </c>
      <c r="AB130" s="537">
        <f>SUM(AB126:AB129)</f>
        <v>640</v>
      </c>
      <c r="AC130" s="249"/>
    </row>
    <row r="131" spans="1:29" ht="12.75" thickBot="1">
      <c r="A131" s="557" t="s">
        <v>98</v>
      </c>
      <c r="B131" s="538">
        <v>1</v>
      </c>
      <c r="C131" s="538">
        <v>0.7</v>
      </c>
      <c r="D131" s="538">
        <v>0.4</v>
      </c>
      <c r="E131" s="97"/>
      <c r="F131" s="249"/>
      <c r="G131" s="564" t="s">
        <v>98</v>
      </c>
      <c r="H131" s="538">
        <v>1</v>
      </c>
      <c r="I131" s="538">
        <v>0.7</v>
      </c>
      <c r="J131" s="538">
        <v>0.4</v>
      </c>
      <c r="K131" s="97"/>
      <c r="L131" s="557" t="s">
        <v>98</v>
      </c>
      <c r="M131" s="538">
        <v>1</v>
      </c>
      <c r="N131" s="538">
        <v>0.7</v>
      </c>
      <c r="O131" s="538">
        <v>0.4</v>
      </c>
      <c r="P131" s="97"/>
      <c r="Q131" s="249"/>
      <c r="R131" s="564" t="s">
        <v>98</v>
      </c>
      <c r="S131" s="538">
        <v>1</v>
      </c>
      <c r="T131" s="538">
        <v>0.7</v>
      </c>
      <c r="U131" s="538">
        <v>0.4</v>
      </c>
      <c r="V131" s="97"/>
      <c r="W131" s="249"/>
      <c r="X131" s="564" t="s">
        <v>98</v>
      </c>
      <c r="Y131" s="538">
        <v>1</v>
      </c>
      <c r="Z131" s="538">
        <v>0.7</v>
      </c>
      <c r="AA131" s="538">
        <v>0.4</v>
      </c>
      <c r="AB131" s="162"/>
      <c r="AC131" s="249"/>
    </row>
    <row r="132" spans="1:29" ht="12.75" thickBot="1">
      <c r="A132" s="488" t="s">
        <v>126</v>
      </c>
      <c r="B132" s="539">
        <f>B130*B131</f>
        <v>126</v>
      </c>
      <c r="C132" s="539">
        <f>C130*C131</f>
        <v>22.4</v>
      </c>
      <c r="D132" s="539">
        <f>D130*D131</f>
        <v>0.8</v>
      </c>
      <c r="E132" s="547">
        <f>SUM(B132:D132)</f>
        <v>149.20000000000002</v>
      </c>
      <c r="F132" s="249"/>
      <c r="G132" s="565" t="s">
        <v>126</v>
      </c>
      <c r="H132" s="539">
        <f>H130*H131</f>
        <v>252</v>
      </c>
      <c r="I132" s="539">
        <f>I130*I131</f>
        <v>44.8</v>
      </c>
      <c r="J132" s="539">
        <f>J130*J131</f>
        <v>1.6</v>
      </c>
      <c r="K132" s="547">
        <f>SUM(H132:J132)</f>
        <v>298.40000000000003</v>
      </c>
      <c r="L132" s="488" t="s">
        <v>126</v>
      </c>
      <c r="M132" s="539">
        <f>M130*M131</f>
        <v>378</v>
      </c>
      <c r="N132" s="539">
        <f>N130*N131</f>
        <v>67.19999999999999</v>
      </c>
      <c r="O132" s="539">
        <f>O130*O131</f>
        <v>2.4000000000000004</v>
      </c>
      <c r="P132" s="547">
        <f>SUM(M132:O132)</f>
        <v>447.59999999999997</v>
      </c>
      <c r="Q132" s="249"/>
      <c r="R132" s="565" t="s">
        <v>126</v>
      </c>
      <c r="S132" s="539">
        <f>S130*S131</f>
        <v>504</v>
      </c>
      <c r="T132" s="539">
        <f>T130*T131</f>
        <v>89.6</v>
      </c>
      <c r="U132" s="539">
        <f>U130*U131</f>
        <v>3.2</v>
      </c>
      <c r="V132" s="547">
        <f>SUM(S132:U132)</f>
        <v>596.8000000000001</v>
      </c>
      <c r="W132" s="249"/>
      <c r="X132" s="565" t="s">
        <v>126</v>
      </c>
      <c r="Y132" s="539">
        <f>Y130*Y131</f>
        <v>504</v>
      </c>
      <c r="Z132" s="539">
        <f>Z130*Z131</f>
        <v>89.6</v>
      </c>
      <c r="AA132" s="539">
        <f>AA130*AA131</f>
        <v>3.2</v>
      </c>
      <c r="AB132" s="547">
        <f>SUM(Y132:AA132)</f>
        <v>596.8000000000001</v>
      </c>
      <c r="AC132" s="249"/>
    </row>
    <row r="133" spans="1:29" ht="12">
      <c r="A133" s="178"/>
      <c r="B133" s="179"/>
      <c r="C133" s="107"/>
      <c r="D133" s="179"/>
      <c r="E133" s="107"/>
      <c r="F133" s="249"/>
      <c r="G133" s="179"/>
      <c r="H133" s="179"/>
      <c r="I133" s="107"/>
      <c r="J133" s="179"/>
      <c r="K133" s="107"/>
      <c r="L133" s="178"/>
      <c r="M133" s="179"/>
      <c r="N133" s="107"/>
      <c r="O133" s="179"/>
      <c r="P133" s="107"/>
      <c r="Q133" s="249"/>
      <c r="R133" s="179"/>
      <c r="S133" s="179"/>
      <c r="T133" s="107"/>
      <c r="U133" s="179"/>
      <c r="V133" s="107"/>
      <c r="W133" s="249"/>
      <c r="X133" s="179"/>
      <c r="Y133" s="179"/>
      <c r="Z133" s="107"/>
      <c r="AA133" s="179"/>
      <c r="AB133" s="107"/>
      <c r="AC133" s="249"/>
    </row>
    <row r="134" spans="1:29" ht="12.75" thickBot="1">
      <c r="A134" s="178"/>
      <c r="B134" s="179"/>
      <c r="C134" s="107"/>
      <c r="D134" s="179"/>
      <c r="E134" s="107"/>
      <c r="F134" s="249"/>
      <c r="G134" s="179"/>
      <c r="H134" s="179"/>
      <c r="I134" s="107"/>
      <c r="J134" s="179"/>
      <c r="K134" s="107"/>
      <c r="L134" s="178"/>
      <c r="M134" s="179"/>
      <c r="N134" s="107"/>
      <c r="O134" s="179"/>
      <c r="P134" s="107"/>
      <c r="Q134" s="249"/>
      <c r="R134" s="179"/>
      <c r="S134" s="179"/>
      <c r="T134" s="107"/>
      <c r="U134" s="179"/>
      <c r="V134" s="107"/>
      <c r="W134" s="249"/>
      <c r="X134" s="179"/>
      <c r="Y134" s="179"/>
      <c r="Z134" s="107"/>
      <c r="AA134" s="179"/>
      <c r="AB134" s="107"/>
      <c r="AC134" s="249"/>
    </row>
    <row r="135" spans="1:29" ht="12.75" thickBot="1">
      <c r="A135" s="1057" t="s">
        <v>127</v>
      </c>
      <c r="B135" s="1058"/>
      <c r="C135" s="97"/>
      <c r="D135" s="197"/>
      <c r="E135" s="97"/>
      <c r="F135" s="249"/>
      <c r="G135" s="1084" t="s">
        <v>127</v>
      </c>
      <c r="H135" s="1058"/>
      <c r="I135" s="97"/>
      <c r="J135" s="197"/>
      <c r="K135" s="97"/>
      <c r="L135" s="1057" t="s">
        <v>127</v>
      </c>
      <c r="M135" s="1058"/>
      <c r="N135" s="97"/>
      <c r="O135" s="197"/>
      <c r="P135" s="97"/>
      <c r="Q135" s="249"/>
      <c r="R135" s="1084" t="s">
        <v>127</v>
      </c>
      <c r="S135" s="1058"/>
      <c r="T135" s="97"/>
      <c r="U135" s="197"/>
      <c r="V135" s="97"/>
      <c r="W135" s="249"/>
      <c r="X135" s="1084" t="s">
        <v>127</v>
      </c>
      <c r="Y135" s="1058"/>
      <c r="Z135" s="97"/>
      <c r="AA135" s="197"/>
      <c r="AB135" s="97"/>
      <c r="AC135" s="249"/>
    </row>
    <row r="136" spans="1:29" ht="12">
      <c r="A136" s="566" t="s">
        <v>291</v>
      </c>
      <c r="B136" s="540">
        <f>E132</f>
        <v>149.20000000000002</v>
      </c>
      <c r="C136" s="97"/>
      <c r="D136" s="197"/>
      <c r="E136" s="97"/>
      <c r="F136" s="249"/>
      <c r="G136" s="570" t="s">
        <v>291</v>
      </c>
      <c r="H136" s="540">
        <f>K132</f>
        <v>298.40000000000003</v>
      </c>
      <c r="I136" s="97"/>
      <c r="J136" s="197"/>
      <c r="K136" s="97"/>
      <c r="L136" s="566" t="s">
        <v>128</v>
      </c>
      <c r="M136" s="540">
        <f>P132</f>
        <v>447.59999999999997</v>
      </c>
      <c r="N136" s="97"/>
      <c r="O136" s="197"/>
      <c r="P136" s="97"/>
      <c r="Q136" s="249"/>
      <c r="R136" s="570" t="s">
        <v>291</v>
      </c>
      <c r="S136" s="540">
        <f>V132</f>
        <v>596.8000000000001</v>
      </c>
      <c r="T136" s="97"/>
      <c r="U136" s="197"/>
      <c r="V136" s="97"/>
      <c r="W136" s="249"/>
      <c r="X136" s="570" t="s">
        <v>291</v>
      </c>
      <c r="Y136" s="540">
        <f>AB132</f>
        <v>596.8000000000001</v>
      </c>
      <c r="Z136" s="97"/>
      <c r="AA136" s="197"/>
      <c r="AB136" s="97"/>
      <c r="AC136" s="249"/>
    </row>
    <row r="137" spans="1:29" ht="12.75" thickBot="1">
      <c r="A137" s="567" t="s">
        <v>58</v>
      </c>
      <c r="B137" s="541">
        <f>B15</f>
        <v>6220.83</v>
      </c>
      <c r="C137" s="97"/>
      <c r="D137" s="197"/>
      <c r="E137" s="97"/>
      <c r="F137" s="249"/>
      <c r="G137" s="571" t="s">
        <v>58</v>
      </c>
      <c r="H137" s="541">
        <f>H15</f>
        <v>6220.83</v>
      </c>
      <c r="I137" s="97"/>
      <c r="J137" s="197"/>
      <c r="K137" s="97"/>
      <c r="L137" s="567" t="s">
        <v>58</v>
      </c>
      <c r="M137" s="541">
        <f>M15</f>
        <v>6220.83</v>
      </c>
      <c r="N137" s="97"/>
      <c r="O137" s="197"/>
      <c r="P137" s="97"/>
      <c r="Q137" s="249"/>
      <c r="R137" s="571" t="s">
        <v>58</v>
      </c>
      <c r="S137" s="541">
        <f>S15</f>
        <v>6220.83</v>
      </c>
      <c r="T137" s="97"/>
      <c r="U137" s="197"/>
      <c r="V137" s="97"/>
      <c r="W137" s="249"/>
      <c r="X137" s="571" t="s">
        <v>58</v>
      </c>
      <c r="Y137" s="541">
        <f>Y15</f>
        <v>6220.83</v>
      </c>
      <c r="Z137" s="97"/>
      <c r="AA137" s="197"/>
      <c r="AB137" s="97"/>
      <c r="AC137" s="249"/>
    </row>
    <row r="138" spans="1:29" ht="13.5" thickBot="1">
      <c r="A138" s="535" t="s">
        <v>129</v>
      </c>
      <c r="B138" s="542">
        <f>B136*B137</f>
        <v>928147.8360000001</v>
      </c>
      <c r="C138" s="97"/>
      <c r="D138" s="197"/>
      <c r="E138" s="97"/>
      <c r="F138" s="249"/>
      <c r="G138" s="572" t="s">
        <v>129</v>
      </c>
      <c r="H138" s="542">
        <f>H136*H137</f>
        <v>1856295.6720000003</v>
      </c>
      <c r="I138" s="97"/>
      <c r="J138" s="197"/>
      <c r="K138" s="97"/>
      <c r="L138" s="535" t="s">
        <v>129</v>
      </c>
      <c r="M138" s="542">
        <f>M136*M137</f>
        <v>2784443.508</v>
      </c>
      <c r="N138" s="97"/>
      <c r="O138" s="197"/>
      <c r="P138" s="97"/>
      <c r="Q138" s="249"/>
      <c r="R138" s="572" t="s">
        <v>129</v>
      </c>
      <c r="S138" s="542">
        <f>S136*S137</f>
        <v>3712591.3440000005</v>
      </c>
      <c r="T138" s="97"/>
      <c r="U138" s="197"/>
      <c r="V138" s="97"/>
      <c r="W138" s="249"/>
      <c r="X138" s="572" t="s">
        <v>129</v>
      </c>
      <c r="Y138" s="542">
        <f>Y136*Y137</f>
        <v>3712591.3440000005</v>
      </c>
      <c r="Z138" s="97"/>
      <c r="AA138" s="197"/>
      <c r="AB138" s="97"/>
      <c r="AC138" s="249"/>
    </row>
    <row r="139" spans="1:29" ht="12.75">
      <c r="A139" s="191"/>
      <c r="B139" s="192"/>
      <c r="C139" s="107"/>
      <c r="D139" s="107"/>
      <c r="E139" s="179"/>
      <c r="F139" s="249"/>
      <c r="G139" s="239"/>
      <c r="H139" s="192"/>
      <c r="I139" s="107"/>
      <c r="J139" s="107"/>
      <c r="K139" s="179"/>
      <c r="L139" s="191"/>
      <c r="M139" s="192"/>
      <c r="N139" s="107"/>
      <c r="O139" s="107"/>
      <c r="P139" s="179"/>
      <c r="Q139" s="249"/>
      <c r="R139" s="239"/>
      <c r="S139" s="192"/>
      <c r="T139" s="107"/>
      <c r="U139" s="107"/>
      <c r="V139" s="179"/>
      <c r="W139" s="249"/>
      <c r="X139" s="239"/>
      <c r="Y139" s="192"/>
      <c r="Z139" s="107"/>
      <c r="AA139" s="107"/>
      <c r="AB139" s="179"/>
      <c r="AC139" s="249"/>
    </row>
    <row r="140" spans="1:29" ht="13.5" thickBot="1">
      <c r="A140" s="191"/>
      <c r="B140" s="192"/>
      <c r="C140" s="107"/>
      <c r="D140" s="107"/>
      <c r="E140" s="179"/>
      <c r="F140" s="249"/>
      <c r="G140" s="239"/>
      <c r="H140" s="192"/>
      <c r="I140" s="107"/>
      <c r="J140" s="107"/>
      <c r="K140" s="179"/>
      <c r="L140" s="191"/>
      <c r="M140" s="192"/>
      <c r="N140" s="107"/>
      <c r="O140" s="107"/>
      <c r="P140" s="179"/>
      <c r="Q140" s="249"/>
      <c r="R140" s="239"/>
      <c r="S140" s="192"/>
      <c r="T140" s="107"/>
      <c r="U140" s="107"/>
      <c r="V140" s="179"/>
      <c r="W140" s="249"/>
      <c r="X140" s="239"/>
      <c r="Y140" s="192"/>
      <c r="Z140" s="107"/>
      <c r="AA140" s="107"/>
      <c r="AB140" s="179"/>
      <c r="AC140" s="249"/>
    </row>
    <row r="141" spans="1:29" ht="12.75" thickBot="1">
      <c r="A141" s="1057" t="s">
        <v>130</v>
      </c>
      <c r="B141" s="1058"/>
      <c r="C141" s="162"/>
      <c r="D141" s="162"/>
      <c r="E141" s="161"/>
      <c r="F141" s="249"/>
      <c r="G141" s="1084" t="s">
        <v>130</v>
      </c>
      <c r="H141" s="1058"/>
      <c r="I141" s="162"/>
      <c r="J141" s="162"/>
      <c r="K141" s="161"/>
      <c r="L141" s="1057" t="s">
        <v>130</v>
      </c>
      <c r="M141" s="1058"/>
      <c r="N141" s="162"/>
      <c r="O141" s="162"/>
      <c r="P141" s="161"/>
      <c r="Q141" s="249"/>
      <c r="R141" s="1084" t="s">
        <v>130</v>
      </c>
      <c r="S141" s="1058"/>
      <c r="T141" s="162"/>
      <c r="U141" s="162"/>
      <c r="V141" s="161"/>
      <c r="W141" s="249"/>
      <c r="X141" s="1084" t="s">
        <v>130</v>
      </c>
      <c r="Y141" s="1058"/>
      <c r="Z141" s="162"/>
      <c r="AA141" s="162"/>
      <c r="AB141" s="161"/>
      <c r="AC141" s="249"/>
    </row>
    <row r="142" spans="1:29" ht="12">
      <c r="A142" s="566" t="s">
        <v>131</v>
      </c>
      <c r="B142" s="540">
        <f>E130</f>
        <v>160</v>
      </c>
      <c r="C142" s="162"/>
      <c r="D142" s="162"/>
      <c r="E142" s="161"/>
      <c r="F142" s="249"/>
      <c r="G142" s="570" t="s">
        <v>131</v>
      </c>
      <c r="H142" s="540">
        <f>K130</f>
        <v>320</v>
      </c>
      <c r="I142" s="162"/>
      <c r="J142" s="162"/>
      <c r="K142" s="161"/>
      <c r="L142" s="566" t="s">
        <v>131</v>
      </c>
      <c r="M142" s="540">
        <f>P130</f>
        <v>480</v>
      </c>
      <c r="N142" s="162"/>
      <c r="O142" s="162"/>
      <c r="P142" s="161"/>
      <c r="Q142" s="249"/>
      <c r="R142" s="570" t="s">
        <v>131</v>
      </c>
      <c r="S142" s="540">
        <f>V130</f>
        <v>640</v>
      </c>
      <c r="T142" s="162"/>
      <c r="U142" s="162"/>
      <c r="V142" s="161"/>
      <c r="W142" s="249"/>
      <c r="X142" s="570" t="s">
        <v>131</v>
      </c>
      <c r="Y142" s="540">
        <f>AB130</f>
        <v>640</v>
      </c>
      <c r="Z142" s="162"/>
      <c r="AA142" s="162"/>
      <c r="AB142" s="161"/>
      <c r="AC142" s="249"/>
    </row>
    <row r="143" spans="1:29" ht="15.75" thickBot="1">
      <c r="A143" s="567" t="s">
        <v>132</v>
      </c>
      <c r="B143" s="541">
        <f>B16</f>
        <v>2447.52</v>
      </c>
      <c r="C143" s="162"/>
      <c r="D143" s="162"/>
      <c r="E143" s="162"/>
      <c r="F143" s="251"/>
      <c r="G143" s="571" t="s">
        <v>132</v>
      </c>
      <c r="H143" s="541">
        <f>H16</f>
        <v>2447.52</v>
      </c>
      <c r="I143" s="162"/>
      <c r="J143" s="162"/>
      <c r="K143" s="162"/>
      <c r="L143" s="567" t="s">
        <v>132</v>
      </c>
      <c r="M143" s="541">
        <f>M16</f>
        <v>2447.52</v>
      </c>
      <c r="N143" s="162"/>
      <c r="O143" s="162"/>
      <c r="P143" s="162"/>
      <c r="Q143" s="251"/>
      <c r="R143" s="571" t="s">
        <v>132</v>
      </c>
      <c r="S143" s="541">
        <f>S16</f>
        <v>2447.52</v>
      </c>
      <c r="T143" s="162"/>
      <c r="U143" s="162"/>
      <c r="V143" s="162"/>
      <c r="W143" s="251"/>
      <c r="X143" s="571" t="s">
        <v>132</v>
      </c>
      <c r="Y143" s="541">
        <f>Y16</f>
        <v>2447.52</v>
      </c>
      <c r="Z143" s="162"/>
      <c r="AA143" s="162"/>
      <c r="AB143" s="162"/>
      <c r="AC143" s="251"/>
    </row>
    <row r="144" spans="1:29" ht="15.75" thickBot="1">
      <c r="A144" s="535" t="s">
        <v>133</v>
      </c>
      <c r="B144" s="542">
        <f>B142*B143</f>
        <v>391603.2</v>
      </c>
      <c r="C144" s="162"/>
      <c r="D144" s="162"/>
      <c r="E144" s="162"/>
      <c r="F144" s="251"/>
      <c r="G144" s="572" t="s">
        <v>133</v>
      </c>
      <c r="H144" s="542">
        <f>H142*H143</f>
        <v>783206.4</v>
      </c>
      <c r="I144" s="162"/>
      <c r="J144" s="162"/>
      <c r="K144" s="162"/>
      <c r="L144" s="535" t="s">
        <v>133</v>
      </c>
      <c r="M144" s="542">
        <f>M142*M143</f>
        <v>1174809.6</v>
      </c>
      <c r="N144" s="162"/>
      <c r="O144" s="162"/>
      <c r="P144" s="162"/>
      <c r="Q144" s="251"/>
      <c r="R144" s="572" t="s">
        <v>133</v>
      </c>
      <c r="S144" s="542">
        <f>S142*S143</f>
        <v>1566412.8</v>
      </c>
      <c r="T144" s="162"/>
      <c r="U144" s="162"/>
      <c r="V144" s="162"/>
      <c r="W144" s="251"/>
      <c r="X144" s="572" t="s">
        <v>133</v>
      </c>
      <c r="Y144" s="542">
        <f>Y142*Y143</f>
        <v>1566412.8</v>
      </c>
      <c r="Z144" s="162"/>
      <c r="AA144" s="162"/>
      <c r="AB144" s="162"/>
      <c r="AC144" s="251"/>
    </row>
    <row r="145" spans="1:29" ht="15">
      <c r="A145" s="193"/>
      <c r="B145" s="184"/>
      <c r="C145" s="184"/>
      <c r="D145" s="176"/>
      <c r="E145" s="188"/>
      <c r="F145" s="252"/>
      <c r="G145" s="184"/>
      <c r="H145" s="184"/>
      <c r="I145" s="184"/>
      <c r="J145" s="176"/>
      <c r="K145" s="188"/>
      <c r="L145" s="193"/>
      <c r="M145" s="184"/>
      <c r="N145" s="184"/>
      <c r="O145" s="176"/>
      <c r="P145" s="188"/>
      <c r="Q145" s="252"/>
      <c r="R145" s="184"/>
      <c r="S145" s="184"/>
      <c r="T145" s="184"/>
      <c r="U145" s="176"/>
      <c r="V145" s="188"/>
      <c r="W145" s="252"/>
      <c r="X145" s="184"/>
      <c r="Y145" s="184"/>
      <c r="Z145" s="184"/>
      <c r="AA145" s="176"/>
      <c r="AB145" s="188"/>
      <c r="AC145" s="252"/>
    </row>
    <row r="146" spans="1:29" ht="15.75" thickBot="1">
      <c r="A146" s="193"/>
      <c r="B146" s="184"/>
      <c r="C146" s="184"/>
      <c r="D146" s="176"/>
      <c r="E146" s="188"/>
      <c r="F146" s="252"/>
      <c r="G146" s="184"/>
      <c r="H146" s="184"/>
      <c r="I146" s="184"/>
      <c r="J146" s="176"/>
      <c r="K146" s="188"/>
      <c r="L146" s="193"/>
      <c r="M146" s="184"/>
      <c r="N146" s="184"/>
      <c r="O146" s="176"/>
      <c r="P146" s="188"/>
      <c r="Q146" s="252"/>
      <c r="R146" s="184"/>
      <c r="S146" s="184"/>
      <c r="T146" s="184"/>
      <c r="U146" s="176"/>
      <c r="V146" s="188"/>
      <c r="W146" s="252"/>
      <c r="X146" s="184"/>
      <c r="Y146" s="184"/>
      <c r="Z146" s="184"/>
      <c r="AA146" s="176"/>
      <c r="AB146" s="188"/>
      <c r="AC146" s="252"/>
    </row>
    <row r="147" spans="1:29" ht="12.75" thickBot="1">
      <c r="A147" s="1057" t="s">
        <v>134</v>
      </c>
      <c r="B147" s="1058"/>
      <c r="C147" s="183"/>
      <c r="D147" s="198"/>
      <c r="E147" s="199"/>
      <c r="F147" s="253"/>
      <c r="G147" s="1084" t="s">
        <v>134</v>
      </c>
      <c r="H147" s="1058"/>
      <c r="I147" s="183"/>
      <c r="J147" s="198"/>
      <c r="K147" s="199"/>
      <c r="L147" s="1057" t="s">
        <v>134</v>
      </c>
      <c r="M147" s="1058"/>
      <c r="N147" s="183"/>
      <c r="O147" s="198"/>
      <c r="P147" s="199"/>
      <c r="Q147" s="253"/>
      <c r="R147" s="1084" t="s">
        <v>134</v>
      </c>
      <c r="S147" s="1058"/>
      <c r="T147" s="183"/>
      <c r="U147" s="198"/>
      <c r="V147" s="199"/>
      <c r="W147" s="253"/>
      <c r="X147" s="1084" t="s">
        <v>134</v>
      </c>
      <c r="Y147" s="1058"/>
      <c r="Z147" s="183"/>
      <c r="AA147" s="198"/>
      <c r="AB147" s="199"/>
      <c r="AC147" s="253"/>
    </row>
    <row r="148" spans="1:29" ht="12">
      <c r="A148" s="566" t="s">
        <v>129</v>
      </c>
      <c r="B148" s="543">
        <f>B138</f>
        <v>928147.8360000001</v>
      </c>
      <c r="C148" s="183"/>
      <c r="D148" s="198"/>
      <c r="E148" s="199"/>
      <c r="F148" s="253"/>
      <c r="G148" s="570" t="s">
        <v>129</v>
      </c>
      <c r="H148" s="543">
        <f>H138</f>
        <v>1856295.6720000003</v>
      </c>
      <c r="I148" s="183"/>
      <c r="J148" s="198"/>
      <c r="K148" s="199"/>
      <c r="L148" s="566" t="s">
        <v>129</v>
      </c>
      <c r="M148" s="543">
        <f>M138</f>
        <v>2784443.508</v>
      </c>
      <c r="N148" s="183"/>
      <c r="O148" s="198"/>
      <c r="P148" s="199"/>
      <c r="Q148" s="253"/>
      <c r="R148" s="570" t="s">
        <v>129</v>
      </c>
      <c r="S148" s="543">
        <f>S138</f>
        <v>3712591.3440000005</v>
      </c>
      <c r="T148" s="183"/>
      <c r="U148" s="198"/>
      <c r="V148" s="199"/>
      <c r="W148" s="253"/>
      <c r="X148" s="570" t="s">
        <v>129</v>
      </c>
      <c r="Y148" s="543">
        <f>Y138</f>
        <v>3712591.3440000005</v>
      </c>
      <c r="Z148" s="183"/>
      <c r="AA148" s="198"/>
      <c r="AB148" s="199"/>
      <c r="AC148" s="253"/>
    </row>
    <row r="149" spans="1:29" ht="12.75" customHeight="1" thickBot="1">
      <c r="A149" s="566" t="s">
        <v>133</v>
      </c>
      <c r="B149" s="541">
        <f>B144</f>
        <v>391603.2</v>
      </c>
      <c r="C149" s="183"/>
      <c r="D149" s="198"/>
      <c r="E149" s="199"/>
      <c r="F149" s="253"/>
      <c r="G149" s="570" t="s">
        <v>133</v>
      </c>
      <c r="H149" s="541">
        <f>H144</f>
        <v>783206.4</v>
      </c>
      <c r="I149" s="183"/>
      <c r="J149" s="198"/>
      <c r="K149" s="199"/>
      <c r="L149" s="566" t="s">
        <v>133</v>
      </c>
      <c r="M149" s="541">
        <f>M144</f>
        <v>1174809.6</v>
      </c>
      <c r="N149" s="183"/>
      <c r="O149" s="198"/>
      <c r="P149" s="199"/>
      <c r="Q149" s="253"/>
      <c r="R149" s="570" t="s">
        <v>133</v>
      </c>
      <c r="S149" s="541">
        <f>S144</f>
        <v>1566412.8</v>
      </c>
      <c r="T149" s="183"/>
      <c r="U149" s="198"/>
      <c r="V149" s="584"/>
      <c r="W149" s="253"/>
      <c r="X149" s="570" t="s">
        <v>133</v>
      </c>
      <c r="Y149" s="541">
        <f>Y144</f>
        <v>1566412.8</v>
      </c>
      <c r="Z149" s="183"/>
      <c r="AA149" s="198"/>
      <c r="AB149" s="199"/>
      <c r="AC149" s="253"/>
    </row>
    <row r="150" spans="1:29" ht="13.5" thickBot="1">
      <c r="A150" s="535" t="s">
        <v>135</v>
      </c>
      <c r="B150" s="542">
        <f>B148+B149</f>
        <v>1319751.036</v>
      </c>
      <c r="C150" s="183"/>
      <c r="D150" s="198"/>
      <c r="E150" s="199"/>
      <c r="F150" s="254"/>
      <c r="G150" s="572" t="s">
        <v>135</v>
      </c>
      <c r="H150" s="542">
        <f>H148+H149</f>
        <v>2639502.072</v>
      </c>
      <c r="I150" s="183"/>
      <c r="J150" s="198"/>
      <c r="K150" s="199"/>
      <c r="L150" s="535" t="s">
        <v>135</v>
      </c>
      <c r="M150" s="542">
        <f>M148+M149</f>
        <v>3959253.108</v>
      </c>
      <c r="N150" s="183"/>
      <c r="O150" s="198"/>
      <c r="P150" s="199"/>
      <c r="Q150" s="254"/>
      <c r="R150" s="572" t="s">
        <v>135</v>
      </c>
      <c r="S150" s="542">
        <f>S148+S149</f>
        <v>5279004.144</v>
      </c>
      <c r="T150" s="183"/>
      <c r="U150" s="198"/>
      <c r="V150" s="584"/>
      <c r="W150" s="254"/>
      <c r="X150" s="572" t="s">
        <v>135</v>
      </c>
      <c r="Y150" s="542">
        <f>Y148+Y149</f>
        <v>5279004.144</v>
      </c>
      <c r="Z150" s="183"/>
      <c r="AA150" s="198"/>
      <c r="AB150" s="199"/>
      <c r="AC150" s="254"/>
    </row>
    <row r="151" spans="1:29" ht="12.75">
      <c r="A151" s="180"/>
      <c r="B151" s="181"/>
      <c r="C151" s="183"/>
      <c r="D151" s="198"/>
      <c r="E151" s="199"/>
      <c r="F151" s="254"/>
      <c r="G151" s="180"/>
      <c r="H151" s="181"/>
      <c r="I151" s="183"/>
      <c r="J151" s="198"/>
      <c r="K151" s="199"/>
      <c r="L151" s="180"/>
      <c r="M151" s="181"/>
      <c r="N151" s="183"/>
      <c r="O151" s="198"/>
      <c r="P151" s="199"/>
      <c r="Q151" s="254"/>
      <c r="R151" s="7"/>
      <c r="S151" s="181"/>
      <c r="T151" s="183"/>
      <c r="U151" s="198"/>
      <c r="V151" s="584"/>
      <c r="W151" s="254"/>
      <c r="X151" s="7"/>
      <c r="Y151" s="181"/>
      <c r="Z151" s="183"/>
      <c r="AA151" s="198"/>
      <c r="AB151" s="199"/>
      <c r="AC151" s="254"/>
    </row>
    <row r="152" spans="1:29" ht="12.75" hidden="1">
      <c r="A152" s="180"/>
      <c r="B152" s="181"/>
      <c r="C152" s="183"/>
      <c r="D152" s="198"/>
      <c r="E152" s="199"/>
      <c r="F152" s="254"/>
      <c r="G152" s="180"/>
      <c r="H152" s="181"/>
      <c r="I152" s="183"/>
      <c r="J152" s="198"/>
      <c r="K152" s="199"/>
      <c r="L152" s="180"/>
      <c r="M152" s="181"/>
      <c r="N152" s="183"/>
      <c r="O152" s="198"/>
      <c r="P152" s="199"/>
      <c r="Q152" s="254"/>
      <c r="R152" s="7"/>
      <c r="S152" s="181"/>
      <c r="T152" s="183"/>
      <c r="U152" s="198"/>
      <c r="V152" s="584"/>
      <c r="W152" s="254"/>
      <c r="X152" s="7"/>
      <c r="Y152" s="181"/>
      <c r="Z152" s="183"/>
      <c r="AA152" s="198"/>
      <c r="AB152" s="199"/>
      <c r="AC152" s="254"/>
    </row>
    <row r="153" spans="1:29" ht="13.5" hidden="1" thickBot="1">
      <c r="A153" s="180"/>
      <c r="B153" s="181"/>
      <c r="C153" s="183"/>
      <c r="D153" s="198"/>
      <c r="E153" s="199"/>
      <c r="F153" s="254"/>
      <c r="G153" s="448"/>
      <c r="H153" s="262"/>
      <c r="I153" s="263"/>
      <c r="J153" s="186"/>
      <c r="K153" s="264"/>
      <c r="L153" s="448"/>
      <c r="M153" s="262"/>
      <c r="N153" s="263"/>
      <c r="O153" s="186"/>
      <c r="P153" s="582"/>
      <c r="Q153" s="254"/>
      <c r="R153" s="237"/>
      <c r="S153" s="262"/>
      <c r="T153" s="263"/>
      <c r="U153" s="186"/>
      <c r="V153" s="582"/>
      <c r="W153" s="254"/>
      <c r="X153" s="237"/>
      <c r="Y153" s="262"/>
      <c r="Z153" s="263"/>
      <c r="AA153" s="186"/>
      <c r="AB153" s="264"/>
      <c r="AC153" s="254"/>
    </row>
    <row r="154" spans="1:29" ht="16.5" customHeight="1" hidden="1" thickBot="1">
      <c r="A154" s="1043" t="s">
        <v>136</v>
      </c>
      <c r="B154" s="1044"/>
      <c r="C154" s="1044"/>
      <c r="D154" s="1044"/>
      <c r="E154" s="1045"/>
      <c r="F154" s="674"/>
      <c r="G154" s="1043" t="s">
        <v>136</v>
      </c>
      <c r="H154" s="1044"/>
      <c r="I154" s="1044"/>
      <c r="J154" s="1044"/>
      <c r="K154" s="1044"/>
      <c r="L154" s="1043" t="s">
        <v>136</v>
      </c>
      <c r="M154" s="1044"/>
      <c r="N154" s="1044"/>
      <c r="O154" s="1044"/>
      <c r="P154" s="1045"/>
      <c r="Q154" s="681"/>
      <c r="R154" s="1043" t="s">
        <v>136</v>
      </c>
      <c r="S154" s="1044"/>
      <c r="T154" s="1044"/>
      <c r="U154" s="1044"/>
      <c r="V154" s="1045"/>
      <c r="W154" s="682"/>
      <c r="X154" s="1043" t="s">
        <v>136</v>
      </c>
      <c r="Y154" s="1044"/>
      <c r="Z154" s="1044"/>
      <c r="AA154" s="1044"/>
      <c r="AB154" s="1045"/>
      <c r="AC154" s="683"/>
    </row>
    <row r="155" spans="1:29" ht="12" hidden="1">
      <c r="A155" s="193"/>
      <c r="B155" s="184"/>
      <c r="C155" s="184"/>
      <c r="D155" s="176"/>
      <c r="E155" s="446"/>
      <c r="F155" s="675"/>
      <c r="G155" s="193"/>
      <c r="H155" s="184"/>
      <c r="I155" s="184"/>
      <c r="J155" s="176"/>
      <c r="K155" s="188"/>
      <c r="L155" s="193"/>
      <c r="M155" s="184"/>
      <c r="N155" s="184"/>
      <c r="O155" s="176"/>
      <c r="P155" s="446"/>
      <c r="Q155" s="585"/>
      <c r="R155" s="184"/>
      <c r="S155" s="184"/>
      <c r="T155" s="184"/>
      <c r="U155" s="176"/>
      <c r="V155" s="446"/>
      <c r="W155" s="585"/>
      <c r="X155" s="184"/>
      <c r="Y155" s="184"/>
      <c r="Z155" s="184"/>
      <c r="AA155" s="176"/>
      <c r="AB155" s="188"/>
      <c r="AC155" s="585"/>
    </row>
    <row r="156" spans="1:29" ht="13.5" hidden="1" thickBot="1">
      <c r="A156" s="548" t="s">
        <v>137</v>
      </c>
      <c r="B156" s="548">
        <f>D30+D66+E130+E98</f>
        <v>160</v>
      </c>
      <c r="C156" s="162"/>
      <c r="D156" s="162"/>
      <c r="E156" s="583"/>
      <c r="F156" s="676"/>
      <c r="G156" s="548" t="s">
        <v>137</v>
      </c>
      <c r="H156" s="548">
        <f>J30+J66+K130+K98</f>
        <v>320</v>
      </c>
      <c r="I156" s="162"/>
      <c r="J156" s="162"/>
      <c r="K156" s="161"/>
      <c r="L156" s="548" t="s">
        <v>137</v>
      </c>
      <c r="M156" s="548">
        <f>O30+O66+P130</f>
        <v>480</v>
      </c>
      <c r="N156" s="162"/>
      <c r="O156" s="162"/>
      <c r="P156" s="583"/>
      <c r="Q156" s="249"/>
      <c r="R156" s="581" t="s">
        <v>137</v>
      </c>
      <c r="S156" s="548">
        <f>U30+U66+V130</f>
        <v>640</v>
      </c>
      <c r="T156" s="162"/>
      <c r="U156" s="162"/>
      <c r="V156" s="583"/>
      <c r="W156" s="249"/>
      <c r="X156" s="581" t="s">
        <v>137</v>
      </c>
      <c r="Y156" s="548">
        <f>AA30+AA66+AB130</f>
        <v>640</v>
      </c>
      <c r="Z156" s="162"/>
      <c r="AA156" s="162"/>
      <c r="AB156" s="161"/>
      <c r="AC156" s="249"/>
    </row>
    <row r="157" spans="1:29" ht="12" hidden="1">
      <c r="A157" s="201"/>
      <c r="B157" s="107"/>
      <c r="C157" s="168"/>
      <c r="D157" s="168"/>
      <c r="E157" s="436"/>
      <c r="F157" s="676"/>
      <c r="G157" s="201"/>
      <c r="H157" s="107"/>
      <c r="I157" s="168"/>
      <c r="J157" s="168"/>
      <c r="K157" s="167"/>
      <c r="L157" s="201"/>
      <c r="M157" s="107"/>
      <c r="N157" s="168"/>
      <c r="O157" s="168"/>
      <c r="P157" s="167"/>
      <c r="Q157" s="249"/>
      <c r="R157" s="107"/>
      <c r="S157" s="107"/>
      <c r="T157" s="168"/>
      <c r="U157" s="168"/>
      <c r="V157" s="167"/>
      <c r="W157" s="249"/>
      <c r="X157" s="107"/>
      <c r="Y157" s="107"/>
      <c r="Z157" s="168"/>
      <c r="AA157" s="168"/>
      <c r="AB157" s="167"/>
      <c r="AC157" s="249"/>
    </row>
    <row r="158" spans="1:29" ht="13.5" customHeight="1" hidden="1" thickBot="1">
      <c r="A158" s="1050" t="s">
        <v>329</v>
      </c>
      <c r="B158" s="1051"/>
      <c r="C158" s="1051"/>
      <c r="D158" s="1051"/>
      <c r="E158" s="1052"/>
      <c r="F158" s="676"/>
      <c r="G158" s="1050" t="s">
        <v>330</v>
      </c>
      <c r="H158" s="1051"/>
      <c r="I158" s="1051"/>
      <c r="J158" s="1051"/>
      <c r="K158" s="1051"/>
      <c r="L158" s="1050" t="s">
        <v>331</v>
      </c>
      <c r="M158" s="1051"/>
      <c r="N158" s="1051"/>
      <c r="O158" s="1051"/>
      <c r="P158" s="1052"/>
      <c r="Q158" s="249"/>
      <c r="R158" s="1050" t="s">
        <v>332</v>
      </c>
      <c r="S158" s="1051"/>
      <c r="T158" s="1051"/>
      <c r="U158" s="1051"/>
      <c r="V158" s="1052"/>
      <c r="W158" s="249"/>
      <c r="X158" s="1050" t="s">
        <v>333</v>
      </c>
      <c r="Y158" s="1051"/>
      <c r="Z158" s="1051"/>
      <c r="AA158" s="1051"/>
      <c r="AB158" s="1052"/>
      <c r="AC158" s="249"/>
    </row>
    <row r="159" spans="1:29" ht="12.75" hidden="1" thickBot="1">
      <c r="A159" s="535" t="s">
        <v>138</v>
      </c>
      <c r="B159" s="202"/>
      <c r="C159" s="107"/>
      <c r="D159" s="107"/>
      <c r="E159" s="444"/>
      <c r="F159" s="676"/>
      <c r="G159" s="535" t="s">
        <v>138</v>
      </c>
      <c r="H159" s="202"/>
      <c r="I159" s="107"/>
      <c r="J159" s="107"/>
      <c r="K159" s="179"/>
      <c r="L159" s="535" t="s">
        <v>138</v>
      </c>
      <c r="M159" s="202"/>
      <c r="N159" s="107"/>
      <c r="O159" s="107"/>
      <c r="P159" s="179"/>
      <c r="Q159" s="249"/>
      <c r="R159" s="572" t="s">
        <v>138</v>
      </c>
      <c r="S159" s="202"/>
      <c r="T159" s="107"/>
      <c r="U159" s="107"/>
      <c r="V159" s="179"/>
      <c r="W159" s="249"/>
      <c r="X159" s="572" t="s">
        <v>138</v>
      </c>
      <c r="Y159" s="202"/>
      <c r="Z159" s="107"/>
      <c r="AA159" s="107"/>
      <c r="AB159" s="179"/>
      <c r="AC159" s="249"/>
    </row>
    <row r="160" spans="1:29" ht="12.75" hidden="1" thickBot="1">
      <c r="A160" s="535" t="s">
        <v>139</v>
      </c>
      <c r="B160" s="202">
        <v>100</v>
      </c>
      <c r="C160" s="107"/>
      <c r="D160" s="107"/>
      <c r="E160" s="444"/>
      <c r="F160" s="676"/>
      <c r="G160" s="535" t="s">
        <v>139</v>
      </c>
      <c r="H160" s="202">
        <v>200</v>
      </c>
      <c r="I160" s="107"/>
      <c r="J160" s="107"/>
      <c r="K160" s="179"/>
      <c r="L160" s="535" t="s">
        <v>139</v>
      </c>
      <c r="M160" s="202">
        <v>300</v>
      </c>
      <c r="N160" s="107"/>
      <c r="O160" s="107"/>
      <c r="P160" s="179"/>
      <c r="Q160" s="249"/>
      <c r="R160" s="572" t="s">
        <v>139</v>
      </c>
      <c r="S160" s="202">
        <v>400</v>
      </c>
      <c r="T160" s="107"/>
      <c r="U160" s="107"/>
      <c r="V160" s="179"/>
      <c r="W160" s="249"/>
      <c r="X160" s="572" t="s">
        <v>139</v>
      </c>
      <c r="Y160" s="202">
        <v>500</v>
      </c>
      <c r="Z160" s="107"/>
      <c r="AA160" s="107"/>
      <c r="AB160" s="179"/>
      <c r="AC160" s="249"/>
    </row>
    <row r="161" spans="1:29" ht="12.75" hidden="1" thickBot="1">
      <c r="A161" s="535" t="s">
        <v>324</v>
      </c>
      <c r="B161" s="549">
        <f>B159+B160</f>
        <v>100</v>
      </c>
      <c r="C161" s="107"/>
      <c r="D161" s="107"/>
      <c r="E161" s="444"/>
      <c r="F161" s="676"/>
      <c r="G161" s="572" t="s">
        <v>325</v>
      </c>
      <c r="H161" s="549">
        <f>H159+H160</f>
        <v>200</v>
      </c>
      <c r="I161" s="107"/>
      <c r="J161" s="107"/>
      <c r="K161" s="179"/>
      <c r="L161" s="535" t="s">
        <v>326</v>
      </c>
      <c r="M161" s="549">
        <f>M159+M160</f>
        <v>300</v>
      </c>
      <c r="N161" s="107"/>
      <c r="O161" s="107"/>
      <c r="P161" s="179"/>
      <c r="Q161" s="249"/>
      <c r="R161" s="572" t="s">
        <v>327</v>
      </c>
      <c r="S161" s="549">
        <f>S159+S160</f>
        <v>400</v>
      </c>
      <c r="T161" s="107"/>
      <c r="U161" s="107"/>
      <c r="V161" s="179"/>
      <c r="W161" s="249"/>
      <c r="X161" s="572" t="s">
        <v>328</v>
      </c>
      <c r="Y161" s="203">
        <f>Y159+Y160</f>
        <v>500</v>
      </c>
      <c r="Z161" s="107"/>
      <c r="AA161" s="107"/>
      <c r="AB161" s="179"/>
      <c r="AC161" s="249"/>
    </row>
    <row r="162" spans="1:29" ht="12" hidden="1">
      <c r="A162" s="201"/>
      <c r="B162" s="107"/>
      <c r="C162" s="107"/>
      <c r="D162" s="107"/>
      <c r="E162" s="444"/>
      <c r="F162" s="676"/>
      <c r="G162" s="107"/>
      <c r="H162" s="107"/>
      <c r="I162" s="107"/>
      <c r="J162" s="107"/>
      <c r="K162" s="179"/>
      <c r="L162" s="201"/>
      <c r="M162" s="107"/>
      <c r="N162" s="107"/>
      <c r="O162" s="107"/>
      <c r="P162" s="179"/>
      <c r="Q162" s="249"/>
      <c r="R162" s="107"/>
      <c r="S162" s="107"/>
      <c r="T162" s="107"/>
      <c r="U162" s="107"/>
      <c r="V162" s="179"/>
      <c r="W162" s="249"/>
      <c r="X162" s="107"/>
      <c r="Y162" s="107"/>
      <c r="Z162" s="107"/>
      <c r="AA162" s="107"/>
      <c r="AB162" s="179"/>
      <c r="AC162" s="249"/>
    </row>
    <row r="163" spans="1:29" ht="12.75" thickBot="1">
      <c r="A163" s="215"/>
      <c r="B163" s="216"/>
      <c r="C163" s="216"/>
      <c r="D163" s="216"/>
      <c r="E163" s="586"/>
      <c r="F163" s="676"/>
      <c r="G163" s="107"/>
      <c r="H163" s="107"/>
      <c r="I163" s="107"/>
      <c r="J163" s="107"/>
      <c r="K163" s="179"/>
      <c r="L163" s="201"/>
      <c r="M163" s="107"/>
      <c r="N163" s="107"/>
      <c r="O163" s="107"/>
      <c r="P163" s="179"/>
      <c r="Q163" s="249"/>
      <c r="R163" s="107"/>
      <c r="S163" s="107"/>
      <c r="T163" s="107"/>
      <c r="U163" s="107"/>
      <c r="V163" s="179"/>
      <c r="W163" s="249"/>
      <c r="X163" s="107"/>
      <c r="Y163" s="107"/>
      <c r="Z163" s="107"/>
      <c r="AA163" s="107"/>
      <c r="AB163" s="179"/>
      <c r="AC163" s="249"/>
    </row>
    <row r="164" spans="1:29" ht="15">
      <c r="A164" s="1067" t="s">
        <v>140</v>
      </c>
      <c r="B164" s="1068"/>
      <c r="C164" s="1068"/>
      <c r="D164" s="1068"/>
      <c r="E164" s="1069"/>
      <c r="F164" s="677"/>
      <c r="G164" s="1067" t="s">
        <v>140</v>
      </c>
      <c r="H164" s="1068"/>
      <c r="I164" s="1068"/>
      <c r="J164" s="1068"/>
      <c r="K164" s="1068"/>
      <c r="L164" s="1067" t="s">
        <v>140</v>
      </c>
      <c r="M164" s="1068"/>
      <c r="N164" s="1068"/>
      <c r="O164" s="1068"/>
      <c r="P164" s="1069"/>
      <c r="Q164" s="251"/>
      <c r="R164" s="1067" t="s">
        <v>140</v>
      </c>
      <c r="S164" s="1068"/>
      <c r="T164" s="1068"/>
      <c r="U164" s="1068"/>
      <c r="V164" s="1069"/>
      <c r="W164" s="251"/>
      <c r="X164" s="1067" t="s">
        <v>140</v>
      </c>
      <c r="Y164" s="1068"/>
      <c r="Z164" s="1068"/>
      <c r="AA164" s="1068"/>
      <c r="AB164" s="1069"/>
      <c r="AC164" s="251"/>
    </row>
    <row r="165" spans="1:29" ht="15.75" thickBot="1">
      <c r="A165" s="1070"/>
      <c r="B165" s="1071"/>
      <c r="C165" s="1071"/>
      <c r="D165" s="1071"/>
      <c r="E165" s="1072"/>
      <c r="F165" s="677"/>
      <c r="G165" s="1070"/>
      <c r="H165" s="1071"/>
      <c r="I165" s="1071"/>
      <c r="J165" s="1071"/>
      <c r="K165" s="1071"/>
      <c r="L165" s="1070"/>
      <c r="M165" s="1071"/>
      <c r="N165" s="1071"/>
      <c r="O165" s="1071"/>
      <c r="P165" s="1072"/>
      <c r="Q165" s="251"/>
      <c r="R165" s="1070"/>
      <c r="S165" s="1071"/>
      <c r="T165" s="1071"/>
      <c r="U165" s="1071"/>
      <c r="V165" s="1072"/>
      <c r="W165" s="251"/>
      <c r="X165" s="1070"/>
      <c r="Y165" s="1071"/>
      <c r="Z165" s="1071"/>
      <c r="AA165" s="1071"/>
      <c r="AB165" s="1072"/>
      <c r="AC165" s="251"/>
    </row>
    <row r="166" spans="1:29" ht="15.75" hidden="1" thickBot="1">
      <c r="A166" s="587" t="s">
        <v>141</v>
      </c>
      <c r="B166" s="472"/>
      <c r="C166" s="472"/>
      <c r="D166" s="472"/>
      <c r="E166" s="473"/>
      <c r="F166" s="678"/>
      <c r="G166" s="588" t="s">
        <v>141</v>
      </c>
      <c r="H166" s="472"/>
      <c r="I166" s="472"/>
      <c r="J166" s="472"/>
      <c r="K166" s="472"/>
      <c r="L166" s="587" t="s">
        <v>141</v>
      </c>
      <c r="M166" s="1013"/>
      <c r="N166" s="1013"/>
      <c r="O166" s="1013"/>
      <c r="P166" s="1013"/>
      <c r="Q166" s="248"/>
      <c r="R166" s="588" t="s">
        <v>141</v>
      </c>
      <c r="S166" s="472"/>
      <c r="T166" s="472"/>
      <c r="U166" s="472"/>
      <c r="V166" s="472"/>
      <c r="W166" s="248"/>
      <c r="X166" s="588" t="s">
        <v>141</v>
      </c>
      <c r="Y166" s="472"/>
      <c r="Z166" s="472"/>
      <c r="AA166" s="472"/>
      <c r="AB166" s="472"/>
      <c r="AC166" s="248"/>
    </row>
    <row r="167" spans="1:29" ht="12" hidden="1">
      <c r="A167" s="204"/>
      <c r="B167" s="97"/>
      <c r="C167" s="205"/>
      <c r="D167" s="205"/>
      <c r="E167" s="206"/>
      <c r="F167" s="676"/>
      <c r="G167" s="97"/>
      <c r="H167" s="97"/>
      <c r="I167" s="205"/>
      <c r="J167" s="205"/>
      <c r="K167" s="265"/>
      <c r="L167" s="204"/>
      <c r="M167" s="97"/>
      <c r="N167" s="205"/>
      <c r="O167" s="205"/>
      <c r="P167" s="265"/>
      <c r="Q167" s="249"/>
      <c r="R167" s="97"/>
      <c r="S167" s="97"/>
      <c r="T167" s="205"/>
      <c r="U167" s="205"/>
      <c r="V167" s="265"/>
      <c r="W167" s="249"/>
      <c r="X167" s="97"/>
      <c r="Y167" s="97"/>
      <c r="Z167" s="205"/>
      <c r="AA167" s="205"/>
      <c r="AB167" s="265"/>
      <c r="AC167" s="249"/>
    </row>
    <row r="168" spans="1:29" ht="12">
      <c r="A168" s="589" t="s">
        <v>39</v>
      </c>
      <c r="B168" s="550">
        <f>D30+D66+E98+E130</f>
        <v>160</v>
      </c>
      <c r="C168" s="207"/>
      <c r="D168" s="207"/>
      <c r="E168" s="208"/>
      <c r="F168" s="676"/>
      <c r="G168" s="591" t="s">
        <v>39</v>
      </c>
      <c r="H168" s="550">
        <f>J30+J66+K98+K130</f>
        <v>320</v>
      </c>
      <c r="I168" s="207"/>
      <c r="J168" s="207"/>
      <c r="K168" s="266"/>
      <c r="L168" s="589" t="s">
        <v>39</v>
      </c>
      <c r="M168" s="550">
        <f>O30+O66+P98+P130</f>
        <v>480</v>
      </c>
      <c r="N168" s="207"/>
      <c r="O168" s="207"/>
      <c r="P168" s="266"/>
      <c r="Q168" s="249"/>
      <c r="R168" s="591" t="s">
        <v>39</v>
      </c>
      <c r="S168" s="550">
        <f>U30+U66+V98+V130</f>
        <v>640</v>
      </c>
      <c r="T168" s="207"/>
      <c r="U168" s="207"/>
      <c r="V168" s="266"/>
      <c r="W168" s="249"/>
      <c r="X168" s="591" t="s">
        <v>39</v>
      </c>
      <c r="Y168" s="550">
        <f>AA30+AA66+AB98+AB130</f>
        <v>640</v>
      </c>
      <c r="Z168" s="207"/>
      <c r="AA168" s="207"/>
      <c r="AB168" s="266"/>
      <c r="AC168" s="249"/>
    </row>
    <row r="169" spans="1:29" ht="12.75" thickBot="1">
      <c r="A169" s="590" t="s">
        <v>142</v>
      </c>
      <c r="B169" s="551">
        <v>750</v>
      </c>
      <c r="C169" s="207"/>
      <c r="D169" s="207"/>
      <c r="E169" s="209"/>
      <c r="F169" s="676"/>
      <c r="G169" s="592" t="s">
        <v>142</v>
      </c>
      <c r="H169" s="551">
        <v>750</v>
      </c>
      <c r="I169" s="207"/>
      <c r="J169" s="207"/>
      <c r="K169" s="267"/>
      <c r="L169" s="590" t="s">
        <v>142</v>
      </c>
      <c r="M169" s="551">
        <v>750</v>
      </c>
      <c r="N169" s="207"/>
      <c r="O169" s="207"/>
      <c r="P169" s="267"/>
      <c r="Q169" s="249"/>
      <c r="R169" s="592" t="s">
        <v>142</v>
      </c>
      <c r="S169" s="551">
        <v>750</v>
      </c>
      <c r="T169" s="207"/>
      <c r="U169" s="207"/>
      <c r="V169" s="267"/>
      <c r="W169" s="249"/>
      <c r="X169" s="592" t="s">
        <v>142</v>
      </c>
      <c r="Y169" s="551">
        <v>750</v>
      </c>
      <c r="Z169" s="207"/>
      <c r="AA169" s="207"/>
      <c r="AB169" s="267"/>
      <c r="AC169" s="249"/>
    </row>
    <row r="170" spans="1:29" ht="12.75" thickBot="1">
      <c r="A170" s="547" t="s">
        <v>41</v>
      </c>
      <c r="B170" s="552">
        <f>B168*B169</f>
        <v>120000</v>
      </c>
      <c r="C170" s="6"/>
      <c r="D170" s="6"/>
      <c r="E170" s="210"/>
      <c r="F170" s="676"/>
      <c r="G170" s="593" t="s">
        <v>41</v>
      </c>
      <c r="H170" s="552">
        <f>H168*H169</f>
        <v>240000</v>
      </c>
      <c r="I170" s="6"/>
      <c r="J170" s="6"/>
      <c r="K170" s="268"/>
      <c r="L170" s="547" t="s">
        <v>41</v>
      </c>
      <c r="M170" s="552">
        <f>M168*M169</f>
        <v>360000</v>
      </c>
      <c r="N170" s="6"/>
      <c r="O170" s="6"/>
      <c r="P170" s="268"/>
      <c r="Q170" s="249"/>
      <c r="R170" s="593" t="s">
        <v>41</v>
      </c>
      <c r="S170" s="552">
        <f>S168*S169</f>
        <v>480000</v>
      </c>
      <c r="T170" s="6"/>
      <c r="U170" s="6"/>
      <c r="V170" s="268"/>
      <c r="W170" s="249"/>
      <c r="X170" s="593" t="s">
        <v>41</v>
      </c>
      <c r="Y170" s="552">
        <f>Y168*Y169</f>
        <v>480000</v>
      </c>
      <c r="Z170" s="6"/>
      <c r="AA170" s="6"/>
      <c r="AB170" s="268"/>
      <c r="AC170" s="249"/>
    </row>
    <row r="171" spans="1:29" ht="12.75" hidden="1" thickBot="1">
      <c r="A171" s="211"/>
      <c r="B171" s="212"/>
      <c r="C171" s="213"/>
      <c r="D171" s="213"/>
      <c r="E171" s="214"/>
      <c r="F171" s="676"/>
      <c r="G171" s="212"/>
      <c r="H171" s="212"/>
      <c r="I171" s="213"/>
      <c r="J171" s="213"/>
      <c r="K171" s="269"/>
      <c r="L171" s="211"/>
      <c r="M171" s="212"/>
      <c r="N171" s="213"/>
      <c r="O171" s="213"/>
      <c r="P171" s="269"/>
      <c r="Q171" s="249"/>
      <c r="R171" s="212"/>
      <c r="S171" s="212"/>
      <c r="T171" s="213"/>
      <c r="U171" s="213"/>
      <c r="V171" s="269"/>
      <c r="W171" s="249"/>
      <c r="X171" s="212"/>
      <c r="Y171" s="212"/>
      <c r="Z171" s="213"/>
      <c r="AA171" s="213"/>
      <c r="AB171" s="269"/>
      <c r="AC171" s="249"/>
    </row>
    <row r="172" spans="1:29" ht="12.75" hidden="1" thickBot="1">
      <c r="A172" s="215"/>
      <c r="B172" s="216"/>
      <c r="C172" s="216"/>
      <c r="D172" s="216"/>
      <c r="E172" s="586"/>
      <c r="F172" s="679"/>
      <c r="G172" s="216"/>
      <c r="H172" s="216"/>
      <c r="I172" s="216"/>
      <c r="J172" s="216"/>
      <c r="K172" s="217"/>
      <c r="L172" s="215"/>
      <c r="M172" s="216"/>
      <c r="N172" s="216"/>
      <c r="O172" s="216"/>
      <c r="P172" s="217"/>
      <c r="Q172" s="270"/>
      <c r="R172" s="216"/>
      <c r="S172" s="216"/>
      <c r="T172" s="216"/>
      <c r="U172" s="216"/>
      <c r="V172" s="217"/>
      <c r="W172" s="270"/>
      <c r="X172" s="216"/>
      <c r="Y172" s="216"/>
      <c r="Z172" s="216"/>
      <c r="AA172" s="216"/>
      <c r="AB172" s="217"/>
      <c r="AC172" s="270"/>
    </row>
    <row r="173" spans="1:29" ht="12" hidden="1">
      <c r="A173" s="201"/>
      <c r="B173" s="107"/>
      <c r="C173" s="107"/>
      <c r="D173" s="107"/>
      <c r="E173" s="444"/>
      <c r="F173" s="200"/>
      <c r="G173" s="4"/>
      <c r="H173" s="4"/>
      <c r="I173" s="4"/>
      <c r="J173" s="4"/>
      <c r="K173" s="218"/>
      <c r="L173" s="201"/>
      <c r="M173" s="107"/>
      <c r="N173" s="107"/>
      <c r="O173" s="107"/>
      <c r="P173" s="179"/>
      <c r="Q173" s="249"/>
      <c r="R173" s="4"/>
      <c r="S173" s="4"/>
      <c r="T173" s="4"/>
      <c r="U173" s="4"/>
      <c r="V173" s="218"/>
      <c r="W173" s="249"/>
      <c r="X173" s="4"/>
      <c r="Y173" s="4"/>
      <c r="Z173" s="4"/>
      <c r="AA173" s="4"/>
      <c r="AB173" s="218"/>
      <c r="AC173" s="249"/>
    </row>
    <row r="174" spans="1:29" ht="12" hidden="1">
      <c r="A174" s="201"/>
      <c r="B174" s="107"/>
      <c r="C174" s="107"/>
      <c r="D174" s="107"/>
      <c r="E174" s="444"/>
      <c r="F174" s="200"/>
      <c r="G174" s="4"/>
      <c r="H174" s="4"/>
      <c r="I174" s="4"/>
      <c r="J174" s="4"/>
      <c r="K174" s="218"/>
      <c r="L174" s="201"/>
      <c r="M174" s="107"/>
      <c r="N174" s="107"/>
      <c r="O174" s="107"/>
      <c r="P174" s="179"/>
      <c r="Q174" s="249"/>
      <c r="R174" s="4"/>
      <c r="S174" s="4"/>
      <c r="T174" s="4"/>
      <c r="U174" s="4"/>
      <c r="V174" s="218"/>
      <c r="W174" s="249"/>
      <c r="X174" s="4"/>
      <c r="Y174" s="4"/>
      <c r="Z174" s="4"/>
      <c r="AA174" s="4"/>
      <c r="AB174" s="218"/>
      <c r="AC174" s="249"/>
    </row>
    <row r="175" spans="1:29" ht="12" hidden="1">
      <c r="A175" s="201"/>
      <c r="B175" s="107"/>
      <c r="C175" s="107"/>
      <c r="D175" s="107"/>
      <c r="E175" s="444"/>
      <c r="F175" s="200"/>
      <c r="G175" s="4"/>
      <c r="H175" s="4"/>
      <c r="I175" s="4"/>
      <c r="J175" s="4"/>
      <c r="K175" s="218"/>
      <c r="L175" s="201"/>
      <c r="M175" s="107"/>
      <c r="N175" s="107"/>
      <c r="O175" s="107"/>
      <c r="P175" s="179"/>
      <c r="Q175" s="249"/>
      <c r="R175" s="4"/>
      <c r="S175" s="4"/>
      <c r="T175" s="4"/>
      <c r="U175" s="4"/>
      <c r="V175" s="218"/>
      <c r="W175" s="249"/>
      <c r="X175" s="4"/>
      <c r="Y175" s="4"/>
      <c r="Z175" s="4"/>
      <c r="AA175" s="4"/>
      <c r="AB175" s="218"/>
      <c r="AC175" s="249"/>
    </row>
    <row r="176" spans="1:29" ht="12" hidden="1">
      <c r="A176" s="201"/>
      <c r="B176" s="107"/>
      <c r="C176" s="107"/>
      <c r="D176" s="107"/>
      <c r="E176" s="444"/>
      <c r="F176" s="200"/>
      <c r="G176" s="4"/>
      <c r="H176" s="4"/>
      <c r="I176" s="4"/>
      <c r="J176" s="4"/>
      <c r="K176" s="218"/>
      <c r="L176" s="201"/>
      <c r="M176" s="107"/>
      <c r="N176" s="107"/>
      <c r="O176" s="107"/>
      <c r="P176" s="179"/>
      <c r="Q176" s="249"/>
      <c r="R176" s="4"/>
      <c r="S176" s="4"/>
      <c r="T176" s="4"/>
      <c r="U176" s="4"/>
      <c r="V176" s="218"/>
      <c r="W176" s="249"/>
      <c r="X176" s="4"/>
      <c r="Y176" s="4"/>
      <c r="Z176" s="4"/>
      <c r="AA176" s="4"/>
      <c r="AB176" s="218"/>
      <c r="AC176" s="249"/>
    </row>
    <row r="177" spans="1:29" ht="12">
      <c r="A177" s="201"/>
      <c r="B177" s="107"/>
      <c r="C177" s="107"/>
      <c r="D177" s="107"/>
      <c r="E177" s="444"/>
      <c r="F177" s="200"/>
      <c r="G177" s="4"/>
      <c r="H177" s="4"/>
      <c r="I177" s="4"/>
      <c r="J177" s="4"/>
      <c r="K177" s="218"/>
      <c r="L177" s="201"/>
      <c r="M177" s="107"/>
      <c r="N177" s="107"/>
      <c r="O177" s="107"/>
      <c r="P177" s="179"/>
      <c r="Q177" s="249"/>
      <c r="R177" s="4"/>
      <c r="S177" s="4"/>
      <c r="T177" s="4"/>
      <c r="U177" s="4"/>
      <c r="V177" s="218"/>
      <c r="W177" s="249"/>
      <c r="X177" s="4"/>
      <c r="Y177" s="4"/>
      <c r="Z177" s="4"/>
      <c r="AA177" s="4"/>
      <c r="AB177" s="218"/>
      <c r="AC177" s="249"/>
    </row>
    <row r="178" spans="1:29" ht="12.75" thickBot="1">
      <c r="A178" s="848"/>
      <c r="B178" s="107"/>
      <c r="C178" s="107"/>
      <c r="D178" s="107"/>
      <c r="E178" s="586"/>
      <c r="F178" s="200"/>
      <c r="G178" s="4"/>
      <c r="H178" s="4"/>
      <c r="I178" s="4"/>
      <c r="J178" s="4"/>
      <c r="K178" s="218"/>
      <c r="L178" s="201"/>
      <c r="M178" s="107"/>
      <c r="N178" s="107"/>
      <c r="O178" s="107"/>
      <c r="P178" s="179"/>
      <c r="Q178" s="270"/>
      <c r="R178" s="4"/>
      <c r="S178" s="4"/>
      <c r="T178" s="4"/>
      <c r="U178" s="4"/>
      <c r="V178" s="218"/>
      <c r="W178" s="270"/>
      <c r="X178" s="4"/>
      <c r="Y178" s="4"/>
      <c r="Z178" s="4"/>
      <c r="AA178" s="4"/>
      <c r="AB178" s="218"/>
      <c r="AC178" s="270"/>
    </row>
    <row r="179" spans="1:29" ht="12.75" customHeight="1">
      <c r="A179" s="1067" t="s">
        <v>12</v>
      </c>
      <c r="B179" s="1068"/>
      <c r="C179" s="1068"/>
      <c r="D179" s="1068"/>
      <c r="E179" s="1068"/>
      <c r="F179" s="1069"/>
      <c r="G179" s="1068" t="s">
        <v>12</v>
      </c>
      <c r="H179" s="1068"/>
      <c r="I179" s="1068"/>
      <c r="J179" s="1068"/>
      <c r="K179" s="1068"/>
      <c r="L179" s="1067" t="s">
        <v>12</v>
      </c>
      <c r="M179" s="1068"/>
      <c r="N179" s="1068"/>
      <c r="O179" s="1068"/>
      <c r="P179" s="1068"/>
      <c r="Q179" s="1069"/>
      <c r="R179" s="1068" t="s">
        <v>12</v>
      </c>
      <c r="S179" s="1068"/>
      <c r="T179" s="1068"/>
      <c r="U179" s="1068"/>
      <c r="V179" s="1068"/>
      <c r="W179" s="1069"/>
      <c r="X179" s="1068" t="s">
        <v>12</v>
      </c>
      <c r="Y179" s="1068"/>
      <c r="Z179" s="1068"/>
      <c r="AA179" s="1068"/>
      <c r="AB179" s="1068"/>
      <c r="AC179" s="1069"/>
    </row>
    <row r="180" spans="1:29" ht="13.5" customHeight="1" thickBot="1">
      <c r="A180" s="1070"/>
      <c r="B180" s="1071"/>
      <c r="C180" s="1071"/>
      <c r="D180" s="1071"/>
      <c r="E180" s="1071"/>
      <c r="F180" s="1072"/>
      <c r="G180" s="1071"/>
      <c r="H180" s="1071"/>
      <c r="I180" s="1071"/>
      <c r="J180" s="1071"/>
      <c r="K180" s="1071"/>
      <c r="L180" s="1070"/>
      <c r="M180" s="1071"/>
      <c r="N180" s="1071"/>
      <c r="O180" s="1071"/>
      <c r="P180" s="1071"/>
      <c r="Q180" s="1072"/>
      <c r="R180" s="1071"/>
      <c r="S180" s="1071"/>
      <c r="T180" s="1071"/>
      <c r="U180" s="1071"/>
      <c r="V180" s="1071"/>
      <c r="W180" s="1072"/>
      <c r="X180" s="1071"/>
      <c r="Y180" s="1071"/>
      <c r="Z180" s="1071"/>
      <c r="AA180" s="1071"/>
      <c r="AB180" s="1071"/>
      <c r="AC180" s="1072"/>
    </row>
    <row r="181" spans="1:29" ht="12.75" customHeight="1">
      <c r="A181" s="1061" t="s">
        <v>143</v>
      </c>
      <c r="B181" s="1062"/>
      <c r="C181" s="1062"/>
      <c r="D181" s="1062"/>
      <c r="E181" s="1062"/>
      <c r="F181" s="1063"/>
      <c r="G181" s="1061" t="s">
        <v>143</v>
      </c>
      <c r="H181" s="1062"/>
      <c r="I181" s="1062"/>
      <c r="J181" s="1062"/>
      <c r="K181" s="1062"/>
      <c r="L181" s="1061" t="s">
        <v>143</v>
      </c>
      <c r="M181" s="1062"/>
      <c r="N181" s="1062"/>
      <c r="O181" s="1062"/>
      <c r="P181" s="1062"/>
      <c r="Q181" s="1063"/>
      <c r="R181" s="1061" t="s">
        <v>143</v>
      </c>
      <c r="S181" s="1062"/>
      <c r="T181" s="1062"/>
      <c r="U181" s="1062"/>
      <c r="V181" s="1062"/>
      <c r="W181" s="1063"/>
      <c r="X181" s="1061" t="s">
        <v>143</v>
      </c>
      <c r="Y181" s="1062"/>
      <c r="Z181" s="1062"/>
      <c r="AA181" s="1062"/>
      <c r="AB181" s="1062"/>
      <c r="AC181" s="1063"/>
    </row>
    <row r="182" spans="1:29" ht="20.25" customHeight="1" thickBot="1">
      <c r="A182" s="1064"/>
      <c r="B182" s="1065"/>
      <c r="C182" s="1065"/>
      <c r="D182" s="1065"/>
      <c r="E182" s="1065"/>
      <c r="F182" s="1066"/>
      <c r="G182" s="1064"/>
      <c r="H182" s="1065"/>
      <c r="I182" s="1065"/>
      <c r="J182" s="1065"/>
      <c r="K182" s="1065"/>
      <c r="L182" s="1064"/>
      <c r="M182" s="1065"/>
      <c r="N182" s="1065"/>
      <c r="O182" s="1065"/>
      <c r="P182" s="1065"/>
      <c r="Q182" s="1066"/>
      <c r="R182" s="1064"/>
      <c r="S182" s="1065"/>
      <c r="T182" s="1065"/>
      <c r="U182" s="1065"/>
      <c r="V182" s="1065"/>
      <c r="W182" s="1066"/>
      <c r="X182" s="1064"/>
      <c r="Y182" s="1065"/>
      <c r="Z182" s="1065"/>
      <c r="AA182" s="1065"/>
      <c r="AB182" s="1065"/>
      <c r="AC182" s="1066"/>
    </row>
    <row r="183" spans="1:28" ht="12.75" thickBot="1">
      <c r="A183" s="204"/>
      <c r="B183" s="97"/>
      <c r="C183" s="97"/>
      <c r="D183" s="97"/>
      <c r="E183" s="197"/>
      <c r="F183" s="190"/>
      <c r="K183" s="219"/>
      <c r="L183" s="204"/>
      <c r="M183" s="97"/>
      <c r="N183" s="97"/>
      <c r="O183" s="97"/>
      <c r="P183" s="197"/>
      <c r="Q183" s="97"/>
      <c r="V183" s="219"/>
      <c r="W183" s="680"/>
      <c r="AB183" s="219"/>
    </row>
    <row r="184" spans="1:29" ht="22.5" customHeight="1" thickBot="1">
      <c r="A184" s="1048" t="s">
        <v>530</v>
      </c>
      <c r="B184" s="1049"/>
      <c r="C184" s="553"/>
      <c r="D184" s="220"/>
      <c r="E184" s="221"/>
      <c r="F184" s="222"/>
      <c r="G184" s="1048" t="s">
        <v>531</v>
      </c>
      <c r="H184" s="1049"/>
      <c r="I184" s="553"/>
      <c r="J184" s="220"/>
      <c r="K184" s="221"/>
      <c r="L184" s="1092" t="s">
        <v>532</v>
      </c>
      <c r="M184" s="1093"/>
      <c r="N184" s="553"/>
      <c r="O184" s="220"/>
      <c r="P184" s="221"/>
      <c r="Q184" s="222"/>
      <c r="R184" s="1048" t="s">
        <v>533</v>
      </c>
      <c r="S184" s="1049"/>
      <c r="T184" s="553"/>
      <c r="U184" s="220"/>
      <c r="V184" s="221"/>
      <c r="W184" s="222"/>
      <c r="X184" s="1048" t="s">
        <v>534</v>
      </c>
      <c r="Y184" s="1049"/>
      <c r="Z184" s="553"/>
      <c r="AA184" s="220"/>
      <c r="AB184" s="221"/>
      <c r="AC184" s="222"/>
    </row>
    <row r="185" spans="1:29" ht="48.75" customHeight="1" thickBot="1">
      <c r="A185" s="1050" t="s">
        <v>306</v>
      </c>
      <c r="B185" s="1051"/>
      <c r="C185" s="1051"/>
      <c r="D185" s="1051"/>
      <c r="E185" s="1051"/>
      <c r="F185" s="1052"/>
      <c r="G185" s="1050" t="s">
        <v>306</v>
      </c>
      <c r="H185" s="1051"/>
      <c r="I185" s="1051"/>
      <c r="J185" s="1051"/>
      <c r="K185" s="1051"/>
      <c r="L185" s="1050" t="s">
        <v>306</v>
      </c>
      <c r="M185" s="1051"/>
      <c r="N185" s="1051"/>
      <c r="O185" s="1051"/>
      <c r="P185" s="1051"/>
      <c r="Q185" s="1052"/>
      <c r="R185" s="1050" t="s">
        <v>306</v>
      </c>
      <c r="S185" s="1051"/>
      <c r="T185" s="1051"/>
      <c r="U185" s="1051"/>
      <c r="V185" s="1051"/>
      <c r="W185" s="1052"/>
      <c r="X185" s="1050" t="s">
        <v>306</v>
      </c>
      <c r="Y185" s="1051"/>
      <c r="Z185" s="1051"/>
      <c r="AA185" s="1051"/>
      <c r="AB185" s="1051"/>
      <c r="AC185" s="1052"/>
    </row>
    <row r="186" spans="1:29" ht="12">
      <c r="A186" s="1037" t="s">
        <v>457</v>
      </c>
      <c r="B186" s="1038"/>
      <c r="C186" s="1038"/>
      <c r="D186" s="1038"/>
      <c r="E186" s="1038"/>
      <c r="F186" s="1039"/>
      <c r="G186" s="1038" t="s">
        <v>144</v>
      </c>
      <c r="H186" s="1038"/>
      <c r="I186" s="1038"/>
      <c r="J186" s="1038"/>
      <c r="K186" s="1038"/>
      <c r="L186" s="1037" t="s">
        <v>144</v>
      </c>
      <c r="M186" s="1038"/>
      <c r="N186" s="1038"/>
      <c r="O186" s="1038"/>
      <c r="P186" s="1038"/>
      <c r="Q186" s="1039"/>
      <c r="R186" s="1038" t="s">
        <v>144</v>
      </c>
      <c r="S186" s="1038"/>
      <c r="T186" s="1038"/>
      <c r="U186" s="1038"/>
      <c r="V186" s="1038"/>
      <c r="W186" s="1039"/>
      <c r="X186" s="1038" t="s">
        <v>144</v>
      </c>
      <c r="Y186" s="1038"/>
      <c r="Z186" s="1038"/>
      <c r="AA186" s="1038"/>
      <c r="AB186" s="1038"/>
      <c r="AC186" s="1039"/>
    </row>
    <row r="187" spans="1:29" ht="12.75" thickBot="1">
      <c r="A187" s="1040"/>
      <c r="B187" s="1041"/>
      <c r="C187" s="1041"/>
      <c r="D187" s="1041"/>
      <c r="E187" s="1041"/>
      <c r="F187" s="1042"/>
      <c r="G187" s="1041"/>
      <c r="H187" s="1041"/>
      <c r="I187" s="1041"/>
      <c r="J187" s="1041"/>
      <c r="K187" s="1041"/>
      <c r="L187" s="1040"/>
      <c r="M187" s="1041"/>
      <c r="N187" s="1041"/>
      <c r="O187" s="1041"/>
      <c r="P187" s="1041"/>
      <c r="Q187" s="1042"/>
      <c r="R187" s="1041"/>
      <c r="S187" s="1041"/>
      <c r="T187" s="1041"/>
      <c r="U187" s="1041"/>
      <c r="V187" s="1041"/>
      <c r="W187" s="1042"/>
      <c r="X187" s="1041"/>
      <c r="Y187" s="1041"/>
      <c r="Z187" s="1041"/>
      <c r="AA187" s="1041"/>
      <c r="AB187" s="1041"/>
      <c r="AC187" s="1042"/>
    </row>
    <row r="188" spans="1:29" ht="36.75" thickBot="1">
      <c r="A188" s="594" t="s">
        <v>145</v>
      </c>
      <c r="B188" s="595" t="s">
        <v>553</v>
      </c>
      <c r="C188" s="595" t="s">
        <v>245</v>
      </c>
      <c r="D188" s="488" t="s">
        <v>147</v>
      </c>
      <c r="E188" s="595" t="s">
        <v>148</v>
      </c>
      <c r="F188" s="223"/>
      <c r="G188" s="607" t="s">
        <v>145</v>
      </c>
      <c r="H188" s="595" t="str">
        <f>$B$188</f>
        <v>Number of FTE's (from Personnel Worksheet)</v>
      </c>
      <c r="I188" s="595" t="s">
        <v>146</v>
      </c>
      <c r="J188" s="488" t="s">
        <v>147</v>
      </c>
      <c r="K188" s="1015" t="s">
        <v>148</v>
      </c>
      <c r="L188" s="594" t="s">
        <v>145</v>
      </c>
      <c r="M188" s="595" t="str">
        <f>$B$188</f>
        <v>Number of FTE's (from Personnel Worksheet)</v>
      </c>
      <c r="N188" s="595" t="s">
        <v>146</v>
      </c>
      <c r="O188" s="488" t="s">
        <v>147</v>
      </c>
      <c r="P188" s="595" t="s">
        <v>148</v>
      </c>
      <c r="Q188" s="223"/>
      <c r="R188" s="607" t="s">
        <v>145</v>
      </c>
      <c r="S188" s="595" t="str">
        <f>$B$188</f>
        <v>Number of FTE's (from Personnel Worksheet)</v>
      </c>
      <c r="T188" s="595" t="s">
        <v>146</v>
      </c>
      <c r="U188" s="488" t="s">
        <v>147</v>
      </c>
      <c r="V188" s="595" t="s">
        <v>148</v>
      </c>
      <c r="W188" s="223"/>
      <c r="X188" s="607" t="s">
        <v>145</v>
      </c>
      <c r="Y188" s="595" t="str">
        <f>$B$188</f>
        <v>Number of FTE's (from Personnel Worksheet)</v>
      </c>
      <c r="Z188" s="595" t="s">
        <v>146</v>
      </c>
      <c r="AA188" s="488" t="s">
        <v>147</v>
      </c>
      <c r="AB188" s="595" t="s">
        <v>148</v>
      </c>
      <c r="AC188" s="223"/>
    </row>
    <row r="189" spans="1:29" ht="12">
      <c r="A189" s="596" t="s">
        <v>459</v>
      </c>
      <c r="B189" s="969">
        <f>Personnel!G8</f>
        <v>4</v>
      </c>
      <c r="C189" s="598">
        <f>Personnel!G120</f>
        <v>0</v>
      </c>
      <c r="D189" s="603">
        <f>100%+$C$184</f>
        <v>1</v>
      </c>
      <c r="E189" s="605">
        <f>C189*D189</f>
        <v>0</v>
      </c>
      <c r="F189" s="224"/>
      <c r="G189" s="608" t="str">
        <f>A189</f>
        <v>SPED Teachers in the CTPF (from Personnel Worksheet)</v>
      </c>
      <c r="H189" s="969">
        <f>Personnel!I8</f>
        <v>5</v>
      </c>
      <c r="I189" s="598">
        <f>Personnel!I120</f>
        <v>0</v>
      </c>
      <c r="J189" s="603">
        <f>100%+$I$184</f>
        <v>1</v>
      </c>
      <c r="K189" s="1016">
        <f>I189*J189</f>
        <v>0</v>
      </c>
      <c r="L189" s="596" t="str">
        <f>A189</f>
        <v>SPED Teachers in the CTPF (from Personnel Worksheet)</v>
      </c>
      <c r="M189" s="597">
        <f>Personnel!K8</f>
        <v>6</v>
      </c>
      <c r="N189" s="598">
        <f>Personnel!K120</f>
        <v>0</v>
      </c>
      <c r="O189" s="603">
        <f>100%+$N$184</f>
        <v>1</v>
      </c>
      <c r="P189" s="605">
        <f>N189*O189</f>
        <v>0</v>
      </c>
      <c r="Q189" s="224"/>
      <c r="R189" s="608" t="str">
        <f>A189</f>
        <v>SPED Teachers in the CTPF (from Personnel Worksheet)</v>
      </c>
      <c r="S189" s="969">
        <f>Personnel!M8</f>
        <v>7</v>
      </c>
      <c r="T189" s="598">
        <f>Personnel!M120</f>
        <v>0</v>
      </c>
      <c r="U189" s="603">
        <f>100%+$T$184</f>
        <v>1</v>
      </c>
      <c r="V189" s="605">
        <f>T189*U189</f>
        <v>0</v>
      </c>
      <c r="W189" s="224"/>
      <c r="X189" s="608" t="str">
        <f>A189</f>
        <v>SPED Teachers in the CTPF (from Personnel Worksheet)</v>
      </c>
      <c r="Y189" s="969">
        <f>Personnel!O8</f>
        <v>7</v>
      </c>
      <c r="Z189" s="598">
        <f>Personnel!O120</f>
        <v>0</v>
      </c>
      <c r="AA189" s="603">
        <f>100%+$Z$184</f>
        <v>1</v>
      </c>
      <c r="AB189" s="605">
        <f>Z189*AA189</f>
        <v>0</v>
      </c>
      <c r="AC189" s="224"/>
    </row>
    <row r="190" spans="1:29" ht="12.75" thickBot="1">
      <c r="A190" s="599" t="s">
        <v>460</v>
      </c>
      <c r="B190" s="969">
        <f>Personnel!G32</f>
        <v>0</v>
      </c>
      <c r="C190" s="598">
        <f>Personnel!G151</f>
        <v>0</v>
      </c>
      <c r="D190" s="603">
        <f>100%+$C$184</f>
        <v>1</v>
      </c>
      <c r="E190" s="605">
        <f>C190*D190</f>
        <v>0</v>
      </c>
      <c r="F190" s="224"/>
      <c r="G190" s="608" t="str">
        <f>A190</f>
        <v>SPED Teachers Not in the CTPF (from Personnel Worksheet)</v>
      </c>
      <c r="H190" s="969">
        <f>Personnel!I32</f>
        <v>0</v>
      </c>
      <c r="I190" s="598">
        <f>Personnel!I151</f>
        <v>0</v>
      </c>
      <c r="J190" s="603">
        <f>100%+$I$184</f>
        <v>1</v>
      </c>
      <c r="K190" s="1016">
        <f>I190*J190</f>
        <v>0</v>
      </c>
      <c r="L190" s="596" t="str">
        <f>A190</f>
        <v>SPED Teachers Not in the CTPF (from Personnel Worksheet)</v>
      </c>
      <c r="M190" s="597">
        <f>Personnel!K32</f>
        <v>0</v>
      </c>
      <c r="N190" s="598">
        <f>Personnel!K151</f>
        <v>0</v>
      </c>
      <c r="O190" s="603">
        <f>100%+$N$184</f>
        <v>1</v>
      </c>
      <c r="P190" s="605">
        <f>N190*O190</f>
        <v>0</v>
      </c>
      <c r="Q190" s="224"/>
      <c r="R190" s="608" t="str">
        <f>A190</f>
        <v>SPED Teachers Not in the CTPF (from Personnel Worksheet)</v>
      </c>
      <c r="S190" s="969">
        <f>Personnel!M32</f>
        <v>0</v>
      </c>
      <c r="T190" s="598">
        <f>Personnel!M151</f>
        <v>0</v>
      </c>
      <c r="U190" s="603">
        <f>100%+$T$184</f>
        <v>1</v>
      </c>
      <c r="V190" s="605">
        <f>T190*U190</f>
        <v>0</v>
      </c>
      <c r="W190" s="224"/>
      <c r="X190" s="608" t="str">
        <f>A190</f>
        <v>SPED Teachers Not in the CTPF (from Personnel Worksheet)</v>
      </c>
      <c r="Y190" s="969">
        <f>Personnel!O32</f>
        <v>0</v>
      </c>
      <c r="Z190" s="598">
        <f>Personnel!O151</f>
        <v>0</v>
      </c>
      <c r="AA190" s="603">
        <f>100%+$Z$184</f>
        <v>1</v>
      </c>
      <c r="AB190" s="605">
        <f>Z190*AA190</f>
        <v>0</v>
      </c>
      <c r="AC190" s="224"/>
    </row>
    <row r="191" spans="1:29" ht="12.75" thickBot="1">
      <c r="A191" s="600" t="s">
        <v>149</v>
      </c>
      <c r="B191" s="971">
        <f>SUM(B189:B190)</f>
        <v>4</v>
      </c>
      <c r="C191" s="602">
        <f>SUM(C189:C190)</f>
        <v>0</v>
      </c>
      <c r="D191" s="97"/>
      <c r="E191" s="606">
        <f>SUM(E189:E190)</f>
        <v>0</v>
      </c>
      <c r="F191" s="224"/>
      <c r="G191" s="609" t="s">
        <v>149</v>
      </c>
      <c r="H191" s="971">
        <f>SUM(H189:H190)</f>
        <v>5</v>
      </c>
      <c r="I191" s="602">
        <f>SUM(I189:I190)</f>
        <v>0</v>
      </c>
      <c r="J191" s="97"/>
      <c r="K191" s="1017">
        <f>SUM(K189:K190)</f>
        <v>0</v>
      </c>
      <c r="L191" s="600" t="s">
        <v>149</v>
      </c>
      <c r="M191" s="601">
        <f>SUM(M189:M190)</f>
        <v>6</v>
      </c>
      <c r="N191" s="602">
        <f>SUM(N189:N190)</f>
        <v>0</v>
      </c>
      <c r="O191" s="97"/>
      <c r="P191" s="606">
        <f>SUM(P189:P190)</f>
        <v>0</v>
      </c>
      <c r="Q191" s="224"/>
      <c r="R191" s="609" t="s">
        <v>149</v>
      </c>
      <c r="S191" s="971">
        <f>SUM(S189:S190)</f>
        <v>7</v>
      </c>
      <c r="T191" s="602">
        <f>SUM(T189:T190)</f>
        <v>0</v>
      </c>
      <c r="U191" s="97"/>
      <c r="V191" s="606">
        <f>SUM(V189:V190)</f>
        <v>0</v>
      </c>
      <c r="W191" s="224"/>
      <c r="X191" s="609" t="s">
        <v>149</v>
      </c>
      <c r="Y191" s="971">
        <f>SUM(Y189:Y190)</f>
        <v>7</v>
      </c>
      <c r="Z191" s="602">
        <f>SUM(Z189:Z190)</f>
        <v>0</v>
      </c>
      <c r="AA191" s="97"/>
      <c r="AB191" s="606">
        <f>SUM(AB189:AB190)</f>
        <v>0</v>
      </c>
      <c r="AC191" s="224"/>
    </row>
    <row r="192" spans="1:29" ht="12">
      <c r="A192" s="204"/>
      <c r="B192" s="97"/>
      <c r="C192" s="97"/>
      <c r="D192" s="97"/>
      <c r="E192" s="197"/>
      <c r="F192" s="190"/>
      <c r="G192" s="97"/>
      <c r="H192" s="97"/>
      <c r="I192" s="97"/>
      <c r="J192" s="97"/>
      <c r="K192" s="197"/>
      <c r="L192" s="204"/>
      <c r="M192" s="97"/>
      <c r="N192" s="97"/>
      <c r="O192" s="97"/>
      <c r="P192" s="197"/>
      <c r="Q192" s="190"/>
      <c r="R192" s="97"/>
      <c r="S192" s="97"/>
      <c r="T192" s="97"/>
      <c r="U192" s="97"/>
      <c r="V192" s="197"/>
      <c r="W192" s="190"/>
      <c r="X192" s="97"/>
      <c r="Y192" s="97"/>
      <c r="Z192" s="97"/>
      <c r="AA192" s="97"/>
      <c r="AB192" s="197"/>
      <c r="AC192" s="190"/>
    </row>
    <row r="193" spans="1:29" ht="12">
      <c r="A193" s="204"/>
      <c r="B193" s="97"/>
      <c r="C193" s="97"/>
      <c r="D193" s="97"/>
      <c r="E193" s="197"/>
      <c r="F193" s="190"/>
      <c r="G193" s="97"/>
      <c r="H193" s="97"/>
      <c r="I193" s="97"/>
      <c r="J193" s="97"/>
      <c r="K193" s="197"/>
      <c r="L193" s="204"/>
      <c r="M193" s="97"/>
      <c r="N193" s="97"/>
      <c r="O193" s="97"/>
      <c r="P193" s="197"/>
      <c r="Q193" s="190"/>
      <c r="R193" s="97"/>
      <c r="S193" s="97"/>
      <c r="T193" s="97"/>
      <c r="U193" s="97"/>
      <c r="V193" s="197"/>
      <c r="W193" s="190"/>
      <c r="X193" s="97"/>
      <c r="Y193" s="97"/>
      <c r="Z193" s="97"/>
      <c r="AA193" s="97"/>
      <c r="AB193" s="197"/>
      <c r="AC193" s="190"/>
    </row>
    <row r="194" spans="1:29" ht="12">
      <c r="A194" s="204"/>
      <c r="B194" s="97"/>
      <c r="C194" s="97"/>
      <c r="D194" s="97"/>
      <c r="E194" s="197"/>
      <c r="F194" s="190"/>
      <c r="G194" s="97"/>
      <c r="H194" s="97"/>
      <c r="I194" s="97"/>
      <c r="J194" s="97"/>
      <c r="K194" s="197"/>
      <c r="L194" s="204"/>
      <c r="M194" s="97"/>
      <c r="N194" s="97"/>
      <c r="O194" s="97"/>
      <c r="P194" s="197"/>
      <c r="Q194" s="190"/>
      <c r="R194" s="97"/>
      <c r="S194" s="97"/>
      <c r="T194" s="97"/>
      <c r="U194" s="97"/>
      <c r="V194" s="197"/>
      <c r="W194" s="190"/>
      <c r="X194" s="97"/>
      <c r="Y194" s="97"/>
      <c r="Z194" s="97"/>
      <c r="AA194" s="97"/>
      <c r="AB194" s="197"/>
      <c r="AC194" s="190"/>
    </row>
    <row r="195" spans="1:29" ht="15" thickBot="1">
      <c r="A195" s="225"/>
      <c r="B195" s="226"/>
      <c r="C195" s="96"/>
      <c r="D195" s="96"/>
      <c r="E195" s="197"/>
      <c r="F195" s="227"/>
      <c r="G195" s="240"/>
      <c r="H195" s="226"/>
      <c r="I195" s="96"/>
      <c r="J195" s="96"/>
      <c r="K195" s="197"/>
      <c r="L195" s="225"/>
      <c r="M195" s="226"/>
      <c r="N195" s="96"/>
      <c r="O195" s="96"/>
      <c r="P195" s="197"/>
      <c r="Q195" s="227"/>
      <c r="R195" s="240"/>
      <c r="S195" s="226"/>
      <c r="T195" s="96"/>
      <c r="U195" s="96"/>
      <c r="V195" s="197"/>
      <c r="W195" s="227"/>
      <c r="X195" s="240"/>
      <c r="Y195" s="226"/>
      <c r="Z195" s="96"/>
      <c r="AA195" s="96"/>
      <c r="AB195" s="197"/>
      <c r="AC195" s="227"/>
    </row>
    <row r="196" spans="1:29" ht="36.75" thickBot="1">
      <c r="A196" s="535" t="s">
        <v>86</v>
      </c>
      <c r="B196" s="488" t="s">
        <v>150</v>
      </c>
      <c r="C196" s="97"/>
      <c r="D196" s="595" t="s">
        <v>151</v>
      </c>
      <c r="E196" s="595" t="s">
        <v>152</v>
      </c>
      <c r="F196" s="190"/>
      <c r="G196" s="572" t="s">
        <v>86</v>
      </c>
      <c r="H196" s="488" t="s">
        <v>150</v>
      </c>
      <c r="I196" s="97"/>
      <c r="J196" s="595" t="s">
        <v>151</v>
      </c>
      <c r="K196" s="1015" t="s">
        <v>152</v>
      </c>
      <c r="L196" s="535" t="s">
        <v>86</v>
      </c>
      <c r="M196" s="488" t="s">
        <v>150</v>
      </c>
      <c r="N196" s="97"/>
      <c r="O196" s="595" t="s">
        <v>151</v>
      </c>
      <c r="P196" s="595" t="s">
        <v>152</v>
      </c>
      <c r="Q196" s="190"/>
      <c r="R196" s="572" t="s">
        <v>86</v>
      </c>
      <c r="S196" s="488" t="s">
        <v>150</v>
      </c>
      <c r="T196" s="97"/>
      <c r="U196" s="595" t="s">
        <v>151</v>
      </c>
      <c r="V196" s="595" t="s">
        <v>152</v>
      </c>
      <c r="W196" s="190"/>
      <c r="X196" s="572" t="s">
        <v>86</v>
      </c>
      <c r="Y196" s="488" t="s">
        <v>150</v>
      </c>
      <c r="Z196" s="97"/>
      <c r="AA196" s="595" t="s">
        <v>151</v>
      </c>
      <c r="AB196" s="595" t="s">
        <v>152</v>
      </c>
      <c r="AC196" s="190"/>
    </row>
    <row r="197" spans="1:29" ht="15" thickBot="1">
      <c r="A197" s="610" t="s">
        <v>153</v>
      </c>
      <c r="B197" s="611">
        <f>E191/(B191+0.000000001)</f>
        <v>0</v>
      </c>
      <c r="C197" s="97"/>
      <c r="D197" s="613">
        <v>0</v>
      </c>
      <c r="E197" s="613">
        <f>E191</f>
        <v>0</v>
      </c>
      <c r="F197" s="190"/>
      <c r="G197" s="614" t="s">
        <v>153</v>
      </c>
      <c r="H197" s="611">
        <f>K191/(H191+0.000000001)</f>
        <v>0</v>
      </c>
      <c r="I197" s="97"/>
      <c r="J197" s="613">
        <v>0</v>
      </c>
      <c r="K197" s="1018">
        <f>K191</f>
        <v>0</v>
      </c>
      <c r="L197" s="610" t="s">
        <v>153</v>
      </c>
      <c r="M197" s="611">
        <f>P191/(M191+0.000000001)</f>
        <v>0</v>
      </c>
      <c r="N197" s="97"/>
      <c r="O197" s="613">
        <v>0</v>
      </c>
      <c r="P197" s="613">
        <f>P191</f>
        <v>0</v>
      </c>
      <c r="Q197" s="190"/>
      <c r="R197" s="614" t="s">
        <v>153</v>
      </c>
      <c r="S197" s="611">
        <f>V191/(S191+0.000000001)</f>
        <v>0</v>
      </c>
      <c r="T197" s="97"/>
      <c r="U197" s="613">
        <v>0</v>
      </c>
      <c r="V197" s="613">
        <f>V191</f>
        <v>0</v>
      </c>
      <c r="W197" s="190"/>
      <c r="X197" s="614" t="s">
        <v>153</v>
      </c>
      <c r="Y197" s="611">
        <f>AB191/(Y191+0.000000001)</f>
        <v>0</v>
      </c>
      <c r="Z197" s="97"/>
      <c r="AA197" s="613">
        <v>0</v>
      </c>
      <c r="AB197" s="613">
        <f>AB191</f>
        <v>0</v>
      </c>
      <c r="AC197" s="190"/>
    </row>
    <row r="198" spans="1:29" ht="15" thickBot="1">
      <c r="A198" s="610" t="s">
        <v>154</v>
      </c>
      <c r="B198" s="612">
        <f>VLOOKUP(B197,D197:E198,2,TRUE)</f>
        <v>0</v>
      </c>
      <c r="C198" s="97"/>
      <c r="D198" s="613">
        <v>90000</v>
      </c>
      <c r="E198" s="613">
        <f>B191*D198</f>
        <v>360000</v>
      </c>
      <c r="F198" s="190"/>
      <c r="G198" s="614" t="s">
        <v>154</v>
      </c>
      <c r="H198" s="612">
        <f>VLOOKUP(H197,J197:K198,2,TRUE)</f>
        <v>0</v>
      </c>
      <c r="I198" s="97"/>
      <c r="J198" s="613">
        <v>90000</v>
      </c>
      <c r="K198" s="1018">
        <f>H191*J198</f>
        <v>450000</v>
      </c>
      <c r="L198" s="610" t="s">
        <v>154</v>
      </c>
      <c r="M198" s="612">
        <f>VLOOKUP(M197,O197:P198,2,TRUE)</f>
        <v>0</v>
      </c>
      <c r="N198" s="97"/>
      <c r="O198" s="613">
        <v>90000</v>
      </c>
      <c r="P198" s="613">
        <f>M191*O198</f>
        <v>540000</v>
      </c>
      <c r="Q198" s="190"/>
      <c r="R198" s="614" t="s">
        <v>154</v>
      </c>
      <c r="S198" s="612">
        <f>VLOOKUP(S197,U197:V198,2,TRUE)</f>
        <v>0</v>
      </c>
      <c r="T198" s="97"/>
      <c r="U198" s="613">
        <v>90000</v>
      </c>
      <c r="V198" s="613">
        <f>S191*U198</f>
        <v>630000</v>
      </c>
      <c r="W198" s="190"/>
      <c r="X198" s="614" t="s">
        <v>154</v>
      </c>
      <c r="Y198" s="612">
        <f>VLOOKUP(Y197,AA197:AB198,2,TRUE)</f>
        <v>0</v>
      </c>
      <c r="Z198" s="97"/>
      <c r="AA198" s="613">
        <v>90000</v>
      </c>
      <c r="AB198" s="613">
        <f>Y191*AA198</f>
        <v>630000</v>
      </c>
      <c r="AC198" s="190"/>
    </row>
    <row r="199" spans="1:29" ht="15" thickBot="1">
      <c r="A199" s="228"/>
      <c r="B199" s="229"/>
      <c r="C199" s="230"/>
      <c r="D199" s="230"/>
      <c r="E199" s="231"/>
      <c r="F199" s="232"/>
      <c r="G199" s="241"/>
      <c r="H199" s="229"/>
      <c r="I199" s="230"/>
      <c r="J199" s="230"/>
      <c r="K199" s="231"/>
      <c r="L199" s="228"/>
      <c r="M199" s="229"/>
      <c r="N199" s="230"/>
      <c r="O199" s="230"/>
      <c r="P199" s="231"/>
      <c r="Q199" s="232"/>
      <c r="R199" s="241"/>
      <c r="S199" s="229"/>
      <c r="T199" s="230"/>
      <c r="U199" s="230"/>
      <c r="V199" s="231"/>
      <c r="W199" s="232"/>
      <c r="X199" s="241"/>
      <c r="Y199" s="229"/>
      <c r="Z199" s="230"/>
      <c r="AA199" s="230"/>
      <c r="AB199" s="231"/>
      <c r="AC199" s="232"/>
    </row>
    <row r="200" spans="1:29" ht="15" thickBot="1">
      <c r="A200" s="225"/>
      <c r="B200" s="233"/>
      <c r="C200" s="234"/>
      <c r="D200" s="234"/>
      <c r="E200" s="197"/>
      <c r="F200" s="190"/>
      <c r="G200" s="240"/>
      <c r="H200" s="233"/>
      <c r="I200" s="234"/>
      <c r="J200" s="234"/>
      <c r="K200" s="197"/>
      <c r="L200" s="225"/>
      <c r="M200" s="233"/>
      <c r="N200" s="234"/>
      <c r="O200" s="234"/>
      <c r="P200" s="197"/>
      <c r="Q200" s="235"/>
      <c r="R200" s="240"/>
      <c r="S200" s="233"/>
      <c r="T200" s="234"/>
      <c r="U200" s="234"/>
      <c r="V200" s="197"/>
      <c r="W200" s="235"/>
      <c r="X200" s="240"/>
      <c r="Y200" s="233"/>
      <c r="Z200" s="234"/>
      <c r="AA200" s="234"/>
      <c r="AB200" s="197"/>
      <c r="AC200" s="97"/>
    </row>
    <row r="201" spans="1:29" ht="12">
      <c r="A201" s="1037" t="s">
        <v>458</v>
      </c>
      <c r="B201" s="1038"/>
      <c r="C201" s="1038"/>
      <c r="D201" s="1038"/>
      <c r="E201" s="1038"/>
      <c r="F201" s="1039"/>
      <c r="G201" s="1037" t="s">
        <v>458</v>
      </c>
      <c r="H201" s="1038"/>
      <c r="I201" s="1038"/>
      <c r="J201" s="1038"/>
      <c r="K201" s="1038"/>
      <c r="L201" s="1037" t="s">
        <v>458</v>
      </c>
      <c r="M201" s="1038"/>
      <c r="N201" s="1038"/>
      <c r="O201" s="1038"/>
      <c r="P201" s="1038"/>
      <c r="Q201" s="1039"/>
      <c r="R201" s="1037" t="s">
        <v>458</v>
      </c>
      <c r="S201" s="1038"/>
      <c r="T201" s="1038"/>
      <c r="U201" s="1038"/>
      <c r="V201" s="1038"/>
      <c r="W201" s="1039"/>
      <c r="X201" s="1037" t="s">
        <v>458</v>
      </c>
      <c r="Y201" s="1038"/>
      <c r="Z201" s="1038"/>
      <c r="AA201" s="1038"/>
      <c r="AB201" s="1038"/>
      <c r="AC201" s="1039"/>
    </row>
    <row r="202" spans="1:29" ht="12.75" thickBot="1">
      <c r="A202" s="1040"/>
      <c r="B202" s="1041"/>
      <c r="C202" s="1041"/>
      <c r="D202" s="1041"/>
      <c r="E202" s="1041"/>
      <c r="F202" s="1042"/>
      <c r="G202" s="1040"/>
      <c r="H202" s="1041"/>
      <c r="I202" s="1041"/>
      <c r="J202" s="1041"/>
      <c r="K202" s="1041"/>
      <c r="L202" s="1040"/>
      <c r="M202" s="1041"/>
      <c r="N202" s="1041"/>
      <c r="O202" s="1041"/>
      <c r="P202" s="1041"/>
      <c r="Q202" s="1042"/>
      <c r="R202" s="1040"/>
      <c r="S202" s="1041"/>
      <c r="T202" s="1041"/>
      <c r="U202" s="1041"/>
      <c r="V202" s="1041"/>
      <c r="W202" s="1042"/>
      <c r="X202" s="1040"/>
      <c r="Y202" s="1041"/>
      <c r="Z202" s="1041"/>
      <c r="AA202" s="1041"/>
      <c r="AB202" s="1041"/>
      <c r="AC202" s="1042"/>
    </row>
    <row r="203" spans="1:29" ht="60.75" thickBot="1">
      <c r="A203" s="594" t="s">
        <v>145</v>
      </c>
      <c r="B203" s="595" t="s">
        <v>552</v>
      </c>
      <c r="C203" s="595" t="s">
        <v>551</v>
      </c>
      <c r="D203" s="488" t="s">
        <v>147</v>
      </c>
      <c r="E203" s="595" t="s">
        <v>148</v>
      </c>
      <c r="F203" s="223"/>
      <c r="G203" s="594" t="s">
        <v>145</v>
      </c>
      <c r="H203" s="595" t="str">
        <f>$B$203</f>
        <v>Number of FTE's (from Personnel &amp; Contractual Clinicians Worksheets)</v>
      </c>
      <c r="I203" s="595" t="str">
        <f>$C$203</f>
        <v>Salary (from Personnel &amp; Contractual Clinicians Worksheets)</v>
      </c>
      <c r="J203" s="488" t="s">
        <v>147</v>
      </c>
      <c r="K203" s="1015" t="s">
        <v>148</v>
      </c>
      <c r="L203" s="594" t="s">
        <v>145</v>
      </c>
      <c r="M203" s="595" t="str">
        <f>$B$203</f>
        <v>Number of FTE's (from Personnel &amp; Contractual Clinicians Worksheets)</v>
      </c>
      <c r="N203" s="595" t="str">
        <f>$C$203</f>
        <v>Salary (from Personnel &amp; Contractual Clinicians Worksheets)</v>
      </c>
      <c r="O203" s="488" t="s">
        <v>147</v>
      </c>
      <c r="P203" s="595" t="s">
        <v>148</v>
      </c>
      <c r="Q203" s="223"/>
      <c r="R203" s="594" t="s">
        <v>145</v>
      </c>
      <c r="S203" s="595" t="str">
        <f>$B$203</f>
        <v>Number of FTE's (from Personnel &amp; Contractual Clinicians Worksheets)</v>
      </c>
      <c r="T203" s="595" t="str">
        <f>$C$203</f>
        <v>Salary (from Personnel &amp; Contractual Clinicians Worksheets)</v>
      </c>
      <c r="U203" s="488" t="s">
        <v>147</v>
      </c>
      <c r="V203" s="595" t="s">
        <v>148</v>
      </c>
      <c r="W203" s="223"/>
      <c r="X203" s="594" t="s">
        <v>145</v>
      </c>
      <c r="Y203" s="595" t="str">
        <f>$B$203</f>
        <v>Number of FTE's (from Personnel &amp; Contractual Clinicians Worksheets)</v>
      </c>
      <c r="Z203" s="595" t="str">
        <f>$C$203</f>
        <v>Salary (from Personnel &amp; Contractual Clinicians Worksheets)</v>
      </c>
      <c r="AA203" s="488" t="s">
        <v>147</v>
      </c>
      <c r="AB203" s="595" t="s">
        <v>148</v>
      </c>
      <c r="AC203" s="223"/>
    </row>
    <row r="204" spans="1:29" ht="12">
      <c r="A204" s="599" t="s">
        <v>461</v>
      </c>
      <c r="B204" s="969">
        <f>SUM(Personnel!G10:G15)</f>
        <v>0</v>
      </c>
      <c r="C204" s="598">
        <f>SUM(Personnel!G122:G127)</f>
        <v>0</v>
      </c>
      <c r="D204" s="603">
        <f>100%+$C$184</f>
        <v>1</v>
      </c>
      <c r="E204" s="605">
        <f>C204*D204</f>
        <v>0</v>
      </c>
      <c r="F204" s="224"/>
      <c r="G204" s="599" t="str">
        <f>A204</f>
        <v>Clinicians in the CTPF (from Personnel Worksheet)</v>
      </c>
      <c r="H204" s="969">
        <f>SUM(Personnel!I10:I15)</f>
        <v>0</v>
      </c>
      <c r="I204" s="598">
        <f>SUM(Personnel!I122:I127)</f>
        <v>0</v>
      </c>
      <c r="J204" s="603">
        <f>100%+$C$184</f>
        <v>1</v>
      </c>
      <c r="K204" s="1016">
        <f>I204*J204</f>
        <v>0</v>
      </c>
      <c r="L204" s="599" t="str">
        <f>A204</f>
        <v>Clinicians in the CTPF (from Personnel Worksheet)</v>
      </c>
      <c r="M204" s="969">
        <f>SUM(Personnel!K10:K15)</f>
        <v>0</v>
      </c>
      <c r="N204" s="598">
        <f>SUM(Personnel!K122:K127)</f>
        <v>0</v>
      </c>
      <c r="O204" s="603">
        <f>100%+$C$184</f>
        <v>1</v>
      </c>
      <c r="P204" s="605">
        <f>N204*O204</f>
        <v>0</v>
      </c>
      <c r="Q204" s="224"/>
      <c r="R204" s="599" t="str">
        <f>A204</f>
        <v>Clinicians in the CTPF (from Personnel Worksheet)</v>
      </c>
      <c r="S204" s="969">
        <f>SUM(Personnel!M10:M15)</f>
        <v>0</v>
      </c>
      <c r="T204" s="598">
        <f>SUM(Personnel!M122:M127)</f>
        <v>0</v>
      </c>
      <c r="U204" s="603">
        <f>100%+$C$184</f>
        <v>1</v>
      </c>
      <c r="V204" s="605">
        <f>T204*U204</f>
        <v>0</v>
      </c>
      <c r="W204" s="224"/>
      <c r="X204" s="599" t="str">
        <f>A204</f>
        <v>Clinicians in the CTPF (from Personnel Worksheet)</v>
      </c>
      <c r="Y204" s="969">
        <f>SUM(Personnel!O10:O15)</f>
        <v>0</v>
      </c>
      <c r="Z204" s="598">
        <f>SUM(Personnel!O122:O127)</f>
        <v>0</v>
      </c>
      <c r="AA204" s="603">
        <f>100%+$C$184</f>
        <v>1</v>
      </c>
      <c r="AB204" s="605">
        <f>Z204*AA204</f>
        <v>0</v>
      </c>
      <c r="AC204" s="224"/>
    </row>
    <row r="205" spans="1:29" ht="12">
      <c r="A205" s="567" t="s">
        <v>462</v>
      </c>
      <c r="B205" s="969">
        <f>SUM(Personnel!G34:G39)</f>
        <v>0</v>
      </c>
      <c r="C205" s="598">
        <f>SUM(Personnel!G153:G158)</f>
        <v>0</v>
      </c>
      <c r="D205" s="603">
        <f>100%+$C$184</f>
        <v>1</v>
      </c>
      <c r="E205" s="605">
        <f>C205*D205</f>
        <v>0</v>
      </c>
      <c r="F205" s="224"/>
      <c r="G205" s="599" t="str">
        <f>A205</f>
        <v>Clinicians Not in the CTPF (from Personnel Worksheet)</v>
      </c>
      <c r="H205" s="969">
        <f>SUM(Personnel!I34:I39)</f>
        <v>0</v>
      </c>
      <c r="I205" s="598">
        <f>SUM(Personnel!I153:I158)</f>
        <v>0</v>
      </c>
      <c r="J205" s="603">
        <f>100%+$C$184</f>
        <v>1</v>
      </c>
      <c r="K205" s="1016">
        <f>I205*J205</f>
        <v>0</v>
      </c>
      <c r="L205" s="599" t="str">
        <f>A205</f>
        <v>Clinicians Not in the CTPF (from Personnel Worksheet)</v>
      </c>
      <c r="M205" s="969">
        <f>SUM(Personnel!K34:K39)</f>
        <v>0</v>
      </c>
      <c r="N205" s="598">
        <f>SUM(Personnel!K153:K158)</f>
        <v>0</v>
      </c>
      <c r="O205" s="603">
        <f>100%+$C$184</f>
        <v>1</v>
      </c>
      <c r="P205" s="605">
        <f>N205*O205</f>
        <v>0</v>
      </c>
      <c r="Q205" s="224"/>
      <c r="R205" s="599" t="str">
        <f>A205</f>
        <v>Clinicians Not in the CTPF (from Personnel Worksheet)</v>
      </c>
      <c r="S205" s="969">
        <f>SUM(Personnel!M34:M39)</f>
        <v>0</v>
      </c>
      <c r="T205" s="598">
        <f>SUM(Personnel!M153:M158)</f>
        <v>0</v>
      </c>
      <c r="U205" s="603">
        <f>100%+$C$184</f>
        <v>1</v>
      </c>
      <c r="V205" s="605">
        <f>T205*U205</f>
        <v>0</v>
      </c>
      <c r="W205" s="224"/>
      <c r="X205" s="599" t="str">
        <f>A205</f>
        <v>Clinicians Not in the CTPF (from Personnel Worksheet)</v>
      </c>
      <c r="Y205" s="969">
        <f>SUM(Personnel!O34:O39)</f>
        <v>0</v>
      </c>
      <c r="Z205" s="598">
        <f>SUM(Personnel!O153:O158)</f>
        <v>0</v>
      </c>
      <c r="AA205" s="603">
        <f>100%+$C$184</f>
        <v>1</v>
      </c>
      <c r="AB205" s="605">
        <f>Z205*AA205</f>
        <v>0</v>
      </c>
      <c r="AC205" s="224"/>
    </row>
    <row r="206" spans="1:29" ht="12.75" thickBot="1">
      <c r="A206" s="599" t="s">
        <v>463</v>
      </c>
      <c r="B206" s="969">
        <f>'Contractual Clinicians'!C14</f>
        <v>1</v>
      </c>
      <c r="C206" s="598">
        <f>'Contractual Clinicians'!C31</f>
        <v>0</v>
      </c>
      <c r="D206" s="968" t="s">
        <v>204</v>
      </c>
      <c r="E206" s="605">
        <f>C206</f>
        <v>0</v>
      </c>
      <c r="F206" s="224"/>
      <c r="G206" s="599" t="str">
        <f>A206</f>
        <v>Contractual Clinicians (from Contractual Clinicians Worksheet)</v>
      </c>
      <c r="H206" s="969">
        <f>'Contractual Clinicians'!D14</f>
        <v>1</v>
      </c>
      <c r="I206" s="598">
        <f>'Contractual Clinicians'!D31</f>
        <v>0</v>
      </c>
      <c r="J206" s="968" t="s">
        <v>204</v>
      </c>
      <c r="K206" s="1016">
        <f>I206</f>
        <v>0</v>
      </c>
      <c r="L206" s="599" t="str">
        <f>A206</f>
        <v>Contractual Clinicians (from Contractual Clinicians Worksheet)</v>
      </c>
      <c r="M206" s="969">
        <f>'Contractual Clinicians'!E14</f>
        <v>2</v>
      </c>
      <c r="N206" s="598">
        <f>'Contractual Clinicians'!E31</f>
        <v>0</v>
      </c>
      <c r="O206" s="968" t="s">
        <v>204</v>
      </c>
      <c r="P206" s="605">
        <f>N206</f>
        <v>0</v>
      </c>
      <c r="Q206" s="224"/>
      <c r="R206" s="599" t="str">
        <f>A206</f>
        <v>Contractual Clinicians (from Contractual Clinicians Worksheet)</v>
      </c>
      <c r="S206" s="969">
        <f>'Contractual Clinicians'!F14</f>
        <v>2</v>
      </c>
      <c r="T206" s="598">
        <f>'Contractual Clinicians'!F31</f>
        <v>0</v>
      </c>
      <c r="U206" s="968" t="s">
        <v>204</v>
      </c>
      <c r="V206" s="605">
        <f>T206</f>
        <v>0</v>
      </c>
      <c r="W206" s="224"/>
      <c r="X206" s="599" t="str">
        <f>A206</f>
        <v>Contractual Clinicians (from Contractual Clinicians Worksheet)</v>
      </c>
      <c r="Y206" s="969">
        <f>'Contractual Clinicians'!G14</f>
        <v>2</v>
      </c>
      <c r="Z206" s="598">
        <f>'Contractual Clinicians'!G31</f>
        <v>0</v>
      </c>
      <c r="AA206" s="968" t="s">
        <v>204</v>
      </c>
      <c r="AB206" s="605">
        <f>Z206</f>
        <v>0</v>
      </c>
      <c r="AC206" s="224"/>
    </row>
    <row r="207" spans="1:29" ht="12.75" thickBot="1">
      <c r="A207" s="600" t="s">
        <v>149</v>
      </c>
      <c r="B207" s="971">
        <f>SUM(B204:B206)</f>
        <v>1</v>
      </c>
      <c r="C207" s="602">
        <f>SUM(C204:C206)</f>
        <v>0</v>
      </c>
      <c r="D207" s="97"/>
      <c r="E207" s="606">
        <f>SUM(E204:E206)</f>
        <v>0</v>
      </c>
      <c r="F207" s="224"/>
      <c r="G207" s="600" t="s">
        <v>149</v>
      </c>
      <c r="H207" s="971">
        <f>SUM(H204:H206)</f>
        <v>1</v>
      </c>
      <c r="I207" s="602">
        <f>SUM(I204:I206)</f>
        <v>0</v>
      </c>
      <c r="J207" s="97"/>
      <c r="K207" s="1017">
        <f>SUM(K204:K206)</f>
        <v>0</v>
      </c>
      <c r="L207" s="600" t="s">
        <v>149</v>
      </c>
      <c r="M207" s="971">
        <f>SUM(M204:M206)</f>
        <v>2</v>
      </c>
      <c r="N207" s="602">
        <f>SUM(N204:N206)</f>
        <v>0</v>
      </c>
      <c r="O207" s="97"/>
      <c r="P207" s="606">
        <f>SUM(P204:P206)</f>
        <v>0</v>
      </c>
      <c r="Q207" s="224"/>
      <c r="R207" s="600" t="s">
        <v>149</v>
      </c>
      <c r="S207" s="971">
        <f>SUM(S204:S206)</f>
        <v>2</v>
      </c>
      <c r="T207" s="602">
        <f>SUM(T204:T206)</f>
        <v>0</v>
      </c>
      <c r="U207" s="97"/>
      <c r="V207" s="606">
        <f>SUM(V204:V206)</f>
        <v>0</v>
      </c>
      <c r="W207" s="224"/>
      <c r="X207" s="600" t="s">
        <v>149</v>
      </c>
      <c r="Y207" s="971">
        <f>SUM(Y204:Y206)</f>
        <v>2</v>
      </c>
      <c r="Z207" s="602">
        <f>SUM(Z204:Z206)</f>
        <v>0</v>
      </c>
      <c r="AA207" s="97"/>
      <c r="AB207" s="606">
        <f>SUM(AB204:AB206)</f>
        <v>0</v>
      </c>
      <c r="AC207" s="224"/>
    </row>
    <row r="208" spans="1:29" ht="12">
      <c r="A208" s="204"/>
      <c r="B208" s="97"/>
      <c r="C208" s="97"/>
      <c r="D208" s="97"/>
      <c r="E208" s="197"/>
      <c r="F208" s="190"/>
      <c r="G208" s="204"/>
      <c r="H208" s="97"/>
      <c r="I208" s="97"/>
      <c r="J208" s="97"/>
      <c r="K208" s="197"/>
      <c r="L208" s="204"/>
      <c r="M208" s="97"/>
      <c r="N208" s="97"/>
      <c r="O208" s="97"/>
      <c r="P208" s="197"/>
      <c r="Q208" s="190"/>
      <c r="R208" s="204"/>
      <c r="S208" s="97"/>
      <c r="T208" s="97"/>
      <c r="U208" s="97"/>
      <c r="V208" s="197"/>
      <c r="W208" s="190"/>
      <c r="X208" s="204"/>
      <c r="Y208" s="97"/>
      <c r="Z208" s="97"/>
      <c r="AA208" s="97"/>
      <c r="AB208" s="197"/>
      <c r="AC208" s="190"/>
    </row>
    <row r="209" spans="1:29" ht="12">
      <c r="A209" s="204"/>
      <c r="B209" s="97"/>
      <c r="C209" s="97"/>
      <c r="D209" s="97"/>
      <c r="E209" s="197"/>
      <c r="F209" s="190"/>
      <c r="G209" s="204"/>
      <c r="H209" s="97"/>
      <c r="I209" s="97"/>
      <c r="J209" s="97"/>
      <c r="K209" s="197"/>
      <c r="L209" s="204"/>
      <c r="M209" s="97"/>
      <c r="N209" s="97"/>
      <c r="O209" s="97"/>
      <c r="P209" s="197"/>
      <c r="Q209" s="190"/>
      <c r="R209" s="204"/>
      <c r="S209" s="97"/>
      <c r="T209" s="97"/>
      <c r="U209" s="97"/>
      <c r="V209" s="197"/>
      <c r="W209" s="190"/>
      <c r="X209" s="204"/>
      <c r="Y209" s="97"/>
      <c r="Z209" s="97"/>
      <c r="AA209" s="97"/>
      <c r="AB209" s="197"/>
      <c r="AC209" s="190"/>
    </row>
    <row r="210" spans="1:29" ht="12">
      <c r="A210" s="204"/>
      <c r="B210" s="97"/>
      <c r="C210" s="97"/>
      <c r="D210" s="97"/>
      <c r="E210" s="197"/>
      <c r="F210" s="190"/>
      <c r="G210" s="204"/>
      <c r="H210" s="97"/>
      <c r="I210" s="97"/>
      <c r="J210" s="97"/>
      <c r="K210" s="197"/>
      <c r="L210" s="204"/>
      <c r="M210" s="97"/>
      <c r="N210" s="97"/>
      <c r="O210" s="97"/>
      <c r="P210" s="197"/>
      <c r="Q210" s="190"/>
      <c r="R210" s="204"/>
      <c r="S210" s="97"/>
      <c r="T210" s="97"/>
      <c r="U210" s="97"/>
      <c r="V210" s="197"/>
      <c r="W210" s="190"/>
      <c r="X210" s="204"/>
      <c r="Y210" s="97"/>
      <c r="Z210" s="97"/>
      <c r="AA210" s="97"/>
      <c r="AB210" s="197"/>
      <c r="AC210" s="190"/>
    </row>
    <row r="211" spans="1:29" ht="15" thickBot="1">
      <c r="A211" s="225"/>
      <c r="B211" s="226"/>
      <c r="C211" s="96"/>
      <c r="D211" s="96"/>
      <c r="E211" s="197"/>
      <c r="F211" s="227"/>
      <c r="G211" s="225"/>
      <c r="H211" s="226"/>
      <c r="I211" s="96"/>
      <c r="J211" s="96"/>
      <c r="K211" s="197"/>
      <c r="L211" s="225"/>
      <c r="M211" s="226"/>
      <c r="N211" s="96"/>
      <c r="O211" s="96"/>
      <c r="P211" s="197"/>
      <c r="Q211" s="227"/>
      <c r="R211" s="225"/>
      <c r="S211" s="226"/>
      <c r="T211" s="96"/>
      <c r="U211" s="96"/>
      <c r="V211" s="197"/>
      <c r="W211" s="227"/>
      <c r="X211" s="225"/>
      <c r="Y211" s="226"/>
      <c r="Z211" s="96"/>
      <c r="AA211" s="96"/>
      <c r="AB211" s="197"/>
      <c r="AC211" s="227"/>
    </row>
    <row r="212" spans="1:29" ht="36.75" thickBot="1">
      <c r="A212" s="535" t="s">
        <v>86</v>
      </c>
      <c r="B212" s="488" t="s">
        <v>150</v>
      </c>
      <c r="C212" s="97"/>
      <c r="D212" s="595" t="s">
        <v>151</v>
      </c>
      <c r="E212" s="595" t="s">
        <v>152</v>
      </c>
      <c r="F212" s="190"/>
      <c r="G212" s="535" t="s">
        <v>86</v>
      </c>
      <c r="H212" s="488" t="s">
        <v>150</v>
      </c>
      <c r="I212" s="97"/>
      <c r="J212" s="595" t="s">
        <v>151</v>
      </c>
      <c r="K212" s="1015" t="s">
        <v>152</v>
      </c>
      <c r="L212" s="535" t="s">
        <v>86</v>
      </c>
      <c r="M212" s="488" t="s">
        <v>150</v>
      </c>
      <c r="N212" s="97"/>
      <c r="O212" s="595" t="s">
        <v>151</v>
      </c>
      <c r="P212" s="595" t="s">
        <v>152</v>
      </c>
      <c r="Q212" s="190"/>
      <c r="R212" s="535" t="s">
        <v>86</v>
      </c>
      <c r="S212" s="488" t="s">
        <v>150</v>
      </c>
      <c r="T212" s="97"/>
      <c r="U212" s="595" t="s">
        <v>151</v>
      </c>
      <c r="V212" s="595" t="s">
        <v>152</v>
      </c>
      <c r="W212" s="190"/>
      <c r="X212" s="535" t="s">
        <v>86</v>
      </c>
      <c r="Y212" s="488" t="s">
        <v>150</v>
      </c>
      <c r="Z212" s="97"/>
      <c r="AA212" s="595" t="s">
        <v>151</v>
      </c>
      <c r="AB212" s="595" t="s">
        <v>152</v>
      </c>
      <c r="AC212" s="190"/>
    </row>
    <row r="213" spans="1:29" ht="15" thickBot="1">
      <c r="A213" s="610" t="s">
        <v>153</v>
      </c>
      <c r="B213" s="611">
        <f>E207/(B207+0.000000001)</f>
        <v>0</v>
      </c>
      <c r="C213" s="97"/>
      <c r="D213" s="613">
        <v>0</v>
      </c>
      <c r="E213" s="613">
        <f>E207</f>
        <v>0</v>
      </c>
      <c r="F213" s="190"/>
      <c r="G213" s="610" t="s">
        <v>153</v>
      </c>
      <c r="H213" s="611">
        <f>K207/(H207+0.000000001)</f>
        <v>0</v>
      </c>
      <c r="I213" s="97"/>
      <c r="J213" s="613">
        <v>0</v>
      </c>
      <c r="K213" s="1018">
        <f>K207</f>
        <v>0</v>
      </c>
      <c r="L213" s="610" t="s">
        <v>153</v>
      </c>
      <c r="M213" s="611">
        <f>P207/(M207+0.000000001)</f>
        <v>0</v>
      </c>
      <c r="N213" s="97"/>
      <c r="O213" s="613">
        <v>0</v>
      </c>
      <c r="P213" s="613">
        <f>P207</f>
        <v>0</v>
      </c>
      <c r="Q213" s="190"/>
      <c r="R213" s="610" t="s">
        <v>153</v>
      </c>
      <c r="S213" s="611">
        <f>V207/(S207+0.000000001)</f>
        <v>0</v>
      </c>
      <c r="T213" s="97"/>
      <c r="U213" s="613">
        <v>0</v>
      </c>
      <c r="V213" s="613">
        <f>V207</f>
        <v>0</v>
      </c>
      <c r="W213" s="190"/>
      <c r="X213" s="610" t="s">
        <v>153</v>
      </c>
      <c r="Y213" s="611">
        <f>AB207/(Y207+0.000000001)</f>
        <v>0</v>
      </c>
      <c r="Z213" s="97"/>
      <c r="AA213" s="613">
        <v>0</v>
      </c>
      <c r="AB213" s="613">
        <f>AB207</f>
        <v>0</v>
      </c>
      <c r="AC213" s="190"/>
    </row>
    <row r="214" spans="1:29" ht="15" thickBot="1">
      <c r="A214" s="610" t="s">
        <v>154</v>
      </c>
      <c r="B214" s="612">
        <f>VLOOKUP(B213,D213:E214,2,TRUE)</f>
        <v>0</v>
      </c>
      <c r="C214" s="97"/>
      <c r="D214" s="613">
        <v>90000</v>
      </c>
      <c r="E214" s="613">
        <f>B207*D214</f>
        <v>90000</v>
      </c>
      <c r="F214" s="190"/>
      <c r="G214" s="610" t="s">
        <v>154</v>
      </c>
      <c r="H214" s="612">
        <f>VLOOKUP(H213,J213:K214,2,TRUE)</f>
        <v>0</v>
      </c>
      <c r="I214" s="97"/>
      <c r="J214" s="613">
        <v>90000</v>
      </c>
      <c r="K214" s="1018">
        <f>H207*J214</f>
        <v>90000</v>
      </c>
      <c r="L214" s="610" t="s">
        <v>154</v>
      </c>
      <c r="M214" s="612">
        <f>VLOOKUP(M213,O213:P214,2,TRUE)</f>
        <v>0</v>
      </c>
      <c r="N214" s="97"/>
      <c r="O214" s="613">
        <v>90000</v>
      </c>
      <c r="P214" s="613">
        <f>M207*O214</f>
        <v>180000</v>
      </c>
      <c r="Q214" s="190"/>
      <c r="R214" s="610" t="s">
        <v>154</v>
      </c>
      <c r="S214" s="612">
        <f>VLOOKUP(S213,U213:V214,2,TRUE)</f>
        <v>0</v>
      </c>
      <c r="T214" s="97"/>
      <c r="U214" s="613">
        <v>90000</v>
      </c>
      <c r="V214" s="613">
        <f>S207*U214</f>
        <v>180000</v>
      </c>
      <c r="W214" s="190"/>
      <c r="X214" s="610" t="s">
        <v>154</v>
      </c>
      <c r="Y214" s="612">
        <f>VLOOKUP(Y213,AA213:AB214,2,TRUE)</f>
        <v>0</v>
      </c>
      <c r="Z214" s="97"/>
      <c r="AA214" s="613">
        <v>90000</v>
      </c>
      <c r="AB214" s="613">
        <f>Y207*AA214</f>
        <v>180000</v>
      </c>
      <c r="AC214" s="190"/>
    </row>
    <row r="215" spans="1:29" ht="13.5">
      <c r="A215" s="225"/>
      <c r="B215" s="233"/>
      <c r="C215" s="234"/>
      <c r="D215" s="234"/>
      <c r="E215" s="197"/>
      <c r="F215" s="190"/>
      <c r="G215" s="240"/>
      <c r="H215" s="233"/>
      <c r="I215" s="234"/>
      <c r="J215" s="234"/>
      <c r="K215" s="197"/>
      <c r="L215" s="225"/>
      <c r="M215" s="233"/>
      <c r="N215" s="234"/>
      <c r="O215" s="234"/>
      <c r="P215" s="197"/>
      <c r="Q215" s="190"/>
      <c r="R215" s="240"/>
      <c r="S215" s="233"/>
      <c r="T215" s="234"/>
      <c r="U215" s="234"/>
      <c r="V215" s="197"/>
      <c r="W215" s="190"/>
      <c r="X215" s="240"/>
      <c r="Y215" s="233"/>
      <c r="Z215" s="234"/>
      <c r="AA215" s="234"/>
      <c r="AB215" s="197"/>
      <c r="AC215" s="190"/>
    </row>
    <row r="216" spans="1:29" ht="15" thickBot="1">
      <c r="A216" s="225"/>
      <c r="B216" s="233"/>
      <c r="C216" s="234"/>
      <c r="D216" s="234"/>
      <c r="E216" s="197"/>
      <c r="F216" s="190"/>
      <c r="G216" s="240"/>
      <c r="H216" s="233"/>
      <c r="I216" s="234"/>
      <c r="J216" s="234"/>
      <c r="K216" s="219"/>
      <c r="L216" s="225"/>
      <c r="M216" s="233"/>
      <c r="N216" s="234"/>
      <c r="O216" s="234"/>
      <c r="P216" s="197"/>
      <c r="Q216" s="232"/>
      <c r="R216" s="240"/>
      <c r="S216" s="233"/>
      <c r="T216" s="234"/>
      <c r="U216" s="234"/>
      <c r="V216" s="219"/>
      <c r="W216" s="232"/>
      <c r="X216" s="240"/>
      <c r="Y216" s="233"/>
      <c r="Z216" s="234"/>
      <c r="AA216" s="234"/>
      <c r="AB216" s="219"/>
      <c r="AC216" s="232"/>
    </row>
    <row r="217" spans="1:29" ht="12">
      <c r="A217" s="1037" t="s">
        <v>471</v>
      </c>
      <c r="B217" s="1038"/>
      <c r="C217" s="1038"/>
      <c r="D217" s="1038"/>
      <c r="E217" s="1038"/>
      <c r="F217" s="1039"/>
      <c r="G217" s="1038" t="s">
        <v>155</v>
      </c>
      <c r="H217" s="1038"/>
      <c r="I217" s="1038"/>
      <c r="J217" s="1038"/>
      <c r="K217" s="1038"/>
      <c r="L217" s="1037" t="s">
        <v>155</v>
      </c>
      <c r="M217" s="1038"/>
      <c r="N217" s="1038"/>
      <c r="O217" s="1038"/>
      <c r="P217" s="1038"/>
      <c r="Q217" s="1039"/>
      <c r="R217" s="1038" t="s">
        <v>155</v>
      </c>
      <c r="S217" s="1038"/>
      <c r="T217" s="1038"/>
      <c r="U217" s="1038"/>
      <c r="V217" s="1038"/>
      <c r="W217" s="1039"/>
      <c r="X217" s="1038" t="s">
        <v>155</v>
      </c>
      <c r="Y217" s="1038"/>
      <c r="Z217" s="1038"/>
      <c r="AA217" s="1038"/>
      <c r="AB217" s="1038"/>
      <c r="AC217" s="1039"/>
    </row>
    <row r="218" spans="1:29" ht="12.75" thickBot="1">
      <c r="A218" s="1040"/>
      <c r="B218" s="1041"/>
      <c r="C218" s="1041"/>
      <c r="D218" s="1041"/>
      <c r="E218" s="1041"/>
      <c r="F218" s="1042"/>
      <c r="G218" s="1041"/>
      <c r="H218" s="1041"/>
      <c r="I218" s="1041"/>
      <c r="J218" s="1041"/>
      <c r="K218" s="1041"/>
      <c r="L218" s="1040"/>
      <c r="M218" s="1041"/>
      <c r="N218" s="1041"/>
      <c r="O218" s="1041"/>
      <c r="P218" s="1041"/>
      <c r="Q218" s="1042"/>
      <c r="R218" s="1041"/>
      <c r="S218" s="1041"/>
      <c r="T218" s="1041"/>
      <c r="U218" s="1041"/>
      <c r="V218" s="1041"/>
      <c r="W218" s="1042"/>
      <c r="X218" s="1041"/>
      <c r="Y218" s="1041"/>
      <c r="Z218" s="1041"/>
      <c r="AA218" s="1041"/>
      <c r="AB218" s="1041"/>
      <c r="AC218" s="1042"/>
    </row>
    <row r="219" spans="1:29" ht="12.75" customHeight="1">
      <c r="A219" s="1076" t="s">
        <v>86</v>
      </c>
      <c r="B219" s="1053" t="s">
        <v>553</v>
      </c>
      <c r="C219" s="1053" t="s">
        <v>146</v>
      </c>
      <c r="D219" s="1076" t="s">
        <v>147</v>
      </c>
      <c r="E219" s="1053" t="s">
        <v>148</v>
      </c>
      <c r="F219" s="235"/>
      <c r="G219" s="1087" t="s">
        <v>86</v>
      </c>
      <c r="H219" s="1053" t="str">
        <f>$B$219</f>
        <v>Number of FTE's (from Personnel Worksheet)</v>
      </c>
      <c r="I219" s="1053" t="s">
        <v>146</v>
      </c>
      <c r="J219" s="1076" t="s">
        <v>147</v>
      </c>
      <c r="K219" s="1090" t="s">
        <v>148</v>
      </c>
      <c r="L219" s="1076" t="s">
        <v>86</v>
      </c>
      <c r="M219" s="1053" t="str">
        <f>$B$219</f>
        <v>Number of FTE's (from Personnel Worksheet)</v>
      </c>
      <c r="N219" s="1053" t="s">
        <v>146</v>
      </c>
      <c r="O219" s="1076" t="s">
        <v>147</v>
      </c>
      <c r="P219" s="1053" t="s">
        <v>148</v>
      </c>
      <c r="Q219" s="235"/>
      <c r="R219" s="1087" t="s">
        <v>86</v>
      </c>
      <c r="S219" s="1053" t="str">
        <f>$B$219</f>
        <v>Number of FTE's (from Personnel Worksheet)</v>
      </c>
      <c r="T219" s="1053" t="s">
        <v>146</v>
      </c>
      <c r="U219" s="1076" t="s">
        <v>147</v>
      </c>
      <c r="V219" s="1053" t="s">
        <v>148</v>
      </c>
      <c r="W219" s="235"/>
      <c r="X219" s="1087" t="s">
        <v>86</v>
      </c>
      <c r="Y219" s="1053" t="str">
        <f>$B$219</f>
        <v>Number of FTE's (from Personnel Worksheet)</v>
      </c>
      <c r="Z219" s="1053" t="s">
        <v>146</v>
      </c>
      <c r="AA219" s="1076" t="s">
        <v>147</v>
      </c>
      <c r="AB219" s="1053" t="s">
        <v>148</v>
      </c>
      <c r="AC219" s="235"/>
    </row>
    <row r="220" spans="1:29" ht="30.75" customHeight="1" thickBot="1">
      <c r="A220" s="1077"/>
      <c r="B220" s="1054"/>
      <c r="C220" s="1054"/>
      <c r="D220" s="1077"/>
      <c r="E220" s="1054"/>
      <c r="F220" s="190"/>
      <c r="G220" s="1088"/>
      <c r="H220" s="1054"/>
      <c r="I220" s="1054"/>
      <c r="J220" s="1077"/>
      <c r="K220" s="1091"/>
      <c r="L220" s="1077"/>
      <c r="M220" s="1054"/>
      <c r="N220" s="1054"/>
      <c r="O220" s="1077"/>
      <c r="P220" s="1054"/>
      <c r="Q220" s="190"/>
      <c r="R220" s="1088"/>
      <c r="S220" s="1054"/>
      <c r="T220" s="1054"/>
      <c r="U220" s="1077"/>
      <c r="V220" s="1054"/>
      <c r="W220" s="190"/>
      <c r="X220" s="1088"/>
      <c r="Y220" s="1054"/>
      <c r="Z220" s="1054"/>
      <c r="AA220" s="1077"/>
      <c r="AB220" s="1054"/>
      <c r="AC220" s="190"/>
    </row>
    <row r="221" spans="1:29" ht="12">
      <c r="A221" s="615" t="s">
        <v>464</v>
      </c>
      <c r="B221" s="969">
        <f>Personnel!G9</f>
        <v>0</v>
      </c>
      <c r="C221" s="598">
        <f>Personnel!G121</f>
        <v>0</v>
      </c>
      <c r="D221" s="603">
        <f>100%+$C$184</f>
        <v>1</v>
      </c>
      <c r="E221" s="619">
        <f>C221*D221</f>
        <v>0</v>
      </c>
      <c r="F221" s="190"/>
      <c r="G221" s="620" t="str">
        <f>A221</f>
        <v>SPED Teacher Aides in the CTPF (from Personnel Worksheet)</v>
      </c>
      <c r="H221" s="969">
        <f>Personnel!I9</f>
        <v>0</v>
      </c>
      <c r="I221" s="598">
        <f>Personnel!I121</f>
        <v>0</v>
      </c>
      <c r="J221" s="603">
        <f>100%+$I$184</f>
        <v>1</v>
      </c>
      <c r="K221" s="1019">
        <f>I221*J221</f>
        <v>0</v>
      </c>
      <c r="L221" s="615" t="str">
        <f>A221</f>
        <v>SPED Teacher Aides in the CTPF (from Personnel Worksheet)</v>
      </c>
      <c r="M221" s="597">
        <f>Personnel!K9</f>
        <v>0</v>
      </c>
      <c r="N221" s="598">
        <f>Personnel!K121</f>
        <v>0</v>
      </c>
      <c r="O221" s="603">
        <f>100%+$N$184</f>
        <v>1</v>
      </c>
      <c r="P221" s="619">
        <f>N221*O221</f>
        <v>0</v>
      </c>
      <c r="Q221" s="190"/>
      <c r="R221" s="620" t="str">
        <f>A221</f>
        <v>SPED Teacher Aides in the CTPF (from Personnel Worksheet)</v>
      </c>
      <c r="S221" s="969">
        <f>Personnel!M9</f>
        <v>0</v>
      </c>
      <c r="T221" s="598">
        <f>Personnel!M121</f>
        <v>0</v>
      </c>
      <c r="U221" s="603">
        <f>100%+$T$184</f>
        <v>1</v>
      </c>
      <c r="V221" s="619">
        <f>T221*U221</f>
        <v>0</v>
      </c>
      <c r="W221" s="190"/>
      <c r="X221" s="620" t="str">
        <f>A221</f>
        <v>SPED Teacher Aides in the CTPF (from Personnel Worksheet)</v>
      </c>
      <c r="Y221" s="969">
        <f>Personnel!O9</f>
        <v>0</v>
      </c>
      <c r="Z221" s="598">
        <f>Personnel!O121</f>
        <v>0</v>
      </c>
      <c r="AA221" s="603">
        <f>100%+$Z$184</f>
        <v>1</v>
      </c>
      <c r="AB221" s="619">
        <f>Z221*AA221</f>
        <v>0</v>
      </c>
      <c r="AC221" s="190"/>
    </row>
    <row r="222" spans="1:29" ht="12.75" thickBot="1">
      <c r="A222" s="599" t="s">
        <v>465</v>
      </c>
      <c r="B222" s="970">
        <f>Personnel!G33</f>
        <v>0</v>
      </c>
      <c r="C222" s="385">
        <f>Personnel!G152</f>
        <v>0</v>
      </c>
      <c r="D222" s="604">
        <f>100%+$C$184</f>
        <v>1</v>
      </c>
      <c r="E222" s="619">
        <f>C222*D222</f>
        <v>0</v>
      </c>
      <c r="F222" s="190"/>
      <c r="G222" s="620" t="str">
        <f>A222</f>
        <v>SPED Teachers Aides Not in the CTPF (from Personnel Worksheet)</v>
      </c>
      <c r="H222" s="970">
        <f>Personnel!I33</f>
        <v>0</v>
      </c>
      <c r="I222" s="385">
        <f>Personnel!I152</f>
        <v>0</v>
      </c>
      <c r="J222" s="603">
        <f>100%+$I$184</f>
        <v>1</v>
      </c>
      <c r="K222" s="1019">
        <f>I222*J222</f>
        <v>0</v>
      </c>
      <c r="L222" s="615" t="str">
        <f>A222</f>
        <v>SPED Teachers Aides Not in the CTPF (from Personnel Worksheet)</v>
      </c>
      <c r="M222" s="618">
        <f>Personnel!K33</f>
        <v>0</v>
      </c>
      <c r="N222" s="385">
        <f>Personnel!K152</f>
        <v>0</v>
      </c>
      <c r="O222" s="603">
        <f>100%+$N$184</f>
        <v>1</v>
      </c>
      <c r="P222" s="619">
        <f>N222*O222</f>
        <v>0</v>
      </c>
      <c r="Q222" s="190"/>
      <c r="R222" s="620" t="str">
        <f>A222</f>
        <v>SPED Teachers Aides Not in the CTPF (from Personnel Worksheet)</v>
      </c>
      <c r="S222" s="970">
        <f>Personnel!M33</f>
        <v>0</v>
      </c>
      <c r="T222" s="385">
        <f>Personnel!M152</f>
        <v>0</v>
      </c>
      <c r="U222" s="603">
        <f>100%+$T$184</f>
        <v>1</v>
      </c>
      <c r="V222" s="619">
        <f>T222*U222</f>
        <v>0</v>
      </c>
      <c r="W222" s="190"/>
      <c r="X222" s="620" t="str">
        <f>A222</f>
        <v>SPED Teachers Aides Not in the CTPF (from Personnel Worksheet)</v>
      </c>
      <c r="Y222" s="970">
        <f>Personnel!O33</f>
        <v>0</v>
      </c>
      <c r="Z222" s="385">
        <f>Personnel!O152</f>
        <v>0</v>
      </c>
      <c r="AA222" s="603">
        <f>100%+$Z$184</f>
        <v>1</v>
      </c>
      <c r="AB222" s="619">
        <f>Z222*AA222</f>
        <v>0</v>
      </c>
      <c r="AC222" s="190"/>
    </row>
    <row r="223" spans="1:29" ht="12.75" thickBot="1">
      <c r="A223" s="600" t="s">
        <v>149</v>
      </c>
      <c r="B223" s="971">
        <f>SUM(B221:B222)</f>
        <v>0</v>
      </c>
      <c r="C223" s="602">
        <f>SUM(C221:C222)</f>
        <v>0</v>
      </c>
      <c r="D223" s="97"/>
      <c r="E223" s="552">
        <f>SUM(E221:E222)</f>
        <v>0</v>
      </c>
      <c r="F223" s="190"/>
      <c r="G223" s="609" t="s">
        <v>149</v>
      </c>
      <c r="H223" s="971">
        <f>SUM(H221:H222)</f>
        <v>0</v>
      </c>
      <c r="I223" s="602">
        <f>SUM(I221:I222)</f>
        <v>0</v>
      </c>
      <c r="J223" s="97"/>
      <c r="K223" s="1020">
        <f>SUM(K221:K222)</f>
        <v>0</v>
      </c>
      <c r="L223" s="600" t="s">
        <v>149</v>
      </c>
      <c r="M223" s="601">
        <f>SUM(M221:M222)</f>
        <v>0</v>
      </c>
      <c r="N223" s="602">
        <f>SUM(N221:N222)</f>
        <v>0</v>
      </c>
      <c r="O223" s="97"/>
      <c r="P223" s="552">
        <f>SUM(P221:P222)</f>
        <v>0</v>
      </c>
      <c r="Q223" s="190"/>
      <c r="R223" s="609" t="s">
        <v>149</v>
      </c>
      <c r="S223" s="971">
        <f>SUM(S221:S222)</f>
        <v>0</v>
      </c>
      <c r="T223" s="602">
        <f>SUM(T221:T222)</f>
        <v>0</v>
      </c>
      <c r="U223" s="97"/>
      <c r="V223" s="552">
        <f>SUM(V221:V222)</f>
        <v>0</v>
      </c>
      <c r="W223" s="190"/>
      <c r="X223" s="609" t="s">
        <v>149</v>
      </c>
      <c r="Y223" s="971">
        <f>SUM(Y221:Y222)</f>
        <v>0</v>
      </c>
      <c r="Z223" s="602">
        <f>SUM(Z221:Z222)</f>
        <v>0</v>
      </c>
      <c r="AA223" s="97"/>
      <c r="AB223" s="552">
        <f>SUM(AB221:AB222)</f>
        <v>0</v>
      </c>
      <c r="AC223" s="190"/>
    </row>
    <row r="224" spans="1:29" ht="12">
      <c r="A224" s="204"/>
      <c r="B224" s="97"/>
      <c r="C224" s="97"/>
      <c r="D224" s="97"/>
      <c r="E224" s="197"/>
      <c r="F224" s="190"/>
      <c r="G224" s="97"/>
      <c r="H224" s="97"/>
      <c r="I224" s="97"/>
      <c r="J224" s="97"/>
      <c r="K224" s="197"/>
      <c r="L224" s="204"/>
      <c r="M224" s="97"/>
      <c r="N224" s="97"/>
      <c r="O224" s="97"/>
      <c r="P224" s="197"/>
      <c r="Q224" s="190"/>
      <c r="R224" s="97"/>
      <c r="S224" s="97"/>
      <c r="T224" s="97"/>
      <c r="U224" s="97"/>
      <c r="V224" s="197"/>
      <c r="W224" s="190"/>
      <c r="X224" s="97"/>
      <c r="Y224" s="97"/>
      <c r="Z224" s="97"/>
      <c r="AA224" s="97"/>
      <c r="AB224" s="197"/>
      <c r="AC224" s="190"/>
    </row>
    <row r="225" spans="1:29" ht="12.75" thickBot="1">
      <c r="A225" s="204"/>
      <c r="B225" s="97"/>
      <c r="C225" s="97"/>
      <c r="D225" s="97"/>
      <c r="E225" s="197"/>
      <c r="F225" s="190"/>
      <c r="G225" s="97"/>
      <c r="H225" s="97"/>
      <c r="I225" s="97"/>
      <c r="J225" s="97"/>
      <c r="K225" s="197"/>
      <c r="L225" s="204"/>
      <c r="M225" s="97"/>
      <c r="N225" s="97"/>
      <c r="O225" s="97"/>
      <c r="P225" s="197"/>
      <c r="Q225" s="190"/>
      <c r="R225" s="97"/>
      <c r="S225" s="97"/>
      <c r="T225" s="97"/>
      <c r="U225" s="97"/>
      <c r="V225" s="197"/>
      <c r="W225" s="190"/>
      <c r="X225" s="97"/>
      <c r="Y225" s="97"/>
      <c r="Z225" s="97"/>
      <c r="AA225" s="97"/>
      <c r="AB225" s="197"/>
      <c r="AC225" s="190"/>
    </row>
    <row r="226" spans="1:29" ht="36.75" thickBot="1">
      <c r="A226" s="535" t="s">
        <v>86</v>
      </c>
      <c r="B226" s="488" t="s">
        <v>150</v>
      </c>
      <c r="C226" s="97"/>
      <c r="D226" s="595" t="s">
        <v>151</v>
      </c>
      <c r="E226" s="595" t="s">
        <v>152</v>
      </c>
      <c r="F226" s="190"/>
      <c r="G226" s="572" t="s">
        <v>86</v>
      </c>
      <c r="H226" s="488" t="s">
        <v>150</v>
      </c>
      <c r="I226" s="97"/>
      <c r="J226" s="595" t="s">
        <v>151</v>
      </c>
      <c r="K226" s="1015" t="s">
        <v>152</v>
      </c>
      <c r="L226" s="535" t="s">
        <v>86</v>
      </c>
      <c r="M226" s="488" t="s">
        <v>150</v>
      </c>
      <c r="N226" s="97"/>
      <c r="O226" s="595" t="s">
        <v>151</v>
      </c>
      <c r="P226" s="595" t="s">
        <v>152</v>
      </c>
      <c r="Q226" s="190"/>
      <c r="R226" s="572" t="s">
        <v>86</v>
      </c>
      <c r="S226" s="488" t="s">
        <v>150</v>
      </c>
      <c r="T226" s="97"/>
      <c r="U226" s="595" t="s">
        <v>151</v>
      </c>
      <c r="V226" s="595" t="s">
        <v>152</v>
      </c>
      <c r="W226" s="190"/>
      <c r="X226" s="572" t="s">
        <v>86</v>
      </c>
      <c r="Y226" s="488" t="s">
        <v>150</v>
      </c>
      <c r="Z226" s="97"/>
      <c r="AA226" s="595" t="s">
        <v>151</v>
      </c>
      <c r="AB226" s="595" t="s">
        <v>152</v>
      </c>
      <c r="AC226" s="190"/>
    </row>
    <row r="227" spans="1:29" ht="15" thickBot="1">
      <c r="A227" s="616" t="s">
        <v>156</v>
      </c>
      <c r="B227" s="611">
        <f>E223/(B223+0.00000000001)</f>
        <v>0</v>
      </c>
      <c r="C227" s="97"/>
      <c r="D227" s="613">
        <v>0</v>
      </c>
      <c r="E227" s="613">
        <f>E223</f>
        <v>0</v>
      </c>
      <c r="F227" s="190"/>
      <c r="G227" s="621" t="s">
        <v>156</v>
      </c>
      <c r="H227" s="611">
        <f>K223/(H223+0.00000000001)</f>
        <v>0</v>
      </c>
      <c r="I227" s="97"/>
      <c r="J227" s="613">
        <v>0</v>
      </c>
      <c r="K227" s="1018">
        <f>K223</f>
        <v>0</v>
      </c>
      <c r="L227" s="616" t="s">
        <v>156</v>
      </c>
      <c r="M227" s="611">
        <f>P223/(M223+0.00000000001)</f>
        <v>0</v>
      </c>
      <c r="N227" s="97"/>
      <c r="O227" s="613">
        <v>0</v>
      </c>
      <c r="P227" s="613">
        <f>P223</f>
        <v>0</v>
      </c>
      <c r="Q227" s="190"/>
      <c r="R227" s="621" t="s">
        <v>156</v>
      </c>
      <c r="S227" s="611">
        <f>V223/(S223+0.00000000001)</f>
        <v>0</v>
      </c>
      <c r="T227" s="97"/>
      <c r="U227" s="613">
        <v>0</v>
      </c>
      <c r="V227" s="613">
        <f>V223</f>
        <v>0</v>
      </c>
      <c r="W227" s="190"/>
      <c r="X227" s="621" t="s">
        <v>156</v>
      </c>
      <c r="Y227" s="611">
        <f>AB223/(Y223+0.00000000001)</f>
        <v>0</v>
      </c>
      <c r="Z227" s="97"/>
      <c r="AA227" s="613">
        <v>0</v>
      </c>
      <c r="AB227" s="613">
        <f>AB223</f>
        <v>0</v>
      </c>
      <c r="AC227" s="190"/>
    </row>
    <row r="228" spans="1:29" ht="15" thickBot="1">
      <c r="A228" s="617" t="s">
        <v>154</v>
      </c>
      <c r="B228" s="612">
        <f>VLOOKUP(B227,D227:E228,2,TRUE)</f>
        <v>0</v>
      </c>
      <c r="C228" s="97"/>
      <c r="D228" s="613">
        <v>40000</v>
      </c>
      <c r="E228" s="613">
        <f>B223*D228</f>
        <v>0</v>
      </c>
      <c r="F228" s="190"/>
      <c r="G228" s="622" t="s">
        <v>154</v>
      </c>
      <c r="H228" s="612">
        <f>VLOOKUP(H227,J227:K228,2,TRUE)</f>
        <v>0</v>
      </c>
      <c r="I228" s="97"/>
      <c r="J228" s="613">
        <v>40000</v>
      </c>
      <c r="K228" s="1018">
        <f>H223*J228</f>
        <v>0</v>
      </c>
      <c r="L228" s="617" t="s">
        <v>154</v>
      </c>
      <c r="M228" s="612">
        <f>VLOOKUP(M227,O227:P228,2,TRUE)</f>
        <v>0</v>
      </c>
      <c r="N228" s="97"/>
      <c r="O228" s="613">
        <v>40000</v>
      </c>
      <c r="P228" s="613">
        <f>M223*O228</f>
        <v>0</v>
      </c>
      <c r="Q228" s="190"/>
      <c r="R228" s="622" t="s">
        <v>154</v>
      </c>
      <c r="S228" s="612">
        <f>VLOOKUP(S227,U227:V228,2,TRUE)</f>
        <v>0</v>
      </c>
      <c r="T228" s="97"/>
      <c r="U228" s="613">
        <v>40000</v>
      </c>
      <c r="V228" s="613">
        <f>S223*U228</f>
        <v>0</v>
      </c>
      <c r="W228" s="190"/>
      <c r="X228" s="622" t="s">
        <v>154</v>
      </c>
      <c r="Y228" s="612">
        <f>VLOOKUP(Y227,AA227:AB228,2,TRUE)</f>
        <v>0</v>
      </c>
      <c r="Z228" s="97"/>
      <c r="AA228" s="613">
        <v>40000</v>
      </c>
      <c r="AB228" s="613">
        <f>Y223*AA228</f>
        <v>0</v>
      </c>
      <c r="AC228" s="190"/>
    </row>
    <row r="229" spans="1:29" ht="12">
      <c r="A229" s="204"/>
      <c r="B229" s="97"/>
      <c r="C229" s="97"/>
      <c r="D229" s="97"/>
      <c r="E229" s="197"/>
      <c r="F229" s="190"/>
      <c r="G229" s="97"/>
      <c r="H229" s="97"/>
      <c r="I229" s="97"/>
      <c r="J229" s="97"/>
      <c r="K229" s="197"/>
      <c r="L229" s="204"/>
      <c r="M229" s="97"/>
      <c r="N229" s="97"/>
      <c r="O229" s="97"/>
      <c r="P229" s="197"/>
      <c r="Q229" s="190"/>
      <c r="R229" s="97"/>
      <c r="S229" s="97"/>
      <c r="T229" s="97"/>
      <c r="U229" s="97"/>
      <c r="V229" s="197"/>
      <c r="W229" s="190"/>
      <c r="X229" s="97"/>
      <c r="Y229" s="97"/>
      <c r="Z229" s="97"/>
      <c r="AA229" s="97"/>
      <c r="AB229" s="197"/>
      <c r="AC229" s="190"/>
    </row>
    <row r="230" spans="1:29" ht="12">
      <c r="A230" s="204"/>
      <c r="B230" s="97"/>
      <c r="C230" s="97"/>
      <c r="D230" s="97"/>
      <c r="E230" s="197"/>
      <c r="F230" s="190"/>
      <c r="G230" s="97"/>
      <c r="H230" s="97"/>
      <c r="I230" s="97"/>
      <c r="J230" s="97"/>
      <c r="K230" s="197"/>
      <c r="L230" s="204"/>
      <c r="M230" s="97"/>
      <c r="N230" s="97"/>
      <c r="O230" s="97"/>
      <c r="P230" s="197"/>
      <c r="Q230" s="190"/>
      <c r="R230" s="97"/>
      <c r="S230" s="97"/>
      <c r="T230" s="97"/>
      <c r="U230" s="97"/>
      <c r="V230" s="197"/>
      <c r="W230" s="190"/>
      <c r="X230" s="97"/>
      <c r="Y230" s="97"/>
      <c r="Z230" s="97"/>
      <c r="AA230" s="97"/>
      <c r="AB230" s="197"/>
      <c r="AC230" s="190"/>
    </row>
    <row r="231" spans="1:29" ht="12.75" thickBot="1">
      <c r="A231" s="211"/>
      <c r="B231" s="212"/>
      <c r="C231" s="212"/>
      <c r="D231" s="212"/>
      <c r="E231" s="231"/>
      <c r="F231" s="232"/>
      <c r="G231" s="212"/>
      <c r="H231" s="212"/>
      <c r="I231" s="212"/>
      <c r="J231" s="212"/>
      <c r="K231" s="231"/>
      <c r="L231" s="211"/>
      <c r="M231" s="212"/>
      <c r="N231" s="212"/>
      <c r="O231" s="212"/>
      <c r="P231" s="231"/>
      <c r="Q231" s="232"/>
      <c r="R231" s="212"/>
      <c r="S231" s="212"/>
      <c r="T231" s="212"/>
      <c r="U231" s="212"/>
      <c r="V231" s="231"/>
      <c r="W231" s="232"/>
      <c r="X231" s="212"/>
      <c r="Y231" s="212"/>
      <c r="Z231" s="212"/>
      <c r="AA231" s="212"/>
      <c r="AB231" s="231"/>
      <c r="AC231" s="232"/>
    </row>
    <row r="232" spans="1:28" ht="12">
      <c r="A232" s="204"/>
      <c r="B232" s="97"/>
      <c r="C232" s="97"/>
      <c r="D232" s="97"/>
      <c r="E232" s="197"/>
      <c r="F232" s="190"/>
      <c r="K232" s="219"/>
      <c r="L232" s="204"/>
      <c r="M232" s="97"/>
      <c r="N232" s="97"/>
      <c r="O232" s="97"/>
      <c r="P232" s="197"/>
      <c r="Q232" s="235"/>
      <c r="V232" s="219"/>
      <c r="W232" s="235"/>
      <c r="AB232" s="219"/>
    </row>
    <row r="233" spans="1:28" ht="12.75" thickBot="1">
      <c r="A233" s="204"/>
      <c r="B233" s="97"/>
      <c r="C233" s="97"/>
      <c r="D233" s="97"/>
      <c r="E233" s="197"/>
      <c r="F233" s="190"/>
      <c r="K233" s="219"/>
      <c r="L233" s="204"/>
      <c r="M233" s="97"/>
      <c r="N233" s="97"/>
      <c r="O233" s="97"/>
      <c r="P233" s="197"/>
      <c r="Q233" s="232"/>
      <c r="V233" s="219"/>
      <c r="W233" s="232"/>
      <c r="AB233" s="219"/>
    </row>
    <row r="234" spans="1:29" ht="24.75" customHeight="1" thickBot="1">
      <c r="A234" s="1073" t="s">
        <v>157</v>
      </c>
      <c r="B234" s="1074"/>
      <c r="C234" s="1074"/>
      <c r="D234" s="1074"/>
      <c r="E234" s="1074"/>
      <c r="F234" s="1075"/>
      <c r="G234" s="1074" t="s">
        <v>157</v>
      </c>
      <c r="H234" s="1074"/>
      <c r="I234" s="1074"/>
      <c r="J234" s="1074"/>
      <c r="K234" s="1074"/>
      <c r="L234" s="1073" t="s">
        <v>157</v>
      </c>
      <c r="M234" s="1074"/>
      <c r="N234" s="1074"/>
      <c r="O234" s="1074"/>
      <c r="P234" s="1074"/>
      <c r="Q234" s="1075"/>
      <c r="R234" s="1074" t="s">
        <v>157</v>
      </c>
      <c r="S234" s="1074"/>
      <c r="T234" s="1074"/>
      <c r="U234" s="1074"/>
      <c r="V234" s="1074"/>
      <c r="W234" s="1075"/>
      <c r="X234" s="1074" t="s">
        <v>157</v>
      </c>
      <c r="Y234" s="1074"/>
      <c r="Z234" s="1074"/>
      <c r="AA234" s="1074"/>
      <c r="AB234" s="1074"/>
      <c r="AC234" s="1075"/>
    </row>
    <row r="235" spans="1:29" ht="12.75" thickBot="1">
      <c r="A235" s="204"/>
      <c r="B235" s="97"/>
      <c r="C235" s="97"/>
      <c r="D235" s="97"/>
      <c r="E235" s="197"/>
      <c r="F235" s="190"/>
      <c r="G235" s="97"/>
      <c r="H235" s="97"/>
      <c r="I235" s="97"/>
      <c r="J235" s="97"/>
      <c r="K235" s="197"/>
      <c r="L235" s="204"/>
      <c r="M235" s="97"/>
      <c r="N235" s="97"/>
      <c r="O235" s="97"/>
      <c r="P235" s="197"/>
      <c r="Q235" s="190"/>
      <c r="R235" s="97"/>
      <c r="S235" s="97"/>
      <c r="T235" s="97"/>
      <c r="U235" s="97"/>
      <c r="V235" s="197"/>
      <c r="W235" s="190"/>
      <c r="X235" s="97"/>
      <c r="Y235" s="97"/>
      <c r="Z235" s="97"/>
      <c r="AA235" s="97"/>
      <c r="AB235" s="197"/>
      <c r="AC235" s="190"/>
    </row>
    <row r="236" spans="1:29" ht="12.75" thickBot="1">
      <c r="A236" s="1046" t="s">
        <v>468</v>
      </c>
      <c r="B236" s="1047"/>
      <c r="C236" s="623">
        <f>B198</f>
        <v>0</v>
      </c>
      <c r="D236" s="97"/>
      <c r="E236" s="197"/>
      <c r="F236" s="190"/>
      <c r="G236" s="1089" t="str">
        <f>$A$236</f>
        <v>Reimbursement for Special Education Teachers</v>
      </c>
      <c r="H236" s="1047"/>
      <c r="I236" s="623">
        <f>H198</f>
        <v>0</v>
      </c>
      <c r="J236" s="97"/>
      <c r="K236" s="197"/>
      <c r="L236" s="1046" t="str">
        <f>$A$236</f>
        <v>Reimbursement for Special Education Teachers</v>
      </c>
      <c r="M236" s="1047"/>
      <c r="N236" s="623">
        <f>M198</f>
        <v>0</v>
      </c>
      <c r="O236" s="97"/>
      <c r="P236" s="197"/>
      <c r="Q236" s="190"/>
      <c r="R236" s="1089" t="str">
        <f>$A$236</f>
        <v>Reimbursement for Special Education Teachers</v>
      </c>
      <c r="S236" s="1047"/>
      <c r="T236" s="623">
        <f>S198</f>
        <v>0</v>
      </c>
      <c r="U236" s="97"/>
      <c r="V236" s="197"/>
      <c r="W236" s="190"/>
      <c r="X236" s="1089" t="str">
        <f>$A$236</f>
        <v>Reimbursement for Special Education Teachers</v>
      </c>
      <c r="Y236" s="1047"/>
      <c r="Z236" s="623">
        <f>Y198</f>
        <v>0</v>
      </c>
      <c r="AA236" s="97"/>
      <c r="AB236" s="197"/>
      <c r="AC236" s="190"/>
    </row>
    <row r="237" spans="1:29" ht="12.75" thickBot="1">
      <c r="A237" s="1046" t="s">
        <v>469</v>
      </c>
      <c r="B237" s="1047"/>
      <c r="C237" s="623">
        <f>B214</f>
        <v>0</v>
      </c>
      <c r="D237" s="97"/>
      <c r="E237" s="197"/>
      <c r="F237" s="190"/>
      <c r="G237" s="1089" t="str">
        <f>$A$237</f>
        <v>Reimbursement for Special Education Clinicians </v>
      </c>
      <c r="H237" s="1047"/>
      <c r="I237" s="623">
        <f>H214</f>
        <v>0</v>
      </c>
      <c r="J237" s="97"/>
      <c r="K237" s="197"/>
      <c r="L237" s="1046" t="str">
        <f>$A$237</f>
        <v>Reimbursement for Special Education Clinicians </v>
      </c>
      <c r="M237" s="1047"/>
      <c r="N237" s="623">
        <f>M214</f>
        <v>0</v>
      </c>
      <c r="O237" s="97"/>
      <c r="P237" s="197"/>
      <c r="Q237" s="190"/>
      <c r="R237" s="1089" t="str">
        <f>$A$237</f>
        <v>Reimbursement for Special Education Clinicians </v>
      </c>
      <c r="S237" s="1047"/>
      <c r="T237" s="623">
        <f>S214</f>
        <v>0</v>
      </c>
      <c r="U237" s="97"/>
      <c r="V237" s="197"/>
      <c r="W237" s="190"/>
      <c r="X237" s="1089" t="str">
        <f>$A$237</f>
        <v>Reimbursement for Special Education Clinicians </v>
      </c>
      <c r="Y237" s="1047"/>
      <c r="Z237" s="623">
        <f>Y214</f>
        <v>0</v>
      </c>
      <c r="AA237" s="97"/>
      <c r="AB237" s="197"/>
      <c r="AC237" s="190"/>
    </row>
    <row r="238" spans="1:29" ht="13.5" customHeight="1" thickBot="1">
      <c r="A238" s="1046" t="s">
        <v>470</v>
      </c>
      <c r="B238" s="1047"/>
      <c r="C238" s="552">
        <f>B228</f>
        <v>0</v>
      </c>
      <c r="D238" s="97"/>
      <c r="E238" s="197"/>
      <c r="F238" s="190"/>
      <c r="G238" s="1094" t="str">
        <f>$A$238</f>
        <v>Reimbursement for Special Education Teacher Aides</v>
      </c>
      <c r="H238" s="1095"/>
      <c r="I238" s="552">
        <f>H228</f>
        <v>0</v>
      </c>
      <c r="J238" s="97"/>
      <c r="K238" s="197"/>
      <c r="L238" s="1097" t="str">
        <f>$A$238</f>
        <v>Reimbursement for Special Education Teacher Aides</v>
      </c>
      <c r="M238" s="1095"/>
      <c r="N238" s="552">
        <f>M228</f>
        <v>0</v>
      </c>
      <c r="O238" s="97"/>
      <c r="P238" s="197"/>
      <c r="Q238" s="190"/>
      <c r="R238" s="1094" t="str">
        <f>$A$238</f>
        <v>Reimbursement for Special Education Teacher Aides</v>
      </c>
      <c r="S238" s="1095"/>
      <c r="T238" s="552">
        <f>S228</f>
        <v>0</v>
      </c>
      <c r="U238" s="97"/>
      <c r="V238" s="197"/>
      <c r="W238" s="190"/>
      <c r="X238" s="1094" t="str">
        <f>$A$238</f>
        <v>Reimbursement for Special Education Teacher Aides</v>
      </c>
      <c r="Y238" s="1095"/>
      <c r="Z238" s="552">
        <f>Y228</f>
        <v>0</v>
      </c>
      <c r="AA238" s="97"/>
      <c r="AB238" s="197"/>
      <c r="AC238" s="190"/>
    </row>
    <row r="239" spans="1:29" ht="12.75" thickBot="1">
      <c r="A239" s="547" t="s">
        <v>158</v>
      </c>
      <c r="B239" s="624"/>
      <c r="C239" s="623">
        <f>SUM(C236:C238)</f>
        <v>0</v>
      </c>
      <c r="D239" s="97"/>
      <c r="E239" s="197"/>
      <c r="F239" s="190"/>
      <c r="G239" s="593" t="s">
        <v>158</v>
      </c>
      <c r="H239" s="624"/>
      <c r="I239" s="623">
        <f>SUM(I236:I238)</f>
        <v>0</v>
      </c>
      <c r="J239" s="97"/>
      <c r="K239" s="197"/>
      <c r="L239" s="547" t="s">
        <v>158</v>
      </c>
      <c r="M239" s="624"/>
      <c r="N239" s="623">
        <f>SUM(N236:N238)</f>
        <v>0</v>
      </c>
      <c r="O239" s="97"/>
      <c r="P239" s="197"/>
      <c r="Q239" s="190"/>
      <c r="R239" s="593" t="s">
        <v>158</v>
      </c>
      <c r="S239" s="624"/>
      <c r="T239" s="623">
        <f>SUM(T236:T238)</f>
        <v>0</v>
      </c>
      <c r="U239" s="97"/>
      <c r="V239" s="197"/>
      <c r="W239" s="190"/>
      <c r="X239" s="593" t="s">
        <v>158</v>
      </c>
      <c r="Y239" s="624"/>
      <c r="Z239" s="623">
        <f>SUM(Z236:Z238)</f>
        <v>0</v>
      </c>
      <c r="AA239" s="97"/>
      <c r="AB239" s="197"/>
      <c r="AC239" s="190"/>
    </row>
    <row r="240" spans="1:29" ht="12">
      <c r="A240" s="204"/>
      <c r="B240" s="97"/>
      <c r="C240" s="97"/>
      <c r="D240" s="97"/>
      <c r="E240" s="197"/>
      <c r="F240" s="190"/>
      <c r="G240" s="97"/>
      <c r="H240" s="97"/>
      <c r="I240" s="97"/>
      <c r="J240" s="97"/>
      <c r="K240" s="197"/>
      <c r="L240" s="204"/>
      <c r="M240" s="97"/>
      <c r="N240" s="97"/>
      <c r="O240" s="97"/>
      <c r="P240" s="197"/>
      <c r="Q240" s="190"/>
      <c r="R240" s="97"/>
      <c r="S240" s="97"/>
      <c r="T240" s="97"/>
      <c r="U240" s="97"/>
      <c r="V240" s="197"/>
      <c r="W240" s="190"/>
      <c r="X240" s="97"/>
      <c r="Y240" s="97"/>
      <c r="Z240" s="97"/>
      <c r="AA240" s="97"/>
      <c r="AB240" s="197"/>
      <c r="AC240" s="190"/>
    </row>
    <row r="241" spans="1:29" ht="12">
      <c r="A241" s="204"/>
      <c r="B241" s="97"/>
      <c r="C241" s="97"/>
      <c r="D241" s="97"/>
      <c r="E241" s="197"/>
      <c r="F241" s="190"/>
      <c r="G241" s="97"/>
      <c r="H241" s="97"/>
      <c r="I241" s="97"/>
      <c r="J241" s="97"/>
      <c r="K241" s="197"/>
      <c r="L241" s="204"/>
      <c r="M241" s="97"/>
      <c r="N241" s="97"/>
      <c r="O241" s="97"/>
      <c r="P241" s="197"/>
      <c r="Q241" s="190"/>
      <c r="R241" s="97"/>
      <c r="S241" s="97"/>
      <c r="T241" s="97"/>
      <c r="U241" s="97"/>
      <c r="V241" s="197"/>
      <c r="W241" s="190"/>
      <c r="X241" s="97"/>
      <c r="Y241" s="97"/>
      <c r="Z241" s="97"/>
      <c r="AA241" s="97"/>
      <c r="AB241" s="197"/>
      <c r="AC241" s="190"/>
    </row>
    <row r="242" spans="1:29" ht="12.75" thickBot="1">
      <c r="A242" s="211"/>
      <c r="B242" s="212"/>
      <c r="C242" s="212"/>
      <c r="D242" s="212"/>
      <c r="E242" s="231"/>
      <c r="F242" s="232"/>
      <c r="G242" s="212"/>
      <c r="H242" s="212"/>
      <c r="I242" s="212"/>
      <c r="J242" s="212"/>
      <c r="K242" s="231"/>
      <c r="L242" s="211"/>
      <c r="M242" s="212"/>
      <c r="N242" s="212"/>
      <c r="O242" s="212"/>
      <c r="P242" s="231"/>
      <c r="Q242" s="232"/>
      <c r="R242" s="212"/>
      <c r="S242" s="212"/>
      <c r="T242" s="212"/>
      <c r="U242" s="212"/>
      <c r="V242" s="231"/>
      <c r="W242" s="232"/>
      <c r="X242" s="212"/>
      <c r="Y242" s="212"/>
      <c r="Z242" s="212"/>
      <c r="AA242" s="212"/>
      <c r="AB242" s="231"/>
      <c r="AC242" s="232"/>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M101"/>
  <sheetViews>
    <sheetView workbookViewId="0" topLeftCell="A1">
      <selection activeCell="B1" sqref="B1"/>
    </sheetView>
  </sheetViews>
  <sheetFormatPr defaultColWidth="8.8515625" defaultRowHeight="12.75"/>
  <cols>
    <col min="1" max="1" width="4.421875" style="4" customWidth="1"/>
    <col min="2" max="2" width="112.00390625" style="0" bestFit="1" customWidth="1"/>
    <col min="3" max="3" width="14.140625" style="0" hidden="1" customWidth="1"/>
    <col min="4" max="4" width="1.421875" style="0" customWidth="1"/>
    <col min="5" max="5" width="13.7109375" style="219" customWidth="1"/>
    <col min="6" max="6" width="1.421875" style="219" customWidth="1"/>
    <col min="7" max="7" width="13.421875" style="219" customWidth="1"/>
    <col min="8" max="8" width="1.421875" style="219" customWidth="1"/>
    <col min="9" max="9" width="13.7109375" style="219" customWidth="1"/>
    <col min="10" max="10" width="1.421875" style="219" customWidth="1"/>
    <col min="11" max="11" width="13.8515625" style="219" customWidth="1"/>
    <col min="12" max="12" width="1.421875" style="219" customWidth="1"/>
    <col min="13" max="13" width="13.421875" style="219" customWidth="1"/>
  </cols>
  <sheetData>
    <row r="1" spans="2:13" ht="18" thickBot="1">
      <c r="B1" s="931" t="str">
        <f>'Budget with Assumptions'!A2</f>
        <v>STARS Project Engineering Academy Charter School</v>
      </c>
      <c r="D1" s="4"/>
      <c r="E1" s="218"/>
      <c r="F1" s="218"/>
      <c r="G1" s="218"/>
      <c r="H1" s="218"/>
      <c r="I1" s="218"/>
      <c r="J1" s="218"/>
      <c r="K1" s="218"/>
      <c r="L1" s="218"/>
      <c r="M1" s="218"/>
    </row>
    <row r="2" spans="2:13" ht="12">
      <c r="B2" s="7"/>
      <c r="D2" s="4"/>
      <c r="E2" s="218"/>
      <c r="F2" s="218"/>
      <c r="G2" s="218"/>
      <c r="H2" s="218"/>
      <c r="I2" s="218"/>
      <c r="J2" s="218"/>
      <c r="K2" s="218"/>
      <c r="L2" s="218"/>
      <c r="M2" s="218"/>
    </row>
    <row r="3" spans="1:13" s="471" customFormat="1" ht="16.5" customHeight="1" hidden="1" thickTop="1">
      <c r="A3" s="469"/>
      <c r="B3" s="1110" t="s">
        <v>421</v>
      </c>
      <c r="C3" s="469"/>
      <c r="D3" s="469"/>
      <c r="E3" s="1112"/>
      <c r="F3" s="470"/>
      <c r="G3" s="470"/>
      <c r="H3" s="470"/>
      <c r="I3" s="470"/>
      <c r="J3" s="470"/>
      <c r="K3" s="470"/>
      <c r="L3" s="470"/>
      <c r="M3" s="470"/>
    </row>
    <row r="4" spans="2:13" ht="12.75" hidden="1" thickBot="1">
      <c r="B4" s="1111"/>
      <c r="C4" s="4"/>
      <c r="D4" s="4"/>
      <c r="E4" s="1113"/>
      <c r="F4" s="218"/>
      <c r="G4" s="218"/>
      <c r="H4" s="218"/>
      <c r="I4" s="218"/>
      <c r="J4" s="218"/>
      <c r="K4" s="218"/>
      <c r="L4" s="218"/>
      <c r="M4" s="218"/>
    </row>
    <row r="5" spans="2:13" ht="12">
      <c r="B5" s="4"/>
      <c r="C5" s="4"/>
      <c r="D5" s="4"/>
      <c r="E5" s="218"/>
      <c r="F5" s="218"/>
      <c r="G5" s="218"/>
      <c r="H5" s="218"/>
      <c r="I5" s="218"/>
      <c r="J5" s="218"/>
      <c r="K5" s="218"/>
      <c r="L5" s="218"/>
      <c r="M5" s="218"/>
    </row>
    <row r="6" spans="2:13" ht="12.75" thickBot="1">
      <c r="B6" s="4"/>
      <c r="C6" s="108"/>
      <c r="D6" s="108"/>
      <c r="E6" s="108"/>
      <c r="F6" s="108"/>
      <c r="G6" s="108"/>
      <c r="H6" s="108"/>
      <c r="I6" s="108"/>
      <c r="J6" s="108"/>
      <c r="K6" s="108"/>
      <c r="L6" s="108"/>
      <c r="M6" s="108"/>
    </row>
    <row r="7" spans="2:13" ht="12.75" thickBot="1">
      <c r="B7" s="8"/>
      <c r="C7" s="4"/>
      <c r="D7" s="4"/>
      <c r="E7" s="1107" t="s">
        <v>168</v>
      </c>
      <c r="F7" s="1108"/>
      <c r="G7" s="1108"/>
      <c r="H7" s="1108"/>
      <c r="I7" s="1108"/>
      <c r="J7" s="1108"/>
      <c r="K7" s="1108"/>
      <c r="L7" s="1108"/>
      <c r="M7" s="1109"/>
    </row>
    <row r="8" spans="2:13" ht="15.75" thickBot="1">
      <c r="B8" s="382" t="s">
        <v>433</v>
      </c>
      <c r="C8" s="85" t="s">
        <v>40</v>
      </c>
      <c r="D8" s="102"/>
      <c r="E8" s="313">
        <f>'Budget with Assumptions'!L9</f>
        <v>2017</v>
      </c>
      <c r="F8" s="313"/>
      <c r="G8" s="313">
        <f>'Budget with Assumptions'!N9</f>
        <v>2018</v>
      </c>
      <c r="H8" s="313"/>
      <c r="I8" s="313">
        <f>'Budget with Assumptions'!P9</f>
        <v>2019</v>
      </c>
      <c r="J8" s="313"/>
      <c r="K8" s="313">
        <f>'Budget with Assumptions'!R9</f>
        <v>2020</v>
      </c>
      <c r="L8" s="313"/>
      <c r="M8" s="313">
        <f>'Budget with Assumptions'!T9</f>
        <v>2021</v>
      </c>
    </row>
    <row r="9" spans="2:13" ht="12">
      <c r="B9" s="389" t="s">
        <v>242</v>
      </c>
      <c r="C9" s="86"/>
      <c r="D9" s="374"/>
      <c r="E9" s="387">
        <f>E97</f>
        <v>160</v>
      </c>
      <c r="F9" s="376"/>
      <c r="G9" s="387">
        <f>G97</f>
        <v>320</v>
      </c>
      <c r="H9" s="375"/>
      <c r="I9" s="387">
        <f>I97</f>
        <v>480</v>
      </c>
      <c r="J9" s="375"/>
      <c r="K9" s="387">
        <f>K97</f>
        <v>640</v>
      </c>
      <c r="L9" s="375"/>
      <c r="M9" s="387">
        <f>M97</f>
        <v>640</v>
      </c>
    </row>
    <row r="10" spans="2:13" ht="12">
      <c r="B10" s="389" t="s">
        <v>243</v>
      </c>
      <c r="C10" s="86"/>
      <c r="D10" s="374"/>
      <c r="E10" s="985">
        <v>0.96</v>
      </c>
      <c r="F10" s="985"/>
      <c r="G10" s="985">
        <v>0.96</v>
      </c>
      <c r="H10" s="985"/>
      <c r="I10" s="985">
        <v>0.96</v>
      </c>
      <c r="J10" s="985"/>
      <c r="K10" s="985">
        <v>0.96</v>
      </c>
      <c r="L10" s="985"/>
      <c r="M10" s="985">
        <v>0.96</v>
      </c>
    </row>
    <row r="11" spans="2:13" ht="12">
      <c r="B11" s="389" t="s">
        <v>42</v>
      </c>
      <c r="C11" s="86"/>
      <c r="D11" s="86"/>
      <c r="E11" s="386">
        <f>ROUND(E9*E10,0)</f>
        <v>154</v>
      </c>
      <c r="F11" s="375"/>
      <c r="G11" s="386">
        <f>ROUND(G9*G10,0)</f>
        <v>307</v>
      </c>
      <c r="H11" s="375"/>
      <c r="I11" s="386">
        <f>ROUND(I9*I10,0)</f>
        <v>461</v>
      </c>
      <c r="J11" s="375"/>
      <c r="K11" s="386">
        <f>ROUND(K9*K10,0)</f>
        <v>614</v>
      </c>
      <c r="L11" s="375"/>
      <c r="M11" s="386">
        <f>ROUND(M9*M10,0)</f>
        <v>614</v>
      </c>
    </row>
    <row r="12" spans="2:13" ht="12.75" thickBot="1">
      <c r="B12" s="420" t="s">
        <v>43</v>
      </c>
      <c r="C12" s="88">
        <v>740</v>
      </c>
      <c r="D12" s="88"/>
      <c r="E12" s="384">
        <v>802</v>
      </c>
      <c r="F12" s="236"/>
      <c r="G12" s="384">
        <f>$E$12</f>
        <v>802</v>
      </c>
      <c r="H12" s="379"/>
      <c r="I12" s="384">
        <f>$E$12</f>
        <v>802</v>
      </c>
      <c r="J12" s="379"/>
      <c r="K12" s="384">
        <f>$E$12</f>
        <v>802</v>
      </c>
      <c r="L12" s="379"/>
      <c r="M12" s="384">
        <f>$E$12</f>
        <v>802</v>
      </c>
    </row>
    <row r="13" spans="2:13" ht="15.75" thickBot="1">
      <c r="B13" s="382" t="s">
        <v>44</v>
      </c>
      <c r="C13" s="89" t="e">
        <f>#REF!*C12</f>
        <v>#REF!</v>
      </c>
      <c r="D13" s="89"/>
      <c r="E13" s="388">
        <f>E11*E12</f>
        <v>123508</v>
      </c>
      <c r="F13" s="314"/>
      <c r="G13" s="388">
        <f>G11*G12</f>
        <v>246214</v>
      </c>
      <c r="H13" s="314"/>
      <c r="I13" s="388">
        <f>I11*I12</f>
        <v>369722</v>
      </c>
      <c r="J13" s="314"/>
      <c r="K13" s="388">
        <f>K11*K12</f>
        <v>492428</v>
      </c>
      <c r="L13" s="314"/>
      <c r="M13" s="388">
        <f>M11*M12</f>
        <v>492428</v>
      </c>
    </row>
    <row r="14" spans="1:13" s="335" customFormat="1" ht="15">
      <c r="A14" s="139"/>
      <c r="B14" s="684"/>
      <c r="C14" s="685"/>
      <c r="D14" s="685"/>
      <c r="E14" s="686"/>
      <c r="F14" s="686"/>
      <c r="G14" s="686"/>
      <c r="H14" s="686"/>
      <c r="I14" s="686"/>
      <c r="J14" s="686"/>
      <c r="K14" s="686"/>
      <c r="L14" s="686"/>
      <c r="M14" s="686"/>
    </row>
    <row r="15" spans="1:13" s="335" customFormat="1" ht="15.75" thickBot="1">
      <c r="A15" s="139"/>
      <c r="B15" s="684"/>
      <c r="C15" s="685"/>
      <c r="D15" s="685"/>
      <c r="E15" s="686"/>
      <c r="F15" s="686"/>
      <c r="G15" s="686"/>
      <c r="H15" s="686"/>
      <c r="I15" s="686"/>
      <c r="J15" s="686"/>
      <c r="K15" s="686"/>
      <c r="L15" s="686"/>
      <c r="M15" s="686"/>
    </row>
    <row r="16" spans="1:13" s="335" customFormat="1" ht="16.5" customHeight="1" thickBot="1">
      <c r="A16" s="139"/>
      <c r="B16" s="382" t="s">
        <v>434</v>
      </c>
      <c r="C16" s="685"/>
      <c r="D16" s="685"/>
      <c r="E16" s="687">
        <f>E8</f>
        <v>2017</v>
      </c>
      <c r="F16" s="688"/>
      <c r="G16" s="687">
        <f>G8</f>
        <v>2018</v>
      </c>
      <c r="H16" s="688"/>
      <c r="I16" s="687">
        <f>I8</f>
        <v>2019</v>
      </c>
      <c r="J16" s="688"/>
      <c r="K16" s="687">
        <f>K8</f>
        <v>2020</v>
      </c>
      <c r="L16" s="688"/>
      <c r="M16" s="687">
        <f>M8</f>
        <v>2021</v>
      </c>
    </row>
    <row r="17" spans="1:13" s="335" customFormat="1" ht="12.75" thickBot="1">
      <c r="A17" s="139"/>
      <c r="B17" s="640" t="s">
        <v>244</v>
      </c>
      <c r="C17" s="685"/>
      <c r="D17" s="685"/>
      <c r="E17" s="642">
        <f>E97</f>
        <v>160</v>
      </c>
      <c r="F17" s="849"/>
      <c r="G17" s="642">
        <f>G97</f>
        <v>320</v>
      </c>
      <c r="H17" s="849"/>
      <c r="I17" s="642">
        <f>I97</f>
        <v>480</v>
      </c>
      <c r="J17" s="849"/>
      <c r="K17" s="642">
        <f>K97</f>
        <v>640</v>
      </c>
      <c r="L17" s="849"/>
      <c r="M17" s="642">
        <f>M97</f>
        <v>640</v>
      </c>
    </row>
    <row r="18" spans="1:13" s="335" customFormat="1" ht="12.75" thickBot="1">
      <c r="A18" s="139"/>
      <c r="B18" s="641" t="s">
        <v>311</v>
      </c>
      <c r="C18" s="685"/>
      <c r="D18" s="685"/>
      <c r="E18" s="643">
        <f>E10</f>
        <v>0.96</v>
      </c>
      <c r="F18" s="849"/>
      <c r="G18" s="643">
        <f>G10</f>
        <v>0.96</v>
      </c>
      <c r="H18" s="849"/>
      <c r="I18" s="643">
        <f>I10</f>
        <v>0.96</v>
      </c>
      <c r="J18" s="849"/>
      <c r="K18" s="643">
        <f>K10</f>
        <v>0.96</v>
      </c>
      <c r="L18" s="849"/>
      <c r="M18" s="643">
        <f>M10</f>
        <v>0.96</v>
      </c>
    </row>
    <row r="19" spans="1:13" s="335" customFormat="1" ht="12.75" thickBot="1">
      <c r="A19" s="139"/>
      <c r="B19" s="641" t="s">
        <v>312</v>
      </c>
      <c r="C19" s="685"/>
      <c r="D19" s="685"/>
      <c r="E19" s="645">
        <f>E17*E18</f>
        <v>153.6</v>
      </c>
      <c r="F19" s="850"/>
      <c r="G19" s="645">
        <f>G17*G18</f>
        <v>307.2</v>
      </c>
      <c r="H19" s="850"/>
      <c r="I19" s="645">
        <f>I17*I18</f>
        <v>460.79999999999995</v>
      </c>
      <c r="J19" s="850"/>
      <c r="K19" s="645">
        <f>K17*K18</f>
        <v>614.4</v>
      </c>
      <c r="L19" s="850"/>
      <c r="M19" s="645">
        <f>M17*M18</f>
        <v>614.4</v>
      </c>
    </row>
    <row r="20" spans="1:13" s="335" customFormat="1" ht="12.75" thickBot="1">
      <c r="A20" s="139"/>
      <c r="B20" s="641" t="s">
        <v>310</v>
      </c>
      <c r="C20" s="685"/>
      <c r="D20" s="685"/>
      <c r="E20" s="645">
        <f>ROUND(E19*0.6,0)</f>
        <v>92</v>
      </c>
      <c r="F20" s="850">
        <f aca="true" t="shared" si="0" ref="F20:L20">F19*0.6</f>
        <v>0</v>
      </c>
      <c r="G20" s="645">
        <f>ROUND(G19*0.6,0)</f>
        <v>184</v>
      </c>
      <c r="H20" s="850">
        <f t="shared" si="0"/>
        <v>0</v>
      </c>
      <c r="I20" s="645">
        <f>ROUND(I19*0.6,0)</f>
        <v>276</v>
      </c>
      <c r="J20" s="850">
        <f t="shared" si="0"/>
        <v>0</v>
      </c>
      <c r="K20" s="645">
        <f>ROUND(K19*0.6,0)</f>
        <v>369</v>
      </c>
      <c r="L20" s="850">
        <f t="shared" si="0"/>
        <v>0</v>
      </c>
      <c r="M20" s="645">
        <f>ROUND(M19*0.6,0)</f>
        <v>369</v>
      </c>
    </row>
    <row r="21" spans="1:13" s="335" customFormat="1" ht="12.75" thickBot="1">
      <c r="A21" s="139"/>
      <c r="B21" s="641"/>
      <c r="C21" s="685"/>
      <c r="D21" s="685"/>
      <c r="E21" s="644"/>
      <c r="F21" s="849"/>
      <c r="G21" s="644"/>
      <c r="H21" s="849"/>
      <c r="I21" s="644"/>
      <c r="J21" s="849"/>
      <c r="K21" s="644"/>
      <c r="L21" s="849"/>
      <c r="M21" s="644"/>
    </row>
    <row r="22" spans="1:13" s="335" customFormat="1" ht="15" thickBot="1">
      <c r="A22" s="139"/>
      <c r="B22" s="641" t="s">
        <v>309</v>
      </c>
      <c r="C22" s="685"/>
      <c r="D22" s="685"/>
      <c r="E22" s="643">
        <f>E20/E17</f>
        <v>0.575</v>
      </c>
      <c r="F22" s="851"/>
      <c r="G22" s="643">
        <f>G20/G17</f>
        <v>0.575</v>
      </c>
      <c r="H22" s="851"/>
      <c r="I22" s="643">
        <f>I20/I17</f>
        <v>0.575</v>
      </c>
      <c r="J22" s="851"/>
      <c r="K22" s="643">
        <f>K20/K17</f>
        <v>0.5765625</v>
      </c>
      <c r="L22" s="851"/>
      <c r="M22" s="643">
        <f>M20/M17</f>
        <v>0.5765625</v>
      </c>
    </row>
    <row r="23" spans="1:13" s="335" customFormat="1" ht="12.75" thickBot="1">
      <c r="A23" s="139"/>
      <c r="B23" s="641" t="s">
        <v>493</v>
      </c>
      <c r="C23" s="685"/>
      <c r="D23" s="685"/>
      <c r="E23" s="646">
        <f>IF(100*E22&gt;40,((ROUND((E22*100),0)-40)*23)+430,0)</f>
        <v>844</v>
      </c>
      <c r="F23" s="852"/>
      <c r="G23" s="646">
        <f>IF(100*G22&gt;40,((ROUND((G22*100),0)-40)*23)+430,0)</f>
        <v>844</v>
      </c>
      <c r="H23" s="852"/>
      <c r="I23" s="646">
        <f>IF(100*I22&gt;40,((ROUND((I22*100),0)-40)*23)+430,0)</f>
        <v>844</v>
      </c>
      <c r="J23" s="853"/>
      <c r="K23" s="646">
        <f>IF(100*K22&gt;40,((ROUND((K22*100),0)-40)*23)+430,0)</f>
        <v>844</v>
      </c>
      <c r="L23" s="852"/>
      <c r="M23" s="646">
        <f>IF(100*M22&gt;40,((ROUND((M22*100),0)-40)*23)+430,0)</f>
        <v>844</v>
      </c>
    </row>
    <row r="24" spans="1:13" s="335" customFormat="1" ht="12.75" thickBot="1">
      <c r="A24" s="139"/>
      <c r="B24" s="641" t="s">
        <v>313</v>
      </c>
      <c r="C24" s="685"/>
      <c r="D24" s="685"/>
      <c r="E24" s="647">
        <f>E23*E20</f>
        <v>77648</v>
      </c>
      <c r="F24" s="468"/>
      <c r="G24" s="647">
        <f>G23*G20</f>
        <v>155296</v>
      </c>
      <c r="H24" s="468"/>
      <c r="I24" s="647">
        <f>I23*I20</f>
        <v>232944</v>
      </c>
      <c r="J24" s="648"/>
      <c r="K24" s="647">
        <f>K23*K20</f>
        <v>311436</v>
      </c>
      <c r="L24" s="468"/>
      <c r="M24" s="647">
        <f>M23*M20</f>
        <v>311436</v>
      </c>
    </row>
    <row r="25" spans="1:13" s="335" customFormat="1" ht="13.5" customHeight="1">
      <c r="A25" s="139"/>
      <c r="B25" s="684"/>
      <c r="C25" s="685"/>
      <c r="D25" s="685"/>
      <c r="E25" s="686"/>
      <c r="F25" s="686"/>
      <c r="G25" s="686"/>
      <c r="H25" s="686"/>
      <c r="I25" s="686"/>
      <c r="J25" s="686"/>
      <c r="K25" s="686"/>
      <c r="L25" s="686"/>
      <c r="M25" s="686"/>
    </row>
    <row r="26" spans="1:13" s="335" customFormat="1" ht="13.5" customHeight="1" thickBot="1">
      <c r="A26" s="139"/>
      <c r="B26" s="684"/>
      <c r="C26" s="685"/>
      <c r="D26" s="685"/>
      <c r="E26" s="686"/>
      <c r="F26" s="686"/>
      <c r="G26" s="686"/>
      <c r="H26" s="686"/>
      <c r="I26" s="686"/>
      <c r="J26" s="686"/>
      <c r="K26" s="686"/>
      <c r="L26" s="686"/>
      <c r="M26" s="686"/>
    </row>
    <row r="27" spans="1:13" s="335" customFormat="1" ht="16.5" customHeight="1" thickBot="1">
      <c r="A27" s="139"/>
      <c r="B27" s="382" t="s">
        <v>435</v>
      </c>
      <c r="C27" s="685"/>
      <c r="D27" s="85"/>
      <c r="E27" s="313">
        <f>$E$8</f>
        <v>2017</v>
      </c>
      <c r="F27" s="313"/>
      <c r="G27" s="313">
        <f>$G$8</f>
        <v>2018</v>
      </c>
      <c r="H27" s="313"/>
      <c r="I27" s="313">
        <f>$I$8</f>
        <v>2019</v>
      </c>
      <c r="J27" s="313"/>
      <c r="K27" s="313">
        <f>$K$8</f>
        <v>2020</v>
      </c>
      <c r="L27" s="313"/>
      <c r="M27" s="313">
        <f>$M$8</f>
        <v>2021</v>
      </c>
    </row>
    <row r="28" spans="1:13" s="335" customFormat="1" ht="13.5" customHeight="1">
      <c r="A28" s="139"/>
      <c r="B28" s="389" t="s">
        <v>39</v>
      </c>
      <c r="C28" s="685"/>
      <c r="D28" s="105"/>
      <c r="E28" s="854">
        <f>E97</f>
        <v>160</v>
      </c>
      <c r="F28" s="855"/>
      <c r="G28" s="854">
        <f>G97</f>
        <v>320</v>
      </c>
      <c r="H28" s="855"/>
      <c r="I28" s="854">
        <f>I97</f>
        <v>480</v>
      </c>
      <c r="J28" s="855"/>
      <c r="K28" s="854">
        <f>K97</f>
        <v>640</v>
      </c>
      <c r="L28" s="855"/>
      <c r="M28" s="854">
        <f>M97</f>
        <v>640</v>
      </c>
    </row>
    <row r="29" spans="1:13" s="335" customFormat="1" ht="13.5" customHeight="1" thickBot="1">
      <c r="A29" s="139"/>
      <c r="B29" s="420" t="s">
        <v>56</v>
      </c>
      <c r="C29" s="685"/>
      <c r="D29" s="88"/>
      <c r="E29" s="384">
        <v>64</v>
      </c>
      <c r="F29" s="379"/>
      <c r="G29" s="384">
        <f>$E$29</f>
        <v>64</v>
      </c>
      <c r="H29" s="379"/>
      <c r="I29" s="384">
        <f>$E$29</f>
        <v>64</v>
      </c>
      <c r="J29" s="379"/>
      <c r="K29" s="384">
        <f>$E$29</f>
        <v>64</v>
      </c>
      <c r="L29" s="379"/>
      <c r="M29" s="384">
        <f>$E$29</f>
        <v>64</v>
      </c>
    </row>
    <row r="30" spans="1:13" s="335" customFormat="1" ht="15" customHeight="1" thickBot="1">
      <c r="A30" s="139"/>
      <c r="B30" s="382" t="s">
        <v>57</v>
      </c>
      <c r="C30" s="685"/>
      <c r="D30" s="89"/>
      <c r="E30" s="388">
        <f>E28*E29</f>
        <v>10240</v>
      </c>
      <c r="F30" s="314"/>
      <c r="G30" s="388">
        <f>G28*G29</f>
        <v>20480</v>
      </c>
      <c r="H30" s="314"/>
      <c r="I30" s="388">
        <f>I28*I29</f>
        <v>30720</v>
      </c>
      <c r="J30" s="314"/>
      <c r="K30" s="388">
        <f>K28*K29</f>
        <v>40960</v>
      </c>
      <c r="L30" s="314"/>
      <c r="M30" s="388">
        <f>M28*M29</f>
        <v>40960</v>
      </c>
    </row>
    <row r="31" spans="1:13" s="335" customFormat="1" ht="13.5" customHeight="1">
      <c r="A31" s="139"/>
      <c r="B31" s="684"/>
      <c r="C31" s="685"/>
      <c r="D31" s="685"/>
      <c r="E31" s="686"/>
      <c r="F31" s="686"/>
      <c r="G31" s="686"/>
      <c r="H31" s="686"/>
      <c r="I31" s="686"/>
      <c r="J31" s="686"/>
      <c r="K31" s="686"/>
      <c r="L31" s="686"/>
      <c r="M31" s="686"/>
    </row>
    <row r="32" spans="1:13" s="335" customFormat="1" ht="13.5" customHeight="1" thickBot="1">
      <c r="A32" s="139"/>
      <c r="B32" s="684"/>
      <c r="C32" s="685"/>
      <c r="D32" s="685"/>
      <c r="E32" s="686"/>
      <c r="F32" s="686"/>
      <c r="G32" s="686"/>
      <c r="H32" s="686"/>
      <c r="I32" s="686"/>
      <c r="J32" s="686"/>
      <c r="K32" s="686"/>
      <c r="L32" s="686"/>
      <c r="M32" s="686"/>
    </row>
    <row r="33" spans="2:13" ht="15.75" thickBot="1">
      <c r="B33" s="382" t="s">
        <v>422</v>
      </c>
      <c r="C33" s="85" t="s">
        <v>40</v>
      </c>
      <c r="D33" s="85"/>
      <c r="E33" s="313">
        <f>$E$8</f>
        <v>2017</v>
      </c>
      <c r="F33" s="313"/>
      <c r="G33" s="313">
        <f>$G$8</f>
        <v>2018</v>
      </c>
      <c r="H33" s="313"/>
      <c r="I33" s="313">
        <f>$I$8</f>
        <v>2019</v>
      </c>
      <c r="J33" s="313"/>
      <c r="K33" s="313">
        <f>$K$8</f>
        <v>2020</v>
      </c>
      <c r="L33" s="313"/>
      <c r="M33" s="313">
        <f>$M$8</f>
        <v>2021</v>
      </c>
    </row>
    <row r="34" spans="2:13" ht="12">
      <c r="B34" s="389" t="s">
        <v>45</v>
      </c>
      <c r="C34" s="90"/>
      <c r="D34" s="90"/>
      <c r="E34" s="639">
        <f>E85</f>
        <v>0</v>
      </c>
      <c r="F34" s="378"/>
      <c r="G34" s="639">
        <f>IF(G86="Yes",IF((G85-E85)&lt;0,0,G85-E85),0)</f>
        <v>0</v>
      </c>
      <c r="H34" s="378"/>
      <c r="I34" s="639">
        <f>IF(I86="Yes",IF((I85-G85)&lt;0,0,I85-G85),0)</f>
        <v>0</v>
      </c>
      <c r="J34" s="378"/>
      <c r="K34" s="639">
        <f>IF(K86="Yes",IF((K85-I85)&lt;0,0,K85-I85),0)</f>
        <v>0</v>
      </c>
      <c r="L34" s="378"/>
      <c r="M34" s="639">
        <f>IF(M86="Yes",IF((M85-K85)&lt;0,0,M85-K85),0)</f>
        <v>0</v>
      </c>
    </row>
    <row r="35" spans="2:13" ht="12.75" thickBot="1">
      <c r="B35" s="420" t="s">
        <v>46</v>
      </c>
      <c r="C35" s="91">
        <f>800*0.95</f>
        <v>760</v>
      </c>
      <c r="D35" s="91"/>
      <c r="E35" s="384">
        <f>$C$35</f>
        <v>760</v>
      </c>
      <c r="F35" s="379"/>
      <c r="G35" s="384">
        <f aca="true" t="shared" si="1" ref="G35:M35">$C$35</f>
        <v>760</v>
      </c>
      <c r="H35" s="379"/>
      <c r="I35" s="384">
        <f t="shared" si="1"/>
        <v>760</v>
      </c>
      <c r="J35" s="379"/>
      <c r="K35" s="384">
        <f t="shared" si="1"/>
        <v>760</v>
      </c>
      <c r="L35" s="379"/>
      <c r="M35" s="384">
        <f t="shared" si="1"/>
        <v>760</v>
      </c>
    </row>
    <row r="36" spans="2:13" ht="12.75" thickBot="1">
      <c r="B36" s="315" t="s">
        <v>423</v>
      </c>
      <c r="C36" s="89">
        <f>C34*C35</f>
        <v>0</v>
      </c>
      <c r="D36" s="89"/>
      <c r="E36" s="388">
        <f aca="true" t="shared" si="2" ref="E36:M36">E34*E35</f>
        <v>0</v>
      </c>
      <c r="F36" s="314"/>
      <c r="G36" s="388">
        <f t="shared" si="2"/>
        <v>0</v>
      </c>
      <c r="H36" s="314"/>
      <c r="I36" s="388">
        <f t="shared" si="2"/>
        <v>0</v>
      </c>
      <c r="J36" s="314"/>
      <c r="K36" s="388">
        <f t="shared" si="2"/>
        <v>0</v>
      </c>
      <c r="L36" s="314"/>
      <c r="M36" s="388">
        <f t="shared" si="2"/>
        <v>0</v>
      </c>
    </row>
    <row r="37" spans="2:13" ht="12.75" thickBot="1">
      <c r="B37" s="271"/>
      <c r="C37" s="87"/>
      <c r="D37" s="106"/>
      <c r="E37" s="377"/>
      <c r="F37" s="377"/>
      <c r="G37" s="377"/>
      <c r="H37" s="377"/>
      <c r="I37" s="377"/>
      <c r="J37" s="377"/>
      <c r="K37" s="377"/>
      <c r="L37" s="377"/>
      <c r="M37" s="377"/>
    </row>
    <row r="38" spans="2:13" ht="15.75" thickBot="1">
      <c r="B38" s="382" t="s">
        <v>47</v>
      </c>
      <c r="C38" s="87"/>
      <c r="D38" s="106"/>
      <c r="E38" s="377"/>
      <c r="F38" s="377"/>
      <c r="G38" s="377"/>
      <c r="H38" s="377"/>
      <c r="I38" s="377"/>
      <c r="J38" s="377"/>
      <c r="K38" s="377"/>
      <c r="L38" s="377"/>
      <c r="M38" s="377"/>
    </row>
    <row r="39" spans="2:13" ht="12">
      <c r="B39" s="389" t="s">
        <v>45</v>
      </c>
      <c r="C39" s="90"/>
      <c r="D39" s="90"/>
      <c r="E39" s="639">
        <f>$E$94</f>
        <v>160</v>
      </c>
      <c r="F39" s="378"/>
      <c r="G39" s="639">
        <f>IF(G95="Yes",IF((G94-E94)&lt;0,0,G94-E94),0)</f>
        <v>160</v>
      </c>
      <c r="H39" s="378"/>
      <c r="I39" s="639">
        <f>IF(I95="Yes",IF((I94-G94)&lt;0,0,I94-G94),0)</f>
        <v>160</v>
      </c>
      <c r="J39" s="378"/>
      <c r="K39" s="639">
        <f>IF(K95="Yes",IF((K94-I94)&lt;0,0,K94-I94),0)</f>
        <v>160</v>
      </c>
      <c r="L39" s="378"/>
      <c r="M39" s="639">
        <f>IF(M95="Yes",IF((M94-K94)&lt;0,0,M94-K94),0)</f>
        <v>0</v>
      </c>
    </row>
    <row r="40" spans="2:13" ht="12.75" thickBot="1">
      <c r="B40" s="420" t="s">
        <v>46</v>
      </c>
      <c r="C40" s="91">
        <f>1000*0.95</f>
        <v>950</v>
      </c>
      <c r="D40" s="91"/>
      <c r="E40" s="384">
        <f>$C$40</f>
        <v>950</v>
      </c>
      <c r="F40" s="379"/>
      <c r="G40" s="384">
        <f aca="true" t="shared" si="3" ref="G40:M40">$C$40</f>
        <v>950</v>
      </c>
      <c r="H40" s="379"/>
      <c r="I40" s="384">
        <f t="shared" si="3"/>
        <v>950</v>
      </c>
      <c r="J40" s="379"/>
      <c r="K40" s="384">
        <f t="shared" si="3"/>
        <v>950</v>
      </c>
      <c r="L40" s="379"/>
      <c r="M40" s="384">
        <f t="shared" si="3"/>
        <v>950</v>
      </c>
    </row>
    <row r="41" spans="2:13" ht="12.75" thickBot="1">
      <c r="B41" s="315" t="s">
        <v>48</v>
      </c>
      <c r="C41" s="89">
        <f>C39*C40</f>
        <v>0</v>
      </c>
      <c r="D41" s="89"/>
      <c r="E41" s="388">
        <f>E39*E40</f>
        <v>152000</v>
      </c>
      <c r="F41" s="314"/>
      <c r="G41" s="388">
        <f>G39*G40</f>
        <v>152000</v>
      </c>
      <c r="H41" s="314"/>
      <c r="I41" s="388">
        <f>I39*I40</f>
        <v>152000</v>
      </c>
      <c r="J41" s="314"/>
      <c r="K41" s="388">
        <f>K39*K40</f>
        <v>152000</v>
      </c>
      <c r="L41" s="314"/>
      <c r="M41" s="388">
        <f>M39*M40</f>
        <v>0</v>
      </c>
    </row>
    <row r="42" spans="2:13" ht="12.75" thickBot="1">
      <c r="B42" s="126"/>
      <c r="C42" s="4"/>
      <c r="D42" s="4"/>
      <c r="E42" s="218"/>
      <c r="F42" s="218"/>
      <c r="G42" s="218"/>
      <c r="H42" s="218"/>
      <c r="I42" s="218"/>
      <c r="J42" s="218"/>
      <c r="K42" s="218"/>
      <c r="L42" s="218"/>
      <c r="M42" s="218"/>
    </row>
    <row r="43" spans="2:13" ht="15.75" thickBot="1">
      <c r="B43" s="382" t="s">
        <v>49</v>
      </c>
      <c r="C43" s="89">
        <f>C36+C41</f>
        <v>0</v>
      </c>
      <c r="D43" s="89"/>
      <c r="E43" s="388">
        <f aca="true" t="shared" si="4" ref="E43:M43">E36+E41</f>
        <v>152000</v>
      </c>
      <c r="F43" s="314"/>
      <c r="G43" s="388">
        <f t="shared" si="4"/>
        <v>152000</v>
      </c>
      <c r="H43" s="314"/>
      <c r="I43" s="388">
        <f t="shared" si="4"/>
        <v>152000</v>
      </c>
      <c r="J43" s="314"/>
      <c r="K43" s="388">
        <f t="shared" si="4"/>
        <v>152000</v>
      </c>
      <c r="L43" s="314"/>
      <c r="M43" s="388">
        <f t="shared" si="4"/>
        <v>0</v>
      </c>
    </row>
    <row r="44" spans="2:13" ht="12">
      <c r="B44" s="4"/>
      <c r="C44" s="4"/>
      <c r="D44" s="4"/>
      <c r="E44" s="218"/>
      <c r="F44" s="218"/>
      <c r="G44" s="218"/>
      <c r="H44" s="218"/>
      <c r="I44" s="218"/>
      <c r="J44" s="218"/>
      <c r="K44" s="218"/>
      <c r="L44" s="218"/>
      <c r="M44" s="218"/>
    </row>
    <row r="45" spans="2:13" ht="12.75" thickBot="1">
      <c r="B45" s="4"/>
      <c r="C45" s="4"/>
      <c r="D45" s="4"/>
      <c r="E45" s="218"/>
      <c r="F45" s="218"/>
      <c r="G45" s="218"/>
      <c r="H45" s="218"/>
      <c r="I45" s="218"/>
      <c r="J45" s="218"/>
      <c r="K45" s="218"/>
      <c r="L45" s="218"/>
      <c r="M45" s="218"/>
    </row>
    <row r="46" spans="2:13" ht="15.75" thickBot="1">
      <c r="B46" s="383" t="s">
        <v>1</v>
      </c>
      <c r="C46" s="100">
        <f>IF(OR($C$5="Grade Expansion",$C$5="Charter Conversion"),"Prior Fiscal Year",IF($C$4="2012 (FY13)","FY12 
Incubation",IF($C$4="2013 (FY14)","FY13 
Incubation",0)))</f>
        <v>0</v>
      </c>
      <c r="D46" s="102"/>
      <c r="E46" s="313">
        <f>$E$8</f>
        <v>2017</v>
      </c>
      <c r="F46" s="313"/>
      <c r="G46" s="313">
        <f>$G$8</f>
        <v>2018</v>
      </c>
      <c r="H46" s="313"/>
      <c r="I46" s="313">
        <f>$I$8</f>
        <v>2019</v>
      </c>
      <c r="J46" s="313"/>
      <c r="K46" s="313">
        <f>$K$8</f>
        <v>2020</v>
      </c>
      <c r="L46" s="313"/>
      <c r="M46" s="313">
        <f>$M$8</f>
        <v>2021</v>
      </c>
    </row>
    <row r="47" spans="2:13" ht="12">
      <c r="B47" s="391" t="s">
        <v>271</v>
      </c>
      <c r="C47" s="101"/>
      <c r="D47" s="103"/>
      <c r="E47" s="856"/>
      <c r="F47" s="857"/>
      <c r="G47" s="857"/>
      <c r="H47" s="857"/>
      <c r="I47" s="857"/>
      <c r="J47" s="857"/>
      <c r="K47" s="857"/>
      <c r="L47" s="857"/>
      <c r="M47" s="867" t="s">
        <v>204</v>
      </c>
    </row>
    <row r="48" spans="2:13" ht="12">
      <c r="B48" s="391" t="s">
        <v>272</v>
      </c>
      <c r="C48" s="101"/>
      <c r="D48" s="103"/>
      <c r="E48" s="857"/>
      <c r="F48" s="857"/>
      <c r="G48" s="857"/>
      <c r="H48" s="857"/>
      <c r="I48" s="857"/>
      <c r="J48" s="857"/>
      <c r="K48" s="857"/>
      <c r="L48" s="857"/>
      <c r="M48" s="867" t="s">
        <v>204</v>
      </c>
    </row>
    <row r="49" spans="2:13" ht="12">
      <c r="B49" s="391" t="s">
        <v>2</v>
      </c>
      <c r="C49" s="101"/>
      <c r="D49" s="103"/>
      <c r="E49" s="857">
        <v>32</v>
      </c>
      <c r="F49" s="857"/>
      <c r="G49" s="857">
        <v>64</v>
      </c>
      <c r="H49" s="857"/>
      <c r="I49" s="857">
        <v>96</v>
      </c>
      <c r="J49" s="857"/>
      <c r="K49" s="857">
        <v>128</v>
      </c>
      <c r="L49" s="857"/>
      <c r="M49" s="867" t="s">
        <v>204</v>
      </c>
    </row>
    <row r="50" spans="2:13" ht="12">
      <c r="B50" s="391" t="s">
        <v>3</v>
      </c>
      <c r="C50" s="101"/>
      <c r="D50" s="103"/>
      <c r="E50" s="857"/>
      <c r="F50" s="857"/>
      <c r="G50" s="857"/>
      <c r="H50" s="857"/>
      <c r="I50" s="857"/>
      <c r="J50" s="857"/>
      <c r="K50" s="857"/>
      <c r="L50" s="857"/>
      <c r="M50" s="867" t="s">
        <v>204</v>
      </c>
    </row>
    <row r="51" spans="2:13" ht="12.75" thickBot="1">
      <c r="B51" s="426"/>
      <c r="C51" s="101"/>
      <c r="D51" s="425"/>
      <c r="E51" s="428"/>
      <c r="F51" s="428"/>
      <c r="G51" s="428"/>
      <c r="H51" s="428"/>
      <c r="I51" s="428"/>
      <c r="J51" s="428"/>
      <c r="K51" s="428"/>
      <c r="L51" s="428"/>
      <c r="M51" s="428"/>
    </row>
    <row r="52" spans="2:13" ht="12.75" thickBot="1">
      <c r="B52" s="429" t="s">
        <v>268</v>
      </c>
      <c r="C52" s="107"/>
      <c r="D52" s="94"/>
      <c r="E52" s="380"/>
      <c r="F52" s="380"/>
      <c r="G52" s="380"/>
      <c r="H52" s="380"/>
      <c r="I52" s="380"/>
      <c r="J52" s="381"/>
      <c r="K52" s="381"/>
      <c r="L52" s="218"/>
      <c r="M52" s="218"/>
    </row>
    <row r="53" spans="2:13" ht="12">
      <c r="B53" s="390" t="s">
        <v>273</v>
      </c>
      <c r="D53" s="103"/>
      <c r="E53" s="858">
        <v>0</v>
      </c>
      <c r="F53" s="859"/>
      <c r="G53" s="858">
        <v>142</v>
      </c>
      <c r="H53" s="859"/>
      <c r="I53" s="858">
        <f>$G$53</f>
        <v>142</v>
      </c>
      <c r="J53" s="859"/>
      <c r="K53" s="858">
        <f>$G$53</f>
        <v>142</v>
      </c>
      <c r="L53" s="859"/>
      <c r="M53" s="858">
        <f>$G$53</f>
        <v>142</v>
      </c>
    </row>
    <row r="54" spans="2:13" ht="12">
      <c r="B54" s="391" t="s">
        <v>274</v>
      </c>
      <c r="D54" s="103"/>
      <c r="E54" s="858">
        <v>0</v>
      </c>
      <c r="F54" s="859"/>
      <c r="G54" s="858">
        <v>284</v>
      </c>
      <c r="H54" s="859"/>
      <c r="I54" s="858">
        <f>$G$54</f>
        <v>284</v>
      </c>
      <c r="J54" s="859"/>
      <c r="K54" s="858">
        <f>$G$54</f>
        <v>284</v>
      </c>
      <c r="L54" s="859"/>
      <c r="M54" s="858">
        <f>$G$54</f>
        <v>284</v>
      </c>
    </row>
    <row r="55" spans="2:13" ht="12">
      <c r="B55" s="391" t="s">
        <v>4</v>
      </c>
      <c r="D55" s="103"/>
      <c r="E55" s="858">
        <v>0</v>
      </c>
      <c r="F55" s="859"/>
      <c r="G55" s="858">
        <v>165</v>
      </c>
      <c r="H55" s="859"/>
      <c r="I55" s="858">
        <f>$G$55</f>
        <v>165</v>
      </c>
      <c r="J55" s="859"/>
      <c r="K55" s="858">
        <f>$G$55</f>
        <v>165</v>
      </c>
      <c r="L55" s="859"/>
      <c r="M55" s="858">
        <f>$G$55</f>
        <v>165</v>
      </c>
    </row>
    <row r="56" spans="2:13" ht="12">
      <c r="B56" s="391" t="s">
        <v>63</v>
      </c>
      <c r="D56" s="103"/>
      <c r="E56" s="858">
        <v>0</v>
      </c>
      <c r="F56" s="859"/>
      <c r="G56" s="858">
        <v>330</v>
      </c>
      <c r="H56" s="859"/>
      <c r="I56" s="858">
        <f>$G$56</f>
        <v>330</v>
      </c>
      <c r="J56" s="859"/>
      <c r="K56" s="858">
        <f>$G$56</f>
        <v>330</v>
      </c>
      <c r="L56" s="859"/>
      <c r="M56" s="858">
        <f>$G$56</f>
        <v>330</v>
      </c>
    </row>
    <row r="57" spans="1:13" s="335" customFormat="1" ht="12.75" thickBot="1">
      <c r="A57" s="139"/>
      <c r="B57" s="426"/>
      <c r="D57" s="427"/>
      <c r="E57" s="860"/>
      <c r="F57" s="861"/>
      <c r="G57" s="860"/>
      <c r="H57" s="861"/>
      <c r="I57" s="860"/>
      <c r="J57" s="861"/>
      <c r="K57" s="860"/>
      <c r="L57" s="861"/>
      <c r="M57" s="860"/>
    </row>
    <row r="58" spans="1:13" s="335" customFormat="1" ht="12.75" thickBot="1">
      <c r="A58" s="139"/>
      <c r="B58" s="429" t="s">
        <v>269</v>
      </c>
      <c r="D58" s="427"/>
      <c r="E58" s="860"/>
      <c r="F58" s="861"/>
      <c r="G58" s="860"/>
      <c r="H58" s="861"/>
      <c r="I58" s="860"/>
      <c r="J58" s="861"/>
      <c r="K58" s="860"/>
      <c r="L58" s="861"/>
      <c r="M58" s="860"/>
    </row>
    <row r="59" spans="2:13" ht="12">
      <c r="B59" s="390" t="s">
        <v>273</v>
      </c>
      <c r="D59" s="103"/>
      <c r="E59" s="858">
        <v>0</v>
      </c>
      <c r="F59" s="859"/>
      <c r="G59" s="858">
        <v>75</v>
      </c>
      <c r="H59" s="859"/>
      <c r="I59" s="858">
        <f>$G$59</f>
        <v>75</v>
      </c>
      <c r="J59" s="859"/>
      <c r="K59" s="858">
        <f>$G$59</f>
        <v>75</v>
      </c>
      <c r="L59" s="859"/>
      <c r="M59" s="858">
        <f>$G$59</f>
        <v>75</v>
      </c>
    </row>
    <row r="60" spans="2:13" ht="12">
      <c r="B60" s="391" t="s">
        <v>274</v>
      </c>
      <c r="D60" s="103"/>
      <c r="E60" s="858">
        <v>0</v>
      </c>
      <c r="F60" s="859"/>
      <c r="G60" s="858">
        <v>150</v>
      </c>
      <c r="H60" s="859"/>
      <c r="I60" s="858">
        <f>$G$60</f>
        <v>150</v>
      </c>
      <c r="J60" s="859"/>
      <c r="K60" s="858">
        <f>$G$60</f>
        <v>150</v>
      </c>
      <c r="L60" s="859"/>
      <c r="M60" s="858">
        <f>$G$60</f>
        <v>150</v>
      </c>
    </row>
    <row r="61" spans="2:13" ht="12">
      <c r="B61" s="391" t="s">
        <v>4</v>
      </c>
      <c r="D61" s="103"/>
      <c r="E61" s="858">
        <v>0</v>
      </c>
      <c r="F61" s="859"/>
      <c r="G61" s="858">
        <v>75</v>
      </c>
      <c r="H61" s="859"/>
      <c r="I61" s="858">
        <f>$G$61</f>
        <v>75</v>
      </c>
      <c r="J61" s="859"/>
      <c r="K61" s="858">
        <f>$G$61</f>
        <v>75</v>
      </c>
      <c r="L61" s="859"/>
      <c r="M61" s="858">
        <f>$G$61</f>
        <v>75</v>
      </c>
    </row>
    <row r="62" spans="2:13" ht="12">
      <c r="B62" s="391" t="s">
        <v>63</v>
      </c>
      <c r="D62" s="103"/>
      <c r="E62" s="858">
        <v>0</v>
      </c>
      <c r="F62" s="859"/>
      <c r="G62" s="858">
        <v>150</v>
      </c>
      <c r="H62" s="859"/>
      <c r="I62" s="858">
        <f>$G$62</f>
        <v>150</v>
      </c>
      <c r="J62" s="859"/>
      <c r="K62" s="858">
        <f>$G$62</f>
        <v>150</v>
      </c>
      <c r="L62" s="859"/>
      <c r="M62" s="858">
        <f>$G$62</f>
        <v>150</v>
      </c>
    </row>
    <row r="63" spans="1:13" s="335" customFormat="1" ht="12">
      <c r="A63" s="139"/>
      <c r="B63" s="426"/>
      <c r="D63" s="427"/>
      <c r="E63" s="860"/>
      <c r="F63" s="861"/>
      <c r="G63" s="860"/>
      <c r="H63" s="861"/>
      <c r="I63" s="860"/>
      <c r="J63" s="861"/>
      <c r="K63" s="860"/>
      <c r="L63" s="861"/>
      <c r="M63" s="860"/>
    </row>
    <row r="64" spans="1:13" s="335" customFormat="1" ht="12.75" thickBot="1">
      <c r="A64" s="139"/>
      <c r="B64" s="426"/>
      <c r="D64" s="427"/>
      <c r="E64" s="860"/>
      <c r="F64" s="861"/>
      <c r="G64" s="860"/>
      <c r="H64" s="861"/>
      <c r="I64" s="860"/>
      <c r="J64" s="861"/>
      <c r="K64" s="860"/>
      <c r="L64" s="861"/>
      <c r="M64" s="860"/>
    </row>
    <row r="65" spans="2:13" ht="12.75" thickBot="1">
      <c r="B65" s="429" t="s">
        <v>270</v>
      </c>
      <c r="C65" s="4"/>
      <c r="D65" s="4"/>
      <c r="E65" s="862"/>
      <c r="F65" s="862"/>
      <c r="G65" s="862"/>
      <c r="H65" s="862"/>
      <c r="I65" s="862"/>
      <c r="J65" s="862"/>
      <c r="K65" s="862"/>
      <c r="L65" s="862"/>
      <c r="M65" s="862"/>
    </row>
    <row r="66" spans="2:13" ht="12">
      <c r="B66" s="390" t="s">
        <v>275</v>
      </c>
      <c r="D66" s="103"/>
      <c r="E66" s="858">
        <f>E47*E53</f>
        <v>0</v>
      </c>
      <c r="F66" s="859"/>
      <c r="G66" s="858">
        <f>E47*(G53+G59)</f>
        <v>0</v>
      </c>
      <c r="H66" s="859"/>
      <c r="I66" s="858">
        <f>G47*(I53+I59)</f>
        <v>0</v>
      </c>
      <c r="J66" s="859"/>
      <c r="K66" s="858">
        <f>I47*(K53+K59)</f>
        <v>0</v>
      </c>
      <c r="L66" s="859"/>
      <c r="M66" s="858">
        <f>K47*(M53+M59)</f>
        <v>0</v>
      </c>
    </row>
    <row r="67" spans="2:13" ht="12">
      <c r="B67" s="391" t="s">
        <v>276</v>
      </c>
      <c r="D67" s="103"/>
      <c r="E67" s="858">
        <f>E48*E54</f>
        <v>0</v>
      </c>
      <c r="F67" s="859"/>
      <c r="G67" s="858">
        <f aca="true" t="shared" si="5" ref="G67:M69">E48*(G54+G60)</f>
        <v>0</v>
      </c>
      <c r="H67" s="859"/>
      <c r="I67" s="858">
        <f t="shared" si="5"/>
        <v>0</v>
      </c>
      <c r="J67" s="859"/>
      <c r="K67" s="858">
        <f t="shared" si="5"/>
        <v>0</v>
      </c>
      <c r="L67" s="859"/>
      <c r="M67" s="858">
        <f t="shared" si="5"/>
        <v>0</v>
      </c>
    </row>
    <row r="68" spans="2:13" ht="12">
      <c r="B68" s="391" t="s">
        <v>5</v>
      </c>
      <c r="D68" s="103"/>
      <c r="E68" s="858">
        <f>E49*E55</f>
        <v>0</v>
      </c>
      <c r="F68" s="859"/>
      <c r="G68" s="858">
        <f t="shared" si="5"/>
        <v>7680</v>
      </c>
      <c r="H68" s="859"/>
      <c r="I68" s="858">
        <f t="shared" si="5"/>
        <v>15360</v>
      </c>
      <c r="J68" s="859"/>
      <c r="K68" s="858">
        <f t="shared" si="5"/>
        <v>23040</v>
      </c>
      <c r="L68" s="859"/>
      <c r="M68" s="858">
        <f t="shared" si="5"/>
        <v>30720</v>
      </c>
    </row>
    <row r="69" spans="2:13" ht="12.75" thickBot="1">
      <c r="B69" s="391" t="s">
        <v>64</v>
      </c>
      <c r="D69" s="104"/>
      <c r="E69" s="858">
        <f>E50*E56</f>
        <v>0</v>
      </c>
      <c r="F69" s="859"/>
      <c r="G69" s="858">
        <f t="shared" si="5"/>
        <v>0</v>
      </c>
      <c r="H69" s="859"/>
      <c r="I69" s="858">
        <f t="shared" si="5"/>
        <v>0</v>
      </c>
      <c r="J69" s="859"/>
      <c r="K69" s="858">
        <f t="shared" si="5"/>
        <v>0</v>
      </c>
      <c r="L69" s="859"/>
      <c r="M69" s="858">
        <f t="shared" si="5"/>
        <v>0</v>
      </c>
    </row>
    <row r="70" spans="2:13" ht="15.75" thickBot="1">
      <c r="B70" s="382" t="s">
        <v>6</v>
      </c>
      <c r="D70" s="95"/>
      <c r="E70" s="863">
        <f>SUM(E66:E69)</f>
        <v>0</v>
      </c>
      <c r="F70" s="314"/>
      <c r="G70" s="863">
        <f>SUM(G66:G69)</f>
        <v>7680</v>
      </c>
      <c r="H70" s="314"/>
      <c r="I70" s="863">
        <f>SUM(I66:I69)</f>
        <v>15360</v>
      </c>
      <c r="J70" s="314"/>
      <c r="K70" s="863">
        <f>SUM(K66:K69)</f>
        <v>23040</v>
      </c>
      <c r="L70" s="314"/>
      <c r="M70" s="863">
        <f>SUM(M66:M69)</f>
        <v>30720</v>
      </c>
    </row>
    <row r="71" spans="2:13" ht="12">
      <c r="B71" s="4"/>
      <c r="C71" s="4"/>
      <c r="D71" s="4"/>
      <c r="E71" s="218"/>
      <c r="F71" s="218"/>
      <c r="G71" s="218"/>
      <c r="H71" s="218"/>
      <c r="I71" s="218"/>
      <c r="J71" s="218"/>
      <c r="K71" s="218"/>
      <c r="L71" s="218"/>
      <c r="M71" s="218"/>
    </row>
    <row r="72" spans="2:13" ht="12.75" thickBot="1">
      <c r="B72" s="4"/>
      <c r="C72" s="4"/>
      <c r="D72" s="4"/>
      <c r="E72" s="218"/>
      <c r="F72" s="218"/>
      <c r="G72" s="218"/>
      <c r="H72" s="218"/>
      <c r="I72" s="218"/>
      <c r="J72" s="218"/>
      <c r="K72" s="218"/>
      <c r="L72" s="218"/>
      <c r="M72" s="218"/>
    </row>
    <row r="73" spans="2:13" ht="12.75" thickBot="1">
      <c r="B73" s="1107" t="s">
        <v>181</v>
      </c>
      <c r="C73" s="1108"/>
      <c r="D73" s="1108"/>
      <c r="E73" s="1108"/>
      <c r="F73" s="1108"/>
      <c r="G73" s="1108"/>
      <c r="H73" s="1108"/>
      <c r="I73" s="1108"/>
      <c r="J73" s="1108"/>
      <c r="K73" s="1108"/>
      <c r="L73" s="1108"/>
      <c r="M73" s="1109"/>
    </row>
    <row r="74" spans="2:13" ht="12.75" thickBot="1">
      <c r="B74" s="310"/>
      <c r="C74" s="4"/>
      <c r="D74" s="4"/>
      <c r="E74" s="218"/>
      <c r="F74" s="218"/>
      <c r="G74" s="218"/>
      <c r="H74" s="218"/>
      <c r="I74" s="218"/>
      <c r="J74" s="218"/>
      <c r="K74" s="218"/>
      <c r="L74" s="218"/>
      <c r="M74" s="218"/>
    </row>
    <row r="75" spans="2:13" ht="12.75" thickBot="1">
      <c r="B75" s="429" t="s">
        <v>198</v>
      </c>
      <c r="C75" s="4"/>
      <c r="D75" s="4"/>
      <c r="E75" s="429">
        <f>$E$8</f>
        <v>2017</v>
      </c>
      <c r="F75" s="868"/>
      <c r="G75" s="429">
        <f>$G$8</f>
        <v>2018</v>
      </c>
      <c r="H75" s="868"/>
      <c r="I75" s="429">
        <f>$I$8</f>
        <v>2019</v>
      </c>
      <c r="J75" s="868"/>
      <c r="K75" s="429">
        <f>$K$8</f>
        <v>2020</v>
      </c>
      <c r="L75" s="868"/>
      <c r="M75" s="429">
        <f>$M$8</f>
        <v>2021</v>
      </c>
    </row>
    <row r="76" spans="2:13" ht="12.75" thickBot="1">
      <c r="B76" s="634" t="s">
        <v>194</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2.75" thickBot="1">
      <c r="B77" s="635" t="s">
        <v>182</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2.75" thickBot="1">
      <c r="B78" s="635" t="s">
        <v>183</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2.75" thickBot="1">
      <c r="B79" s="635" t="s">
        <v>184</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2.75" thickBot="1">
      <c r="B80" s="635" t="s">
        <v>185</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2:13" ht="12.75" thickBot="1">
      <c r="B81" s="635" t="s">
        <v>186</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2:13" ht="12.75" thickBot="1">
      <c r="B82" s="635" t="s">
        <v>187</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2:13" ht="12.75" thickBot="1">
      <c r="B83" s="635" t="s">
        <v>188</v>
      </c>
      <c r="C83" s="4"/>
      <c r="D83" s="4"/>
      <c r="E83" s="865">
        <f>'Revenues-Per Capita &amp; SPED'!D64+'Revenues-Per Capita &amp; SPED'!E96</f>
        <v>0</v>
      </c>
      <c r="F83" s="869"/>
      <c r="G83" s="865">
        <f>'Revenues-Per Capita &amp; SPED'!J64+'Revenues-Per Capita &amp; SPED'!K96</f>
        <v>0</v>
      </c>
      <c r="H83" s="869"/>
      <c r="I83" s="865">
        <f>'Revenues-Per Capita &amp; SPED'!O64+'Revenues-Per Capita &amp; SPED'!P96</f>
        <v>0</v>
      </c>
      <c r="J83" s="869"/>
      <c r="K83" s="865">
        <f>'Revenues-Per Capita &amp; SPED'!U64+'Revenues-Per Capita &amp; SPED'!V96</f>
        <v>0</v>
      </c>
      <c r="L83" s="869"/>
      <c r="M83" s="865">
        <f>'Revenues-Per Capita &amp; SPED'!AA64+'Revenues-Per Capita &amp; SPED'!AB96</f>
        <v>0</v>
      </c>
    </row>
    <row r="84" spans="2:13" ht="12.75" thickBot="1">
      <c r="B84" s="635" t="s">
        <v>189</v>
      </c>
      <c r="C84" s="4"/>
      <c r="D84" s="4"/>
      <c r="E84" s="865">
        <f>'Revenues-Per Capita &amp; SPED'!D65+'Revenues-Per Capita &amp; SPED'!E97</f>
        <v>0</v>
      </c>
      <c r="F84" s="869"/>
      <c r="G84" s="865">
        <f>'Revenues-Per Capita &amp; SPED'!J65+'Revenues-Per Capita &amp; SPED'!K97</f>
        <v>0</v>
      </c>
      <c r="H84" s="869"/>
      <c r="I84" s="865">
        <f>'Revenues-Per Capita &amp; SPED'!O65+'Revenues-Per Capita &amp; SPED'!P97</f>
        <v>0</v>
      </c>
      <c r="J84" s="869"/>
      <c r="K84" s="865">
        <f>'Revenues-Per Capita &amp; SPED'!U65+'Revenues-Per Capita &amp; SPED'!V97</f>
        <v>0</v>
      </c>
      <c r="L84" s="869"/>
      <c r="M84" s="865">
        <f>'Revenues-Per Capita &amp; SPED'!AA65+'Revenues-Per Capita &amp; SPED'!AB97</f>
        <v>0</v>
      </c>
    </row>
    <row r="85" spans="2:13" ht="12.75" thickBot="1">
      <c r="B85" s="429" t="s">
        <v>195</v>
      </c>
      <c r="C85" s="4"/>
      <c r="D85" s="4"/>
      <c r="E85" s="633">
        <f>SUM(E76:E84)</f>
        <v>0</v>
      </c>
      <c r="F85" s="869"/>
      <c r="G85" s="633">
        <f>SUM(G76:G84)</f>
        <v>0</v>
      </c>
      <c r="H85" s="869"/>
      <c r="I85" s="633">
        <f>SUM(I76:I84)</f>
        <v>0</v>
      </c>
      <c r="J85" s="869"/>
      <c r="K85" s="633">
        <f>SUM(K76:K84)</f>
        <v>0</v>
      </c>
      <c r="L85" s="869"/>
      <c r="M85" s="633">
        <f>SUM(M76:M84)</f>
        <v>0</v>
      </c>
    </row>
    <row r="86" spans="2:13" ht="12.75" thickBot="1">
      <c r="B86" s="636" t="s">
        <v>295</v>
      </c>
      <c r="C86" s="4"/>
      <c r="D86" s="4"/>
      <c r="E86" s="633" t="s">
        <v>204</v>
      </c>
      <c r="F86" s="866"/>
      <c r="G86" s="930" t="s">
        <v>200</v>
      </c>
      <c r="H86" s="866"/>
      <c r="I86" s="930" t="s">
        <v>200</v>
      </c>
      <c r="J86" s="866"/>
      <c r="K86" s="930" t="s">
        <v>200</v>
      </c>
      <c r="L86" s="866"/>
      <c r="M86" s="930" t="s">
        <v>200</v>
      </c>
    </row>
    <row r="87" spans="2:13" ht="12">
      <c r="B87" s="312"/>
      <c r="C87" s="4"/>
      <c r="D87" s="4"/>
      <c r="E87" s="108"/>
      <c r="F87" s="310"/>
      <c r="G87" s="310"/>
      <c r="H87" s="310"/>
      <c r="I87" s="310"/>
      <c r="J87" s="310"/>
      <c r="K87" s="310"/>
      <c r="L87" s="310"/>
      <c r="M87" s="310"/>
    </row>
    <row r="88" spans="2:13" ht="12.75" thickBot="1">
      <c r="B88" s="311"/>
      <c r="C88" s="4"/>
      <c r="D88" s="4"/>
      <c r="E88" s="310"/>
      <c r="F88" s="310"/>
      <c r="G88" s="310"/>
      <c r="H88" s="310"/>
      <c r="I88" s="310"/>
      <c r="J88" s="310"/>
      <c r="K88" s="310"/>
      <c r="L88" s="310"/>
      <c r="M88" s="310"/>
    </row>
    <row r="89" spans="1:13" ht="12.75" thickBot="1">
      <c r="A89" s="107"/>
      <c r="B89" s="637" t="s">
        <v>199</v>
      </c>
      <c r="C89" s="107"/>
      <c r="D89" s="107"/>
      <c r="E89" s="429">
        <f>$E$8</f>
        <v>2017</v>
      </c>
      <c r="F89" s="869"/>
      <c r="G89" s="429">
        <f>$G$8</f>
        <v>2018</v>
      </c>
      <c r="H89" s="869"/>
      <c r="I89" s="429">
        <f>$I$8</f>
        <v>2019</v>
      </c>
      <c r="J89" s="869"/>
      <c r="K89" s="429">
        <f>$K$8</f>
        <v>2020</v>
      </c>
      <c r="L89" s="869"/>
      <c r="M89" s="429">
        <f>$M$8</f>
        <v>2021</v>
      </c>
    </row>
    <row r="90" spans="2:13" ht="12.75" thickBot="1">
      <c r="B90" s="635" t="s">
        <v>190</v>
      </c>
      <c r="C90" s="4"/>
      <c r="D90" s="4"/>
      <c r="E90" s="865">
        <f>'Revenues-Per Capita &amp; SPED'!E126</f>
        <v>160</v>
      </c>
      <c r="F90" s="869"/>
      <c r="G90" s="865">
        <f>'Revenues-Per Capita &amp; SPED'!K126</f>
        <v>160</v>
      </c>
      <c r="H90" s="869"/>
      <c r="I90" s="864">
        <f>'Revenues-Per Capita &amp; SPED'!P126</f>
        <v>160</v>
      </c>
      <c r="J90" s="869"/>
      <c r="K90" s="864">
        <f>'Revenues-Per Capita &amp; SPED'!V126</f>
        <v>160</v>
      </c>
      <c r="L90" s="869"/>
      <c r="M90" s="864">
        <f>'Revenues-Per Capita &amp; SPED'!AB126</f>
        <v>160</v>
      </c>
    </row>
    <row r="91" spans="2:13" ht="12.75" thickBot="1">
      <c r="B91" s="635" t="s">
        <v>191</v>
      </c>
      <c r="C91" s="4"/>
      <c r="D91" s="4"/>
      <c r="E91" s="865">
        <f>'Revenues-Per Capita &amp; SPED'!E127</f>
        <v>0</v>
      </c>
      <c r="F91" s="869"/>
      <c r="G91" s="865">
        <f>'Revenues-Per Capita &amp; SPED'!K127</f>
        <v>160</v>
      </c>
      <c r="H91" s="869"/>
      <c r="I91" s="864">
        <f>'Revenues-Per Capita &amp; SPED'!P127</f>
        <v>160</v>
      </c>
      <c r="J91" s="869"/>
      <c r="K91" s="864">
        <f>'Revenues-Per Capita &amp; SPED'!V127</f>
        <v>160</v>
      </c>
      <c r="L91" s="869"/>
      <c r="M91" s="864">
        <f>'Revenues-Per Capita &amp; SPED'!AB127</f>
        <v>160</v>
      </c>
    </row>
    <row r="92" spans="2:13" ht="12.75" thickBot="1">
      <c r="B92" s="635" t="s">
        <v>192</v>
      </c>
      <c r="C92" s="4"/>
      <c r="D92" s="4"/>
      <c r="E92" s="865">
        <f>'Revenues-Per Capita &amp; SPED'!E128</f>
        <v>0</v>
      </c>
      <c r="F92" s="869"/>
      <c r="G92" s="865">
        <f>'Revenues-Per Capita &amp; SPED'!K128</f>
        <v>0</v>
      </c>
      <c r="H92" s="869"/>
      <c r="I92" s="864">
        <f>'Revenues-Per Capita &amp; SPED'!P128</f>
        <v>160</v>
      </c>
      <c r="J92" s="869"/>
      <c r="K92" s="864">
        <f>'Revenues-Per Capita &amp; SPED'!V128</f>
        <v>160</v>
      </c>
      <c r="L92" s="869"/>
      <c r="M92" s="864">
        <f>'Revenues-Per Capita &amp; SPED'!AB128</f>
        <v>160</v>
      </c>
    </row>
    <row r="93" spans="2:13" ht="12.75" thickBot="1">
      <c r="B93" s="635" t="s">
        <v>193</v>
      </c>
      <c r="C93" s="4"/>
      <c r="D93" s="4"/>
      <c r="E93" s="865">
        <f>'Revenues-Per Capita &amp; SPED'!E129</f>
        <v>0</v>
      </c>
      <c r="F93" s="869"/>
      <c r="G93" s="865">
        <f>'Revenues-Per Capita &amp; SPED'!K129</f>
        <v>0</v>
      </c>
      <c r="H93" s="869"/>
      <c r="I93" s="864">
        <f>'Revenues-Per Capita &amp; SPED'!P129</f>
        <v>0</v>
      </c>
      <c r="J93" s="869"/>
      <c r="K93" s="864">
        <f>'Revenues-Per Capita &amp; SPED'!V129</f>
        <v>160</v>
      </c>
      <c r="L93" s="869"/>
      <c r="M93" s="864">
        <f>'Revenues-Per Capita &amp; SPED'!AB129</f>
        <v>160</v>
      </c>
    </row>
    <row r="94" spans="2:13" ht="12.75" thickBot="1">
      <c r="B94" s="633" t="s">
        <v>197</v>
      </c>
      <c r="C94" s="4"/>
      <c r="D94" s="4"/>
      <c r="E94" s="633">
        <f>SUM(E90:E93)</f>
        <v>160</v>
      </c>
      <c r="F94" s="869"/>
      <c r="G94" s="633">
        <f>SUM(G90:G93)</f>
        <v>320</v>
      </c>
      <c r="H94" s="869"/>
      <c r="I94" s="633">
        <f>SUM(I90:I93)</f>
        <v>480</v>
      </c>
      <c r="J94" s="869"/>
      <c r="K94" s="633">
        <f>SUM(K90:K93)</f>
        <v>640</v>
      </c>
      <c r="L94" s="869"/>
      <c r="M94" s="633">
        <f>SUM(M90:M93)</f>
        <v>640</v>
      </c>
    </row>
    <row r="95" spans="2:13" ht="12.75" thickBot="1">
      <c r="B95" s="636" t="s">
        <v>296</v>
      </c>
      <c r="C95" s="4"/>
      <c r="D95" s="4"/>
      <c r="E95" s="633" t="s">
        <v>204</v>
      </c>
      <c r="F95" s="866"/>
      <c r="G95" s="930" t="s">
        <v>196</v>
      </c>
      <c r="H95" s="866"/>
      <c r="I95" s="930" t="s">
        <v>196</v>
      </c>
      <c r="J95" s="866"/>
      <c r="K95" s="930" t="s">
        <v>196</v>
      </c>
      <c r="L95" s="866"/>
      <c r="M95" s="930" t="s">
        <v>200</v>
      </c>
    </row>
    <row r="96" spans="2:13" ht="12.75" thickBot="1">
      <c r="B96" s="638"/>
      <c r="C96" s="4"/>
      <c r="D96" s="4"/>
      <c r="E96" s="310"/>
      <c r="F96" s="310"/>
      <c r="G96" s="310"/>
      <c r="H96" s="310"/>
      <c r="I96" s="310"/>
      <c r="J96" s="310"/>
      <c r="K96" s="310"/>
      <c r="L96" s="310"/>
      <c r="M96" s="310">
        <f>+A53</f>
        <v>0</v>
      </c>
    </row>
    <row r="97" spans="2:13" ht="12.75" thickBot="1">
      <c r="B97" s="429" t="s">
        <v>39</v>
      </c>
      <c r="C97" s="4"/>
      <c r="D97" s="112"/>
      <c r="E97" s="633">
        <f>E85+E94</f>
        <v>160</v>
      </c>
      <c r="F97" s="869"/>
      <c r="G97" s="633">
        <f>G85+G94</f>
        <v>320</v>
      </c>
      <c r="H97" s="869"/>
      <c r="I97" s="633">
        <f>I85+I94</f>
        <v>480</v>
      </c>
      <c r="J97" s="869"/>
      <c r="K97" s="633">
        <f>K85+K94</f>
        <v>640</v>
      </c>
      <c r="L97" s="869"/>
      <c r="M97" s="633">
        <f>M85+M94</f>
        <v>640</v>
      </c>
    </row>
    <row r="98" spans="2:13" ht="12">
      <c r="B98" s="309"/>
      <c r="C98" s="4"/>
      <c r="D98" s="4"/>
      <c r="E98" s="310"/>
      <c r="F98" s="310"/>
      <c r="G98" s="310"/>
      <c r="H98" s="310"/>
      <c r="I98" s="310"/>
      <c r="J98" s="310"/>
      <c r="K98" s="310"/>
      <c r="L98" s="310"/>
      <c r="M98" s="310"/>
    </row>
    <row r="99" ht="12.75" thickBot="1"/>
    <row r="100" ht="12.75" thickBot="1">
      <c r="B100" s="397" t="s">
        <v>196</v>
      </c>
    </row>
    <row r="101" ht="12.75" thickBot="1">
      <c r="B101" s="397" t="s">
        <v>200</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AND(OR('Revenues-Fed, State, &amp; Expan. '!$C$5="New Operator",'Revenues-Fed, State, &amp; Expan. '!$C$5="Existing Operator"),'Revenues-Fed, State, &amp; Expan. '!$C47&gt;0)</formula>
    </cfRule>
  </conditionalFormatting>
  <dataValidations count="2">
    <dataValidation type="list" allowBlank="1" showInputMessage="1" showErrorMessage="1" sqref="M95 G86 I86 K86 M86 K95 G95 I95">
      <formula1>'Revenues-Fed, State, &amp; Expan. '!$B$100:$B$101</formula1>
    </dataValidation>
    <dataValidation type="list" allowBlank="1" showInputMessage="1" showErrorMessage="1" sqref="E3">
      <formula1>#REF!</formula1>
    </dataValidation>
  </dataValidations>
  <printOptions/>
  <pageMargins left="0.7" right="0.7" top="0.75" bottom="0.75" header="0.3" footer="0.3"/>
  <pageSetup horizontalDpi="600" verticalDpi="600" orientation="landscape" scale="55"/>
</worksheet>
</file>

<file path=xl/worksheets/sheet6.xml><?xml version="1.0" encoding="utf-8"?>
<worksheet xmlns="http://schemas.openxmlformats.org/spreadsheetml/2006/main" xmlns:r="http://schemas.openxmlformats.org/officeDocument/2006/relationships">
  <dimension ref="A1:T202"/>
  <sheetViews>
    <sheetView workbookViewId="0" topLeftCell="A90">
      <selection activeCell="A1" sqref="A1"/>
    </sheetView>
  </sheetViews>
  <sheetFormatPr defaultColWidth="8.8515625" defaultRowHeight="12.75"/>
  <cols>
    <col min="1" max="1" width="76.00390625" style="0" customWidth="1"/>
    <col min="2" max="2" width="4.8515625" style="0" hidden="1" customWidth="1"/>
    <col min="3" max="6" width="17.140625" style="219"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421875" style="0" customWidth="1"/>
    <col min="16" max="16" width="18.7109375" style="0" customWidth="1"/>
    <col min="17" max="17" width="3.00390625" style="335" customWidth="1"/>
    <col min="18" max="18" width="18.7109375" style="0" customWidth="1"/>
    <col min="19" max="19" width="3.421875" style="335" customWidth="1"/>
    <col min="20" max="20" width="18.7109375" style="0" customWidth="1"/>
  </cols>
  <sheetData>
    <row r="1" spans="1:19" ht="16.5" thickBot="1">
      <c r="A1" s="694" t="s">
        <v>338</v>
      </c>
      <c r="B1" s="12"/>
      <c r="C1" s="291"/>
      <c r="D1" s="291"/>
      <c r="E1" s="291"/>
      <c r="F1" s="291"/>
      <c r="G1" s="12"/>
      <c r="H1" s="12"/>
      <c r="I1" s="12"/>
      <c r="J1" s="13"/>
      <c r="K1" s="13"/>
      <c r="L1" s="13"/>
      <c r="M1" s="13"/>
      <c r="N1" s="13"/>
      <c r="O1" s="13"/>
      <c r="P1" s="13"/>
      <c r="Q1" s="321"/>
      <c r="R1" s="14"/>
      <c r="S1" s="339"/>
    </row>
    <row r="2" spans="1:19" ht="22.5" customHeight="1" thickBot="1">
      <c r="A2" s="780" t="s">
        <v>612</v>
      </c>
      <c r="B2" s="15"/>
      <c r="C2" s="292"/>
      <c r="D2" s="292"/>
      <c r="E2" s="292"/>
      <c r="F2" s="292"/>
      <c r="G2" s="15"/>
      <c r="H2" s="15"/>
      <c r="I2" s="15"/>
      <c r="J2" s="16"/>
      <c r="K2" s="16"/>
      <c r="L2" s="16"/>
      <c r="M2" s="16"/>
      <c r="N2" s="16"/>
      <c r="O2" s="16"/>
      <c r="P2" s="16"/>
      <c r="Q2" s="322"/>
      <c r="R2" s="14"/>
      <c r="S2" s="339"/>
    </row>
    <row r="3" spans="1:19" ht="15.75">
      <c r="A3" s="15"/>
      <c r="B3" s="15"/>
      <c r="C3" s="292"/>
      <c r="D3" s="292"/>
      <c r="E3" s="292"/>
      <c r="F3" s="292"/>
      <c r="G3" s="15"/>
      <c r="H3" s="15"/>
      <c r="I3" s="15"/>
      <c r="J3" s="17"/>
      <c r="K3" s="17"/>
      <c r="L3" s="17"/>
      <c r="M3" s="17"/>
      <c r="N3" s="17"/>
      <c r="O3" s="17"/>
      <c r="P3" s="17"/>
      <c r="Q3" s="323"/>
      <c r="R3" s="18"/>
      <c r="S3" s="340"/>
    </row>
    <row r="4" spans="1:19" ht="15">
      <c r="A4" s="324"/>
      <c r="B4" s="20"/>
      <c r="C4" s="20"/>
      <c r="D4" s="20"/>
      <c r="E4" s="20"/>
      <c r="F4" s="20"/>
      <c r="G4" s="20"/>
      <c r="H4" s="20"/>
      <c r="I4" s="20"/>
      <c r="J4" s="20"/>
      <c r="K4" s="20"/>
      <c r="L4" s="20"/>
      <c r="M4" s="20"/>
      <c r="N4" s="20"/>
      <c r="O4" s="19"/>
      <c r="P4" s="19"/>
      <c r="Q4" s="324"/>
      <c r="R4" s="19"/>
      <c r="S4" s="339"/>
    </row>
    <row r="5" spans="1:19" ht="22.5">
      <c r="A5" s="935"/>
      <c r="B5" s="9"/>
      <c r="C5" s="293"/>
      <c r="D5" s="293"/>
      <c r="E5" s="293"/>
      <c r="F5" s="293"/>
      <c r="G5" s="9"/>
      <c r="H5" s="9"/>
      <c r="I5" s="9"/>
      <c r="J5" s="10"/>
      <c r="K5" s="10"/>
      <c r="L5" s="10"/>
      <c r="M5" s="10"/>
      <c r="N5" s="10"/>
      <c r="O5" s="10"/>
      <c r="P5" s="1005"/>
      <c r="Q5" s="325"/>
      <c r="R5" s="21"/>
      <c r="S5" s="326"/>
    </row>
    <row r="6" spans="1:20" ht="16.5" customHeight="1" thickBot="1">
      <c r="A6" s="21"/>
      <c r="B6" s="21"/>
      <c r="C6" s="294"/>
      <c r="D6" s="294"/>
      <c r="E6" s="294"/>
      <c r="F6" s="294"/>
      <c r="G6" s="21"/>
      <c r="H6" s="21"/>
      <c r="I6" s="21"/>
      <c r="R6" s="705"/>
      <c r="T6" s="705"/>
    </row>
    <row r="7" spans="1:10" ht="30" customHeight="1" thickBot="1">
      <c r="A7" s="72"/>
      <c r="B7" s="70"/>
      <c r="C7" s="1125" t="s">
        <v>203</v>
      </c>
      <c r="D7" s="1114" t="s">
        <v>205</v>
      </c>
      <c r="E7" s="1117" t="s">
        <v>221</v>
      </c>
      <c r="F7" s="1117" t="s">
        <v>220</v>
      </c>
      <c r="G7" s="70"/>
      <c r="H7" s="1128" t="s">
        <v>208</v>
      </c>
      <c r="I7" s="70"/>
      <c r="J7" s="1123" t="s">
        <v>570</v>
      </c>
    </row>
    <row r="8" spans="1:20" ht="31.5" customHeight="1" thickBot="1">
      <c r="A8" s="2"/>
      <c r="B8" s="70"/>
      <c r="C8" s="1126"/>
      <c r="D8" s="1115"/>
      <c r="E8" s="1118"/>
      <c r="F8" s="1118"/>
      <c r="G8" s="70"/>
      <c r="H8" s="1129"/>
      <c r="I8" s="70"/>
      <c r="J8" s="1124"/>
      <c r="K8" s="21"/>
      <c r="L8" s="1120" t="s">
        <v>499</v>
      </c>
      <c r="M8" s="1121"/>
      <c r="N8" s="1121"/>
      <c r="O8" s="1121"/>
      <c r="P8" s="1121"/>
      <c r="Q8" s="1121"/>
      <c r="R8" s="1121"/>
      <c r="S8" s="1121"/>
      <c r="T8" s="1122"/>
    </row>
    <row r="9" spans="1:20" ht="24" thickBot="1">
      <c r="A9" s="288" t="s">
        <v>173</v>
      </c>
      <c r="B9" s="2"/>
      <c r="C9" s="1127"/>
      <c r="D9" s="1116"/>
      <c r="E9" s="1119"/>
      <c r="F9" s="1119"/>
      <c r="G9" s="2"/>
      <c r="H9" s="1130"/>
      <c r="I9" s="2"/>
      <c r="J9" s="1007">
        <f>2016</f>
        <v>2016</v>
      </c>
      <c r="K9" s="70"/>
      <c r="L9" s="362">
        <f>J9+1</f>
        <v>2017</v>
      </c>
      <c r="M9" s="327"/>
      <c r="N9" s="362">
        <f>L9+1</f>
        <v>2018</v>
      </c>
      <c r="O9" s="327"/>
      <c r="P9" s="362">
        <f>N9+1</f>
        <v>2019</v>
      </c>
      <c r="Q9" s="327"/>
      <c r="R9" s="362">
        <f>P9+1</f>
        <v>2020</v>
      </c>
      <c r="S9" s="341"/>
      <c r="T9" s="362">
        <f>R9+1</f>
        <v>2021</v>
      </c>
    </row>
    <row r="10" spans="1:20" ht="18" thickBot="1">
      <c r="A10" s="453" t="s">
        <v>563</v>
      </c>
      <c r="B10" s="24"/>
      <c r="C10" s="489" t="s">
        <v>204</v>
      </c>
      <c r="D10" s="489" t="s">
        <v>204</v>
      </c>
      <c r="E10" s="489" t="s">
        <v>204</v>
      </c>
      <c r="F10" s="489" t="s">
        <v>204</v>
      </c>
      <c r="G10" s="24"/>
      <c r="H10" s="346"/>
      <c r="I10" s="24"/>
      <c r="J10" s="363">
        <v>0</v>
      </c>
      <c r="K10" s="71"/>
      <c r="L10" s="363">
        <f>'Revenues-Per Capita &amp; SPED'!B50</f>
        <v>0</v>
      </c>
      <c r="N10" s="363">
        <f>'Revenues-Per Capita &amp; SPED'!H50</f>
        <v>0</v>
      </c>
      <c r="P10" s="363">
        <f>'Revenues-Per Capita &amp; SPED'!M50</f>
        <v>0</v>
      </c>
      <c r="R10" s="363">
        <f>'Revenues-Per Capita &amp; SPED'!S50</f>
        <v>0</v>
      </c>
      <c r="T10" s="363">
        <f>'Revenues-Per Capita &amp; SPED'!Y50</f>
        <v>0</v>
      </c>
    </row>
    <row r="11" spans="1:20" ht="15.75" thickBot="1">
      <c r="A11" s="454" t="s">
        <v>564</v>
      </c>
      <c r="B11" s="24"/>
      <c r="C11" s="489" t="s">
        <v>204</v>
      </c>
      <c r="D11" s="489" t="s">
        <v>204</v>
      </c>
      <c r="E11" s="489" t="s">
        <v>204</v>
      </c>
      <c r="F11" s="489" t="s">
        <v>204</v>
      </c>
      <c r="G11" s="24"/>
      <c r="H11" s="346"/>
      <c r="I11" s="24"/>
      <c r="J11" s="363">
        <v>0</v>
      </c>
      <c r="K11" s="25"/>
      <c r="L11" s="363">
        <f>'Revenues-Per Capita &amp; SPED'!B86</f>
        <v>0</v>
      </c>
      <c r="M11" s="26"/>
      <c r="N11" s="363">
        <f>'Revenues-Per Capita &amp; SPED'!H86</f>
        <v>0</v>
      </c>
      <c r="O11" s="26"/>
      <c r="P11" s="363">
        <f>'Revenues-Per Capita &amp; SPED'!M86</f>
        <v>0</v>
      </c>
      <c r="Q11" s="328"/>
      <c r="R11" s="363">
        <f>'Revenues-Per Capita &amp; SPED'!S86</f>
        <v>0</v>
      </c>
      <c r="S11" s="342"/>
      <c r="T11" s="363">
        <f>'Revenues-Per Capita &amp; SPED'!Y86</f>
        <v>0</v>
      </c>
    </row>
    <row r="12" spans="1:20" ht="30.75" thickBot="1">
      <c r="A12" s="455" t="s">
        <v>565</v>
      </c>
      <c r="B12" s="24"/>
      <c r="C12" s="489" t="s">
        <v>204</v>
      </c>
      <c r="D12" s="489" t="s">
        <v>204</v>
      </c>
      <c r="E12" s="489" t="s">
        <v>204</v>
      </c>
      <c r="F12" s="489" t="s">
        <v>204</v>
      </c>
      <c r="G12" s="24"/>
      <c r="H12" s="346"/>
      <c r="I12" s="24"/>
      <c r="J12" s="363">
        <v>0</v>
      </c>
      <c r="K12" s="25"/>
      <c r="L12" s="363">
        <f>'Revenues-Per Capita &amp; SPED'!B118</f>
        <v>0</v>
      </c>
      <c r="M12" s="26"/>
      <c r="N12" s="363">
        <f>'Revenues-Per Capita &amp; SPED'!H118</f>
        <v>0</v>
      </c>
      <c r="O12" s="26"/>
      <c r="P12" s="363">
        <f>'Revenues-Per Capita &amp; SPED'!M118</f>
        <v>0</v>
      </c>
      <c r="Q12" s="328"/>
      <c r="R12" s="363">
        <f>'Revenues-Per Capita &amp; SPED'!S118</f>
        <v>0</v>
      </c>
      <c r="S12" s="342"/>
      <c r="T12" s="363">
        <f>'Revenues-Per Capita &amp; SPED'!Y118</f>
        <v>0</v>
      </c>
    </row>
    <row r="13" spans="1:20" ht="15.75" thickBot="1">
      <c r="A13" s="454" t="s">
        <v>566</v>
      </c>
      <c r="B13" s="24"/>
      <c r="C13" s="489" t="s">
        <v>204</v>
      </c>
      <c r="D13" s="489" t="s">
        <v>204</v>
      </c>
      <c r="E13" s="489" t="s">
        <v>204</v>
      </c>
      <c r="F13" s="489" t="s">
        <v>204</v>
      </c>
      <c r="G13" s="24"/>
      <c r="H13" s="346"/>
      <c r="I13" s="24"/>
      <c r="J13" s="363">
        <v>0</v>
      </c>
      <c r="K13" s="25"/>
      <c r="L13" s="363">
        <f>'Revenues-Per Capita &amp; SPED'!B150</f>
        <v>1319751.036</v>
      </c>
      <c r="M13" s="26"/>
      <c r="N13" s="363">
        <f>'Revenues-Per Capita &amp; SPED'!H150</f>
        <v>2639502.072</v>
      </c>
      <c r="O13" s="26"/>
      <c r="P13" s="363">
        <f>'Revenues-Per Capita &amp; SPED'!M150</f>
        <v>3959253.108</v>
      </c>
      <c r="Q13" s="328"/>
      <c r="R13" s="363">
        <f>'Revenues-Per Capita &amp; SPED'!S150</f>
        <v>5279004.144</v>
      </c>
      <c r="S13" s="342"/>
      <c r="T13" s="363">
        <f>'Revenues-Per Capita &amp; SPED'!Y150</f>
        <v>5279004.144</v>
      </c>
    </row>
    <row r="14" spans="1:20" ht="15.75" thickBot="1">
      <c r="A14" s="454" t="s">
        <v>31</v>
      </c>
      <c r="B14" s="24"/>
      <c r="C14" s="489" t="s">
        <v>204</v>
      </c>
      <c r="D14" s="489" t="s">
        <v>204</v>
      </c>
      <c r="E14" s="489" t="s">
        <v>204</v>
      </c>
      <c r="F14" s="489" t="s">
        <v>204</v>
      </c>
      <c r="G14" s="24"/>
      <c r="H14" s="346"/>
      <c r="I14" s="24"/>
      <c r="J14" s="363">
        <v>0</v>
      </c>
      <c r="K14" s="25"/>
      <c r="L14" s="363">
        <f>125000*0.95</f>
        <v>118750</v>
      </c>
      <c r="M14" s="26"/>
      <c r="N14" s="363">
        <v>0</v>
      </c>
      <c r="O14" s="26"/>
      <c r="P14" s="363">
        <v>0</v>
      </c>
      <c r="Q14" s="328"/>
      <c r="R14" s="363">
        <v>0</v>
      </c>
      <c r="S14" s="342"/>
      <c r="T14" s="363">
        <v>0</v>
      </c>
    </row>
    <row r="15" spans="1:20" ht="15.75" thickBot="1">
      <c r="A15" s="454" t="s">
        <v>32</v>
      </c>
      <c r="B15" s="24"/>
      <c r="C15" s="489" t="s">
        <v>204</v>
      </c>
      <c r="D15" s="489" t="s">
        <v>204</v>
      </c>
      <c r="E15" s="489" t="s">
        <v>204</v>
      </c>
      <c r="F15" s="489" t="s">
        <v>204</v>
      </c>
      <c r="G15" s="24"/>
      <c r="H15" s="346"/>
      <c r="I15" s="24"/>
      <c r="J15" s="363">
        <v>0</v>
      </c>
      <c r="K15" s="25"/>
      <c r="L15" s="421">
        <f>'Revenues-Fed, State, &amp; Expan. '!E43</f>
        <v>152000</v>
      </c>
      <c r="M15" s="422"/>
      <c r="N15" s="421">
        <f>'Revenues-Fed, State, &amp; Expan. '!G43</f>
        <v>152000</v>
      </c>
      <c r="O15" s="422"/>
      <c r="P15" s="421">
        <f>'Revenues-Fed, State, &amp; Expan. '!I43</f>
        <v>152000</v>
      </c>
      <c r="Q15" s="423"/>
      <c r="R15" s="421">
        <f>'Revenues-Fed, State, &amp; Expan. '!K43</f>
        <v>152000</v>
      </c>
      <c r="S15" s="424"/>
      <c r="T15" s="421">
        <f>'Revenues-Fed, State, &amp; Expan. '!M43</f>
        <v>0</v>
      </c>
    </row>
    <row r="16" spans="1:20" ht="15.75" thickBot="1">
      <c r="A16" s="454" t="s">
        <v>202</v>
      </c>
      <c r="B16" s="24"/>
      <c r="C16" s="489" t="s">
        <v>204</v>
      </c>
      <c r="D16" s="489" t="s">
        <v>204</v>
      </c>
      <c r="E16" s="489" t="s">
        <v>204</v>
      </c>
      <c r="F16" s="489" t="s">
        <v>204</v>
      </c>
      <c r="G16" s="24"/>
      <c r="H16" s="346"/>
      <c r="I16" s="24"/>
      <c r="J16" s="363">
        <v>0</v>
      </c>
      <c r="K16" s="25"/>
      <c r="L16" s="363">
        <f>'Revenues-Per Capita &amp; SPED'!B170</f>
        <v>120000</v>
      </c>
      <c r="M16" s="26"/>
      <c r="N16" s="363">
        <f>'Revenues-Per Capita &amp; SPED'!H170</f>
        <v>240000</v>
      </c>
      <c r="O16" s="26"/>
      <c r="P16" s="363">
        <f>'Revenues-Per Capita &amp; SPED'!M170</f>
        <v>360000</v>
      </c>
      <c r="Q16" s="328"/>
      <c r="R16" s="363">
        <f>'Revenues-Per Capita &amp; SPED'!S170</f>
        <v>480000</v>
      </c>
      <c r="S16" s="342"/>
      <c r="T16" s="363">
        <f>'Revenues-Per Capita &amp; SPED'!Y170</f>
        <v>480000</v>
      </c>
    </row>
    <row r="17" spans="1:20" ht="15.75" thickBot="1">
      <c r="A17" s="454" t="s">
        <v>10</v>
      </c>
      <c r="B17" s="24"/>
      <c r="C17" s="489" t="s">
        <v>204</v>
      </c>
      <c r="D17" s="489" t="s">
        <v>204</v>
      </c>
      <c r="E17" s="489" t="s">
        <v>204</v>
      </c>
      <c r="F17" s="489" t="s">
        <v>204</v>
      </c>
      <c r="G17" s="24"/>
      <c r="H17" s="346"/>
      <c r="I17" s="24"/>
      <c r="J17" s="363">
        <v>0</v>
      </c>
      <c r="K17" s="25"/>
      <c r="L17" s="363">
        <f>'Revenues-Fed, State, &amp; Expan. '!E13</f>
        <v>123508</v>
      </c>
      <c r="M17" s="26"/>
      <c r="N17" s="363">
        <f>'Revenues-Fed, State, &amp; Expan. '!G13</f>
        <v>246214</v>
      </c>
      <c r="O17" s="26"/>
      <c r="P17" s="363">
        <f>'Revenues-Fed, State, &amp; Expan. '!I13</f>
        <v>369722</v>
      </c>
      <c r="Q17" s="328"/>
      <c r="R17" s="363">
        <f>'Revenues-Fed, State, &amp; Expan. '!K13</f>
        <v>492428</v>
      </c>
      <c r="S17" s="342"/>
      <c r="T17" s="363">
        <f>'Revenues-Fed, State, &amp; Expan. '!M13</f>
        <v>492428</v>
      </c>
    </row>
    <row r="18" spans="1:20" ht="15.75" thickBot="1">
      <c r="A18" s="454" t="s">
        <v>84</v>
      </c>
      <c r="B18" s="24"/>
      <c r="C18" s="489" t="s">
        <v>204</v>
      </c>
      <c r="D18" s="489" t="s">
        <v>204</v>
      </c>
      <c r="E18" s="489" t="s">
        <v>204</v>
      </c>
      <c r="F18" s="489" t="s">
        <v>204</v>
      </c>
      <c r="G18" s="24"/>
      <c r="H18" s="346"/>
      <c r="I18" s="24"/>
      <c r="J18" s="363">
        <v>0</v>
      </c>
      <c r="K18" s="25"/>
      <c r="L18" s="363">
        <f>'Revenues-Fed, State, &amp; Expan. '!E24</f>
        <v>77648</v>
      </c>
      <c r="M18" s="26"/>
      <c r="N18" s="363">
        <f>'Revenues-Fed, State, &amp; Expan. '!G24</f>
        <v>155296</v>
      </c>
      <c r="O18" s="26"/>
      <c r="P18" s="363">
        <f>'Revenues-Fed, State, &amp; Expan. '!I24</f>
        <v>232944</v>
      </c>
      <c r="Q18" s="328"/>
      <c r="R18" s="363">
        <f>'Revenues-Fed, State, &amp; Expan. '!K24</f>
        <v>311436</v>
      </c>
      <c r="S18" s="342"/>
      <c r="T18" s="363">
        <f>'Revenues-Fed, State, &amp; Expan. '!M24</f>
        <v>311436</v>
      </c>
    </row>
    <row r="19" spans="1:20" ht="15.75" thickBot="1">
      <c r="A19" s="454" t="s">
        <v>573</v>
      </c>
      <c r="B19" s="24"/>
      <c r="C19" s="489" t="s">
        <v>204</v>
      </c>
      <c r="D19" s="489" t="s">
        <v>204</v>
      </c>
      <c r="E19" s="489" t="s">
        <v>204</v>
      </c>
      <c r="F19" s="489" t="s">
        <v>204</v>
      </c>
      <c r="G19" s="24"/>
      <c r="H19" s="346"/>
      <c r="I19" s="24"/>
      <c r="J19" s="363">
        <v>0</v>
      </c>
      <c r="K19" s="25"/>
      <c r="L19" s="363">
        <f>'Revenues-Fed, State, &amp; Expan. '!E30</f>
        <v>10240</v>
      </c>
      <c r="M19" s="26"/>
      <c r="N19" s="363">
        <f>'Revenues-Fed, State, &amp; Expan. '!G30</f>
        <v>20480</v>
      </c>
      <c r="O19" s="26"/>
      <c r="P19" s="363">
        <f>'Revenues-Fed, State, &amp; Expan. '!I30</f>
        <v>30720</v>
      </c>
      <c r="Q19" s="328"/>
      <c r="R19" s="363">
        <f>'Revenues-Fed, State, &amp; Expan. '!K30</f>
        <v>40960</v>
      </c>
      <c r="S19" s="342"/>
      <c r="T19" s="363">
        <f>'Revenues-Fed, State, &amp; Expan. '!M30</f>
        <v>40960</v>
      </c>
    </row>
    <row r="20" spans="1:20" ht="15.75" thickBot="1">
      <c r="A20" s="454" t="s">
        <v>11</v>
      </c>
      <c r="B20" s="24"/>
      <c r="C20" s="489" t="s">
        <v>204</v>
      </c>
      <c r="D20" s="489" t="s">
        <v>204</v>
      </c>
      <c r="E20" s="489" t="s">
        <v>204</v>
      </c>
      <c r="F20" s="489" t="s">
        <v>204</v>
      </c>
      <c r="G20" s="24"/>
      <c r="H20" s="346"/>
      <c r="I20" s="24"/>
      <c r="J20" s="363">
        <v>0</v>
      </c>
      <c r="K20" s="25"/>
      <c r="L20" s="363">
        <f>'Revenues-Fed, State, &amp; Expan. '!E70</f>
        <v>0</v>
      </c>
      <c r="M20" s="26"/>
      <c r="N20" s="363">
        <f>'Revenues-Fed, State, &amp; Expan. '!G70</f>
        <v>7680</v>
      </c>
      <c r="O20" s="26"/>
      <c r="P20" s="363">
        <f>'Revenues-Fed, State, &amp; Expan. '!I70</f>
        <v>15360</v>
      </c>
      <c r="Q20" s="328"/>
      <c r="R20" s="363">
        <f>'Revenues-Fed, State, &amp; Expan. '!K70</f>
        <v>23040</v>
      </c>
      <c r="S20" s="342"/>
      <c r="T20" s="363">
        <f>'Revenues-Fed, State, &amp; Expan. '!M70</f>
        <v>30720</v>
      </c>
    </row>
    <row r="21" spans="1:20" ht="15.75" thickBot="1">
      <c r="A21" s="454" t="s">
        <v>85</v>
      </c>
      <c r="B21" s="24"/>
      <c r="C21" s="489" t="s">
        <v>204</v>
      </c>
      <c r="D21" s="489" t="s">
        <v>204</v>
      </c>
      <c r="E21" s="489" t="s">
        <v>204</v>
      </c>
      <c r="F21" s="489" t="s">
        <v>204</v>
      </c>
      <c r="G21" s="24"/>
      <c r="H21" s="346"/>
      <c r="I21" s="24"/>
      <c r="J21" s="363">
        <v>0</v>
      </c>
      <c r="K21" s="26"/>
      <c r="L21" s="363">
        <f>'Revenues-Per Capita &amp; SPED'!C239</f>
        <v>0</v>
      </c>
      <c r="M21" s="26"/>
      <c r="N21" s="363">
        <f>'Revenues-Per Capita &amp; SPED'!I239</f>
        <v>0</v>
      </c>
      <c r="O21" s="26"/>
      <c r="P21" s="363">
        <f>'Revenues-Per Capita &amp; SPED'!N239</f>
        <v>0</v>
      </c>
      <c r="Q21" s="328"/>
      <c r="R21" s="363">
        <f>'Revenues-Per Capita &amp; SPED'!T239</f>
        <v>0</v>
      </c>
      <c r="S21" s="342"/>
      <c r="T21" s="363">
        <f>'Revenues-Per Capita &amp; SPED'!Z239</f>
        <v>0</v>
      </c>
    </row>
    <row r="22" spans="1:20" ht="15.75" thickBot="1">
      <c r="A22" s="454" t="s">
        <v>339</v>
      </c>
      <c r="B22" s="24"/>
      <c r="C22" s="489" t="s">
        <v>204</v>
      </c>
      <c r="D22" s="489" t="s">
        <v>204</v>
      </c>
      <c r="E22" s="489" t="s">
        <v>204</v>
      </c>
      <c r="F22" s="489" t="s">
        <v>204</v>
      </c>
      <c r="G22" s="24"/>
      <c r="H22" s="346"/>
      <c r="I22" s="24"/>
      <c r="J22" s="363">
        <v>152000</v>
      </c>
      <c r="K22" s="26"/>
      <c r="L22" s="363">
        <v>0</v>
      </c>
      <c r="M22" s="26"/>
      <c r="N22" s="363">
        <v>0</v>
      </c>
      <c r="O22" s="26"/>
      <c r="P22" s="363">
        <v>0</v>
      </c>
      <c r="Q22" s="328"/>
      <c r="R22" s="363">
        <v>0</v>
      </c>
      <c r="S22" s="342"/>
      <c r="T22" s="363">
        <v>0</v>
      </c>
    </row>
    <row r="23" spans="1:20" ht="15.75" thickBot="1">
      <c r="A23" s="454" t="s">
        <v>26</v>
      </c>
      <c r="B23" s="24"/>
      <c r="C23" s="489" t="s">
        <v>204</v>
      </c>
      <c r="D23" s="489" t="s">
        <v>204</v>
      </c>
      <c r="E23" s="489" t="s">
        <v>204</v>
      </c>
      <c r="F23" s="489" t="s">
        <v>204</v>
      </c>
      <c r="G23" s="24"/>
      <c r="H23" s="346"/>
      <c r="I23" s="24"/>
      <c r="J23" s="23"/>
      <c r="K23" s="26"/>
      <c r="L23" s="23"/>
      <c r="M23" s="26"/>
      <c r="N23" s="23"/>
      <c r="O23" s="26"/>
      <c r="P23" s="23"/>
      <c r="Q23" s="328"/>
      <c r="R23" s="23"/>
      <c r="S23" s="342"/>
      <c r="T23" s="23"/>
    </row>
    <row r="24" spans="1:20" ht="15.75" thickBot="1">
      <c r="A24" s="454" t="s">
        <v>8</v>
      </c>
      <c r="B24" s="24"/>
      <c r="C24" s="489" t="s">
        <v>204</v>
      </c>
      <c r="D24" s="489" t="s">
        <v>204</v>
      </c>
      <c r="E24" s="489" t="s">
        <v>204</v>
      </c>
      <c r="F24" s="489" t="s">
        <v>204</v>
      </c>
      <c r="G24" s="24"/>
      <c r="H24" s="346" t="s">
        <v>595</v>
      </c>
      <c r="I24" s="24"/>
      <c r="J24" s="23"/>
      <c r="K24" s="26"/>
      <c r="L24" s="23">
        <f>175*160*0.75</f>
        <v>21000</v>
      </c>
      <c r="M24" s="26"/>
      <c r="N24" s="23">
        <f>175*320*0.75</f>
        <v>42000</v>
      </c>
      <c r="O24" s="26"/>
      <c r="P24" s="23">
        <f>175*480*0.75</f>
        <v>63000</v>
      </c>
      <c r="Q24" s="328"/>
      <c r="R24" s="23">
        <f>175*640*0.75</f>
        <v>84000</v>
      </c>
      <c r="S24" s="342"/>
      <c r="T24" s="23">
        <f>175*640*0.75</f>
        <v>84000</v>
      </c>
    </row>
    <row r="25" spans="1:20" ht="15.75" thickBot="1">
      <c r="A25" s="454" t="s">
        <v>54</v>
      </c>
      <c r="B25" s="24"/>
      <c r="C25" s="489" t="s">
        <v>204</v>
      </c>
      <c r="D25" s="489" t="s">
        <v>204</v>
      </c>
      <c r="E25" s="489" t="s">
        <v>204</v>
      </c>
      <c r="F25" s="489" t="s">
        <v>204</v>
      </c>
      <c r="G25" s="24"/>
      <c r="H25" s="346"/>
      <c r="I25" s="24"/>
      <c r="J25" s="23"/>
      <c r="K25" s="26"/>
      <c r="L25" s="23"/>
      <c r="M25" s="26"/>
      <c r="N25" s="23"/>
      <c r="O25" s="26"/>
      <c r="P25" s="23"/>
      <c r="Q25" s="328"/>
      <c r="R25" s="23"/>
      <c r="S25" s="342"/>
      <c r="T25" s="23"/>
    </row>
    <row r="26" spans="1:20" ht="15.75" thickBot="1">
      <c r="A26" s="454" t="s">
        <v>27</v>
      </c>
      <c r="B26" s="24"/>
      <c r="C26" s="489" t="s">
        <v>204</v>
      </c>
      <c r="D26" s="489" t="s">
        <v>204</v>
      </c>
      <c r="E26" s="489" t="s">
        <v>204</v>
      </c>
      <c r="F26" s="489" t="s">
        <v>204</v>
      </c>
      <c r="G26" s="24"/>
      <c r="H26" s="346"/>
      <c r="I26" s="24"/>
      <c r="J26" s="23"/>
      <c r="K26" s="26"/>
      <c r="L26" s="23"/>
      <c r="M26" s="26"/>
      <c r="N26" s="23"/>
      <c r="O26" s="26"/>
      <c r="P26" s="23"/>
      <c r="Q26" s="328"/>
      <c r="R26" s="23"/>
      <c r="S26" s="342"/>
      <c r="T26" s="23"/>
    </row>
    <row r="27" spans="1:20" ht="15.75" thickBot="1">
      <c r="A27" s="454" t="s">
        <v>369</v>
      </c>
      <c r="B27" s="24"/>
      <c r="C27" s="489" t="s">
        <v>204</v>
      </c>
      <c r="D27" s="489" t="s">
        <v>204</v>
      </c>
      <c r="E27" s="489" t="s">
        <v>204</v>
      </c>
      <c r="F27" s="489" t="s">
        <v>204</v>
      </c>
      <c r="G27" s="24"/>
      <c r="H27" s="346"/>
      <c r="I27" s="24"/>
      <c r="J27" s="23"/>
      <c r="K27" s="26"/>
      <c r="L27" s="23"/>
      <c r="M27" s="26"/>
      <c r="N27" s="23"/>
      <c r="O27" s="26"/>
      <c r="P27" s="23"/>
      <c r="Q27" s="328"/>
      <c r="R27" s="23"/>
      <c r="S27" s="342"/>
      <c r="T27" s="23"/>
    </row>
    <row r="28" spans="1:20" ht="15.75" thickBot="1">
      <c r="A28" s="159" t="s">
        <v>592</v>
      </c>
      <c r="B28" s="24"/>
      <c r="C28" s="489" t="s">
        <v>204</v>
      </c>
      <c r="D28" s="489" t="s">
        <v>204</v>
      </c>
      <c r="E28" s="489" t="s">
        <v>204</v>
      </c>
      <c r="F28" s="489" t="s">
        <v>204</v>
      </c>
      <c r="G28" s="24"/>
      <c r="H28" s="346"/>
      <c r="I28" s="24"/>
      <c r="J28" s="23">
        <v>250000</v>
      </c>
      <c r="K28" s="26"/>
      <c r="L28" s="23"/>
      <c r="M28" s="26"/>
      <c r="N28" s="23"/>
      <c r="O28" s="26"/>
      <c r="P28" s="23"/>
      <c r="Q28" s="328"/>
      <c r="R28" s="23"/>
      <c r="S28" s="342"/>
      <c r="T28" s="23"/>
    </row>
    <row r="29" spans="1:20" ht="15.75" thickBot="1">
      <c r="A29" s="159" t="s">
        <v>593</v>
      </c>
      <c r="B29" s="24"/>
      <c r="C29" s="489" t="s">
        <v>204</v>
      </c>
      <c r="D29" s="489" t="s">
        <v>204</v>
      </c>
      <c r="E29" s="489" t="s">
        <v>204</v>
      </c>
      <c r="F29" s="489" t="s">
        <v>204</v>
      </c>
      <c r="G29" s="24"/>
      <c r="H29" s="346" t="s">
        <v>596</v>
      </c>
      <c r="I29" s="24"/>
      <c r="J29" s="23"/>
      <c r="K29" s="26"/>
      <c r="L29" s="23"/>
      <c r="M29" s="26"/>
      <c r="N29" s="23">
        <f>16*120</f>
        <v>1920</v>
      </c>
      <c r="O29" s="26"/>
      <c r="P29" s="23">
        <f>120*32</f>
        <v>3840</v>
      </c>
      <c r="Q29" s="328"/>
      <c r="R29" s="23">
        <f>120*48</f>
        <v>5760</v>
      </c>
      <c r="S29" s="342"/>
      <c r="T29" s="23">
        <f>120*64</f>
        <v>7680</v>
      </c>
    </row>
    <row r="30" spans="1:20" ht="15.75" thickBot="1">
      <c r="A30" s="159" t="s">
        <v>594</v>
      </c>
      <c r="B30" s="24"/>
      <c r="C30" s="489" t="s">
        <v>204</v>
      </c>
      <c r="D30" s="489" t="s">
        <v>204</v>
      </c>
      <c r="E30" s="489" t="s">
        <v>204</v>
      </c>
      <c r="F30" s="489" t="s">
        <v>204</v>
      </c>
      <c r="G30" s="24"/>
      <c r="H30" s="346"/>
      <c r="I30" s="24"/>
      <c r="J30" s="23"/>
      <c r="K30" s="26"/>
      <c r="L30" s="23">
        <v>5000</v>
      </c>
      <c r="M30" s="26"/>
      <c r="N30" s="23">
        <v>5000</v>
      </c>
      <c r="O30" s="26"/>
      <c r="P30" s="23">
        <v>5000</v>
      </c>
      <c r="Q30" s="328"/>
      <c r="R30" s="23">
        <v>5000</v>
      </c>
      <c r="S30" s="342"/>
      <c r="T30" s="23">
        <v>5000</v>
      </c>
    </row>
    <row r="31" spans="1:20" ht="30.75" thickBot="1">
      <c r="A31" s="159" t="s">
        <v>605</v>
      </c>
      <c r="B31" s="28"/>
      <c r="C31" s="489" t="s">
        <v>204</v>
      </c>
      <c r="D31" s="489" t="s">
        <v>204</v>
      </c>
      <c r="E31" s="489" t="s">
        <v>204</v>
      </c>
      <c r="F31" s="489" t="s">
        <v>204</v>
      </c>
      <c r="G31" s="28"/>
      <c r="H31" s="346" t="s">
        <v>606</v>
      </c>
      <c r="I31" s="28"/>
      <c r="J31" s="23"/>
      <c r="K31" s="26"/>
      <c r="L31" s="23">
        <f>100*160+10000</f>
        <v>26000</v>
      </c>
      <c r="M31" s="26"/>
      <c r="N31" s="23">
        <f>100*160*2+10000</f>
        <v>42000</v>
      </c>
      <c r="O31" s="26"/>
      <c r="P31" s="23">
        <f>100*160*3+10000</f>
        <v>58000</v>
      </c>
      <c r="Q31" s="328"/>
      <c r="R31" s="23">
        <f>100*160*4+10000</f>
        <v>74000</v>
      </c>
      <c r="S31" s="343"/>
      <c r="T31" s="23">
        <f>100*160*4+10000</f>
        <v>74000</v>
      </c>
    </row>
    <row r="32" spans="1:20" ht="15.75" thickBot="1">
      <c r="A32" s="159" t="s">
        <v>616</v>
      </c>
      <c r="B32" s="28"/>
      <c r="C32" s="489" t="s">
        <v>204</v>
      </c>
      <c r="D32" s="489" t="s">
        <v>204</v>
      </c>
      <c r="E32" s="489" t="s">
        <v>204</v>
      </c>
      <c r="F32" s="489" t="s">
        <v>204</v>
      </c>
      <c r="G32" s="28"/>
      <c r="H32" s="346" t="s">
        <v>618</v>
      </c>
      <c r="I32" s="28"/>
      <c r="J32" s="23">
        <v>15000</v>
      </c>
      <c r="K32" s="26"/>
      <c r="L32" s="23"/>
      <c r="M32" s="26"/>
      <c r="N32" s="23"/>
      <c r="O32" s="26"/>
      <c r="P32" s="23"/>
      <c r="Q32" s="328"/>
      <c r="R32" s="23"/>
      <c r="S32" s="343"/>
      <c r="T32" s="23"/>
    </row>
    <row r="33" spans="1:20" ht="15.75" thickBot="1">
      <c r="A33" s="159"/>
      <c r="B33" s="28"/>
      <c r="C33" s="489" t="s">
        <v>204</v>
      </c>
      <c r="D33" s="489" t="s">
        <v>204</v>
      </c>
      <c r="E33" s="489" t="s">
        <v>204</v>
      </c>
      <c r="F33" s="489" t="s">
        <v>204</v>
      </c>
      <c r="G33" s="28"/>
      <c r="H33" s="346"/>
      <c r="I33" s="28"/>
      <c r="J33" s="23"/>
      <c r="K33" s="26"/>
      <c r="L33" s="23"/>
      <c r="M33" s="26"/>
      <c r="N33" s="23"/>
      <c r="O33" s="26"/>
      <c r="P33" s="23"/>
      <c r="Q33" s="329"/>
      <c r="R33" s="23"/>
      <c r="S33" s="342"/>
      <c r="T33" s="23"/>
    </row>
    <row r="34" spans="1:20" ht="15.75" thickBot="1">
      <c r="A34" s="22"/>
      <c r="B34" s="24"/>
      <c r="C34" s="295"/>
      <c r="D34" s="295"/>
      <c r="E34" s="295"/>
      <c r="F34" s="295"/>
      <c r="G34" s="24"/>
      <c r="H34" s="285"/>
      <c r="I34" s="24"/>
      <c r="J34" s="30"/>
      <c r="K34" s="30"/>
      <c r="L34" s="30"/>
      <c r="M34" s="30"/>
      <c r="N34" s="30"/>
      <c r="O34" s="30"/>
      <c r="P34" s="31"/>
      <c r="Q34" s="330"/>
      <c r="R34" s="32"/>
      <c r="S34" s="342"/>
      <c r="T34" s="32"/>
    </row>
    <row r="35" spans="2:20" ht="15.75" thickBot="1">
      <c r="B35" s="33"/>
      <c r="C35" s="297"/>
      <c r="D35" s="297"/>
      <c r="E35" s="297"/>
      <c r="F35" s="297"/>
      <c r="G35" s="33"/>
      <c r="H35" s="368" t="s">
        <v>29</v>
      </c>
      <c r="I35" s="33"/>
      <c r="J35" s="482">
        <f>SUM(J10:J33)</f>
        <v>417000</v>
      </c>
      <c r="K35" s="354"/>
      <c r="L35" s="482">
        <f>SUM(L10:L33)</f>
        <v>1973897.036</v>
      </c>
      <c r="M35" s="354"/>
      <c r="N35" s="482">
        <f>SUM(N10:N33)</f>
        <v>3552092.072</v>
      </c>
      <c r="O35" s="354"/>
      <c r="P35" s="482">
        <f>SUM(P10:P33)</f>
        <v>5249839.108</v>
      </c>
      <c r="Q35" s="355"/>
      <c r="R35" s="482">
        <f>SUM(R10:R33)</f>
        <v>6947628.144</v>
      </c>
      <c r="S35" s="356"/>
      <c r="T35" s="483">
        <f>SUM(T10:T33)</f>
        <v>6805228.144</v>
      </c>
    </row>
    <row r="36" spans="1:20" ht="15.75" thickBot="1">
      <c r="A36" s="27"/>
      <c r="B36" s="28"/>
      <c r="C36" s="296"/>
      <c r="D36" s="296"/>
      <c r="E36" s="296"/>
      <c r="F36" s="296"/>
      <c r="G36" s="28"/>
      <c r="H36" s="285"/>
      <c r="I36" s="28"/>
      <c r="J36" s="26"/>
      <c r="K36" s="26"/>
      <c r="L36" s="26"/>
      <c r="M36" s="26"/>
      <c r="N36" s="26"/>
      <c r="O36" s="26"/>
      <c r="P36" s="26"/>
      <c r="Q36" s="331"/>
      <c r="R36" s="34"/>
      <c r="S36" s="343"/>
      <c r="T36" s="34"/>
    </row>
    <row r="37" spans="1:20" ht="18" customHeight="1">
      <c r="A37" s="289" t="s">
        <v>28</v>
      </c>
      <c r="B37" s="28"/>
      <c r="C37" s="1125" t="s">
        <v>203</v>
      </c>
      <c r="D37" s="1114" t="s">
        <v>205</v>
      </c>
      <c r="E37" s="1117" t="s">
        <v>221</v>
      </c>
      <c r="F37" s="1117" t="s">
        <v>220</v>
      </c>
      <c r="G37" s="28"/>
      <c r="H37" s="1128" t="s">
        <v>207</v>
      </c>
      <c r="I37" s="28"/>
      <c r="J37" s="26"/>
      <c r="K37" s="26"/>
      <c r="L37" s="26"/>
      <c r="M37" s="26"/>
      <c r="N37" s="26"/>
      <c r="O37" s="26"/>
      <c r="P37" s="26"/>
      <c r="Q37" s="331"/>
      <c r="R37" s="34"/>
      <c r="S37" s="342"/>
      <c r="T37" s="34"/>
    </row>
    <row r="38" spans="1:20" ht="32.25" customHeight="1" thickBot="1">
      <c r="A38" s="22"/>
      <c r="B38" s="24"/>
      <c r="C38" s="1126"/>
      <c r="D38" s="1115"/>
      <c r="E38" s="1118"/>
      <c r="F38" s="1118"/>
      <c r="G38" s="24"/>
      <c r="H38" s="1129"/>
      <c r="I38" s="24"/>
      <c r="J38" s="36"/>
      <c r="K38" s="36"/>
      <c r="L38" s="36"/>
      <c r="M38" s="36"/>
      <c r="N38" s="36"/>
      <c r="O38" s="36"/>
      <c r="P38" s="36"/>
      <c r="Q38" s="332"/>
      <c r="R38" s="36"/>
      <c r="S38" s="342"/>
      <c r="T38" s="36"/>
    </row>
    <row r="39" spans="1:20" ht="18" thickBot="1">
      <c r="A39" s="286" t="s">
        <v>9</v>
      </c>
      <c r="B39" s="38"/>
      <c r="C39" s="1127"/>
      <c r="D39" s="1116"/>
      <c r="E39" s="1119"/>
      <c r="F39" s="1119"/>
      <c r="G39" s="38"/>
      <c r="H39" s="1130"/>
      <c r="I39" s="38"/>
      <c r="J39" s="37"/>
      <c r="K39" s="39"/>
      <c r="L39" s="37"/>
      <c r="M39" s="39"/>
      <c r="N39" s="37"/>
      <c r="O39" s="39"/>
      <c r="P39" s="37"/>
      <c r="Q39" s="333"/>
      <c r="R39" s="32"/>
      <c r="S39" s="342"/>
      <c r="T39" s="32"/>
    </row>
    <row r="40" spans="1:20" ht="15.75" thickBot="1">
      <c r="A40" s="710" t="s">
        <v>297</v>
      </c>
      <c r="B40" s="42"/>
      <c r="C40" s="696" t="s">
        <v>178</v>
      </c>
      <c r="D40" s="407">
        <v>100</v>
      </c>
      <c r="E40" s="489" t="s">
        <v>204</v>
      </c>
      <c r="F40" s="348">
        <v>0.02</v>
      </c>
      <c r="G40" s="42"/>
      <c r="H40" s="346"/>
      <c r="I40" s="42"/>
      <c r="J40" s="41"/>
      <c r="K40" s="43"/>
      <c r="L40" s="51">
        <f>IF($C40="Per Employee",$L$175*$D40,IF($C40="Per Pupil",$D40*$L$177,IF($C40="Fixed Per Year",$D40,0)))</f>
        <v>16000</v>
      </c>
      <c r="M40" s="43"/>
      <c r="N40" s="51">
        <f>IF($C40="Per Employee",$N$175*$D40,IF($C40="Per Pupil",$D40*$N$177,IF($C40="Fixed Per Year",$D40)))*(1+$F40)^1</f>
        <v>32640</v>
      </c>
      <c r="O40" s="43"/>
      <c r="P40" s="51">
        <f>IF($C40="Per Employee",$P$175*$D40,IF($C40="Per Pupil",$D40*$P$177,IF($C40="Fixed Per Year",$D40)))*(1+$F40)^2</f>
        <v>49939.2</v>
      </c>
      <c r="Q40" s="334"/>
      <c r="R40" s="51">
        <f>IF($C40="Per Employee",$R$175*$D40,IF($C40="Per Pupil",$D40*$R$177,IF($C40="Fixed Per Year",$D40)))*(1+$F40)^3</f>
        <v>67917.31199999999</v>
      </c>
      <c r="S40" s="342"/>
      <c r="T40" s="51">
        <f>IF($C40="Per Employee",$T$175*$D40,IF($C40="Per Pupil",$D40*$T$177,IF($C40="Fixed Per Year",$D40)))*(1+$F40)^4</f>
        <v>69275.65824</v>
      </c>
    </row>
    <row r="41" spans="1:20" ht="15.75" thickBot="1">
      <c r="A41" s="709" t="s">
        <v>298</v>
      </c>
      <c r="B41" s="42"/>
      <c r="C41" s="696" t="s">
        <v>178</v>
      </c>
      <c r="D41" s="407">
        <v>50</v>
      </c>
      <c r="E41" s="489" t="s">
        <v>204</v>
      </c>
      <c r="F41" s="348">
        <v>0.02</v>
      </c>
      <c r="G41" s="42"/>
      <c r="H41" s="346"/>
      <c r="I41" s="42"/>
      <c r="J41" s="41"/>
      <c r="K41" s="43"/>
      <c r="L41" s="51">
        <f aca="true" t="shared" si="0" ref="L41:L62">IF($C41="Per Employee",$L$175*$D41,IF($C41="Per Pupil",$D41*$L$177,IF($C41="Fixed Per Year",$D41,0)))</f>
        <v>8000</v>
      </c>
      <c r="M41" s="43"/>
      <c r="N41" s="51">
        <f aca="true" t="shared" si="1" ref="N41:N62">IF($C41="Per Employee",$N$175*$D41,IF($C41="Per Pupil",$D41*$N$177,IF($C41="Fixed Per Year",$D41)))*(1+$F41)^1</f>
        <v>16320</v>
      </c>
      <c r="O41" s="43"/>
      <c r="P41" s="51">
        <f aca="true" t="shared" si="2" ref="P41:P62">IF($C41="Per Employee",$P$175*$D41,IF($C41="Per Pupil",$D41*$P$177,IF($C41="Fixed Per Year",$D41)))*(1+$F41)^2</f>
        <v>24969.6</v>
      </c>
      <c r="Q41" s="334"/>
      <c r="R41" s="51">
        <f aca="true" t="shared" si="3" ref="R41:R62">IF($C41="Per Employee",$R$175*$D41,IF($C41="Per Pupil",$D41*$R$177,IF($C41="Fixed Per Year",$D41)))*(1+$F41)^3</f>
        <v>33958.655999999995</v>
      </c>
      <c r="S41" s="342"/>
      <c r="T41" s="51">
        <f aca="true" t="shared" si="4" ref="T41:T62">IF($C41="Per Employee",$T$175*$D41,IF($C41="Per Pupil",$D41*$T$177,IF($C41="Fixed Per Year",$D41)))*(1+$F41)^4</f>
        <v>34637.82912</v>
      </c>
    </row>
    <row r="42" spans="1:20" ht="15.75" thickBot="1">
      <c r="A42" s="709" t="s">
        <v>215</v>
      </c>
      <c r="B42" s="42"/>
      <c r="C42" s="696" t="s">
        <v>178</v>
      </c>
      <c r="D42" s="407">
        <v>65</v>
      </c>
      <c r="E42" s="489" t="s">
        <v>204</v>
      </c>
      <c r="F42" s="348"/>
      <c r="G42" s="42"/>
      <c r="H42" s="346"/>
      <c r="I42" s="42"/>
      <c r="J42" s="41"/>
      <c r="K42" s="43"/>
      <c r="L42" s="51">
        <f t="shared" si="0"/>
        <v>10400</v>
      </c>
      <c r="M42" s="43"/>
      <c r="N42" s="51">
        <f t="shared" si="1"/>
        <v>20800</v>
      </c>
      <c r="O42" s="43"/>
      <c r="P42" s="51">
        <f t="shared" si="2"/>
        <v>31200</v>
      </c>
      <c r="Q42" s="334"/>
      <c r="R42" s="51">
        <f t="shared" si="3"/>
        <v>41600</v>
      </c>
      <c r="S42" s="342"/>
      <c r="T42" s="51">
        <f t="shared" si="4"/>
        <v>41600</v>
      </c>
    </row>
    <row r="43" spans="1:20" ht="30.75" thickBot="1">
      <c r="A43" s="709" t="s">
        <v>13</v>
      </c>
      <c r="B43" s="42"/>
      <c r="C43" s="696" t="s">
        <v>206</v>
      </c>
      <c r="D43" s="407">
        <v>8000</v>
      </c>
      <c r="E43" s="489" t="s">
        <v>204</v>
      </c>
      <c r="F43" s="348"/>
      <c r="G43" s="42"/>
      <c r="H43" s="346" t="s">
        <v>600</v>
      </c>
      <c r="I43" s="42"/>
      <c r="J43" s="41">
        <v>10000</v>
      </c>
      <c r="K43" s="43"/>
      <c r="L43" s="51">
        <f t="shared" si="0"/>
        <v>8000</v>
      </c>
      <c r="M43" s="43"/>
      <c r="N43" s="51">
        <f t="shared" si="1"/>
        <v>8000</v>
      </c>
      <c r="O43" s="43"/>
      <c r="P43" s="51">
        <f t="shared" si="2"/>
        <v>8000</v>
      </c>
      <c r="Q43" s="334"/>
      <c r="R43" s="51">
        <f t="shared" si="3"/>
        <v>8000</v>
      </c>
      <c r="S43" s="342"/>
      <c r="T43" s="51">
        <f t="shared" si="4"/>
        <v>8000</v>
      </c>
    </row>
    <row r="44" spans="1:20" ht="15.75" thickBot="1">
      <c r="A44" s="709" t="s">
        <v>216</v>
      </c>
      <c r="B44" s="42"/>
      <c r="C44" s="696" t="s">
        <v>7</v>
      </c>
      <c r="D44" s="407"/>
      <c r="E44" s="489" t="s">
        <v>204</v>
      </c>
      <c r="F44" s="348"/>
      <c r="G44" s="42"/>
      <c r="H44" s="346" t="s">
        <v>621</v>
      </c>
      <c r="I44" s="42"/>
      <c r="J44" s="41"/>
      <c r="K44" s="43"/>
      <c r="L44" s="51">
        <v>22300</v>
      </c>
      <c r="M44" s="43"/>
      <c r="N44" s="51">
        <v>141740</v>
      </c>
      <c r="O44" s="43"/>
      <c r="P44" s="51">
        <v>91450</v>
      </c>
      <c r="Q44" s="334"/>
      <c r="R44" s="51">
        <v>102184</v>
      </c>
      <c r="S44" s="342"/>
      <c r="T44" s="51">
        <v>54000</v>
      </c>
    </row>
    <row r="45" spans="1:20" ht="15.75" thickBot="1">
      <c r="A45" s="709" t="s">
        <v>217</v>
      </c>
      <c r="B45" s="42"/>
      <c r="C45" s="696" t="s">
        <v>7</v>
      </c>
      <c r="D45" s="407"/>
      <c r="E45" s="489" t="s">
        <v>204</v>
      </c>
      <c r="F45" s="348"/>
      <c r="G45" s="42"/>
      <c r="H45" s="346"/>
      <c r="I45" s="42"/>
      <c r="J45" s="41"/>
      <c r="K45" s="43"/>
      <c r="L45" s="51">
        <v>34400</v>
      </c>
      <c r="M45" s="43"/>
      <c r="N45" s="51">
        <v>46450</v>
      </c>
      <c r="O45" s="43"/>
      <c r="P45" s="51">
        <v>63620</v>
      </c>
      <c r="Q45" s="334"/>
      <c r="R45" s="51">
        <v>59650</v>
      </c>
      <c r="S45" s="342"/>
      <c r="T45" s="51">
        <v>26040</v>
      </c>
    </row>
    <row r="46" spans="1:20" ht="15.75" thickBot="1">
      <c r="A46" s="709" t="s">
        <v>218</v>
      </c>
      <c r="B46" s="42"/>
      <c r="C46" s="696" t="s">
        <v>206</v>
      </c>
      <c r="D46" s="407">
        <v>12000</v>
      </c>
      <c r="E46" s="489" t="s">
        <v>204</v>
      </c>
      <c r="F46" s="348"/>
      <c r="G46" s="42"/>
      <c r="H46" s="346" t="s">
        <v>609</v>
      </c>
      <c r="I46" s="42"/>
      <c r="J46" s="41"/>
      <c r="K46" s="43"/>
      <c r="L46" s="51">
        <f t="shared" si="0"/>
        <v>12000</v>
      </c>
      <c r="M46" s="43"/>
      <c r="N46" s="51">
        <f t="shared" si="1"/>
        <v>12000</v>
      </c>
      <c r="O46" s="43"/>
      <c r="P46" s="51">
        <f t="shared" si="2"/>
        <v>12000</v>
      </c>
      <c r="Q46" s="334"/>
      <c r="R46" s="51">
        <f t="shared" si="3"/>
        <v>12000</v>
      </c>
      <c r="S46" s="342"/>
      <c r="T46" s="51"/>
    </row>
    <row r="47" spans="1:20" ht="15.75" thickBot="1">
      <c r="A47" s="709" t="s">
        <v>223</v>
      </c>
      <c r="B47" s="42"/>
      <c r="C47" s="696"/>
      <c r="D47" s="407"/>
      <c r="E47" s="489" t="s">
        <v>204</v>
      </c>
      <c r="F47" s="348"/>
      <c r="G47" s="42"/>
      <c r="H47" s="346"/>
      <c r="I47" s="42"/>
      <c r="J47" s="41"/>
      <c r="K47" s="43"/>
      <c r="L47" s="51">
        <f t="shared" si="0"/>
        <v>0</v>
      </c>
      <c r="M47" s="43"/>
      <c r="N47" s="51">
        <f t="shared" si="1"/>
        <v>0</v>
      </c>
      <c r="O47" s="43"/>
      <c r="P47" s="51">
        <f t="shared" si="2"/>
        <v>0</v>
      </c>
      <c r="Q47" s="334"/>
      <c r="R47" s="51">
        <f t="shared" si="3"/>
        <v>0</v>
      </c>
      <c r="S47" s="342"/>
      <c r="T47" s="51">
        <f t="shared" si="4"/>
        <v>0</v>
      </c>
    </row>
    <row r="48" spans="1:20" ht="15.75" thickBot="1">
      <c r="A48" s="709" t="s">
        <v>219</v>
      </c>
      <c r="B48" s="42"/>
      <c r="C48" s="696"/>
      <c r="D48" s="407"/>
      <c r="E48" s="489" t="s">
        <v>204</v>
      </c>
      <c r="F48" s="348"/>
      <c r="G48" s="42"/>
      <c r="H48" s="346"/>
      <c r="I48" s="42"/>
      <c r="J48" s="41"/>
      <c r="K48" s="43"/>
      <c r="L48" s="51">
        <f t="shared" si="0"/>
        <v>0</v>
      </c>
      <c r="M48" s="43"/>
      <c r="N48" s="51">
        <f t="shared" si="1"/>
        <v>0</v>
      </c>
      <c r="O48" s="43"/>
      <c r="P48" s="51">
        <f t="shared" si="2"/>
        <v>0</v>
      </c>
      <c r="Q48" s="334"/>
      <c r="R48" s="51">
        <f t="shared" si="3"/>
        <v>0</v>
      </c>
      <c r="S48" s="342"/>
      <c r="T48" s="51">
        <f t="shared" si="4"/>
        <v>0</v>
      </c>
    </row>
    <row r="49" spans="1:20" ht="15.75" thickBot="1">
      <c r="A49" s="709" t="s">
        <v>299</v>
      </c>
      <c r="B49" s="42"/>
      <c r="C49" s="696" t="s">
        <v>178</v>
      </c>
      <c r="D49" s="407">
        <v>100</v>
      </c>
      <c r="E49" s="489" t="s">
        <v>204</v>
      </c>
      <c r="F49" s="348">
        <v>0.02</v>
      </c>
      <c r="G49" s="42"/>
      <c r="H49" s="346"/>
      <c r="I49" s="42"/>
      <c r="J49" s="41"/>
      <c r="K49" s="43"/>
      <c r="L49" s="51">
        <f t="shared" si="0"/>
        <v>16000</v>
      </c>
      <c r="M49" s="43"/>
      <c r="N49" s="51">
        <f t="shared" si="1"/>
        <v>32640</v>
      </c>
      <c r="O49" s="43"/>
      <c r="P49" s="51">
        <f t="shared" si="2"/>
        <v>49939.2</v>
      </c>
      <c r="Q49" s="334"/>
      <c r="R49" s="51">
        <f t="shared" si="3"/>
        <v>67917.31199999999</v>
      </c>
      <c r="S49" s="342"/>
      <c r="T49" s="51">
        <f t="shared" si="4"/>
        <v>69275.65824</v>
      </c>
    </row>
    <row r="50" spans="1:20" ht="15.75" thickBot="1">
      <c r="A50" s="709" t="s">
        <v>222</v>
      </c>
      <c r="B50" s="42"/>
      <c r="C50" s="696"/>
      <c r="D50" s="407"/>
      <c r="E50" s="489" t="s">
        <v>204</v>
      </c>
      <c r="F50" s="348"/>
      <c r="G50" s="42"/>
      <c r="H50" s="346"/>
      <c r="I50" s="42"/>
      <c r="J50" s="41"/>
      <c r="K50" s="43"/>
      <c r="L50" s="51">
        <f t="shared" si="0"/>
        <v>0</v>
      </c>
      <c r="M50" s="43"/>
      <c r="N50" s="51">
        <f t="shared" si="1"/>
        <v>0</v>
      </c>
      <c r="O50" s="43"/>
      <c r="P50" s="51">
        <f t="shared" si="2"/>
        <v>0</v>
      </c>
      <c r="Q50" s="334"/>
      <c r="R50" s="51">
        <f t="shared" si="3"/>
        <v>0</v>
      </c>
      <c r="S50" s="342"/>
      <c r="T50" s="51">
        <f t="shared" si="4"/>
        <v>0</v>
      </c>
    </row>
    <row r="51" spans="1:20" ht="34.5" customHeight="1" thickBot="1">
      <c r="A51" s="711" t="s">
        <v>467</v>
      </c>
      <c r="B51" s="42"/>
      <c r="C51" s="491" t="s">
        <v>204</v>
      </c>
      <c r="D51" s="650" t="s">
        <v>204</v>
      </c>
      <c r="E51" s="489" t="s">
        <v>204</v>
      </c>
      <c r="F51" s="659" t="s">
        <v>204</v>
      </c>
      <c r="G51" s="42"/>
      <c r="H51" s="346"/>
      <c r="I51" s="42"/>
      <c r="J51" s="791">
        <v>0</v>
      </c>
      <c r="K51" s="43"/>
      <c r="L51" s="318">
        <f>'Contractual Clinicians'!C31</f>
        <v>0</v>
      </c>
      <c r="M51" s="43"/>
      <c r="N51" s="318">
        <f>'Contractual Clinicians'!D31</f>
        <v>0</v>
      </c>
      <c r="O51" s="43"/>
      <c r="P51" s="318">
        <f>'Contractual Clinicians'!E31</f>
        <v>0</v>
      </c>
      <c r="Q51" s="334"/>
      <c r="R51" s="318">
        <f>'Contractual Clinicians'!F31</f>
        <v>0</v>
      </c>
      <c r="S51" s="342"/>
      <c r="T51" s="318">
        <f>'Contractual Clinicians'!G31</f>
        <v>0</v>
      </c>
    </row>
    <row r="52" spans="1:20" ht="15.75" thickBot="1">
      <c r="A52" s="711" t="s">
        <v>159</v>
      </c>
      <c r="B52" s="42"/>
      <c r="C52" s="696"/>
      <c r="D52" s="407"/>
      <c r="E52" s="489" t="s">
        <v>204</v>
      </c>
      <c r="F52" s="348"/>
      <c r="G52" s="42"/>
      <c r="H52" s="346"/>
      <c r="I52" s="42"/>
      <c r="J52" s="41"/>
      <c r="K52" s="43"/>
      <c r="L52" s="51">
        <f t="shared" si="0"/>
        <v>0</v>
      </c>
      <c r="M52" s="43"/>
      <c r="N52" s="51">
        <f t="shared" si="1"/>
        <v>0</v>
      </c>
      <c r="O52" s="43"/>
      <c r="P52" s="51">
        <f t="shared" si="2"/>
        <v>0</v>
      </c>
      <c r="Q52" s="334"/>
      <c r="R52" s="51">
        <f t="shared" si="3"/>
        <v>0</v>
      </c>
      <c r="S52" s="342"/>
      <c r="T52" s="51">
        <f t="shared" si="4"/>
        <v>0</v>
      </c>
    </row>
    <row r="53" spans="1:20" ht="15.75" thickBot="1">
      <c r="A53" s="709" t="s">
        <v>424</v>
      </c>
      <c r="B53" s="42"/>
      <c r="C53" s="696"/>
      <c r="D53" s="419"/>
      <c r="E53" s="489" t="s">
        <v>204</v>
      </c>
      <c r="F53" s="348"/>
      <c r="G53" s="42"/>
      <c r="H53" s="346"/>
      <c r="I53" s="42"/>
      <c r="J53" s="41"/>
      <c r="K53" s="43"/>
      <c r="L53" s="51">
        <f t="shared" si="0"/>
        <v>0</v>
      </c>
      <c r="M53" s="43"/>
      <c r="N53" s="51">
        <f t="shared" si="1"/>
        <v>0</v>
      </c>
      <c r="O53" s="43"/>
      <c r="P53" s="51">
        <f t="shared" si="2"/>
        <v>0</v>
      </c>
      <c r="Q53" s="334"/>
      <c r="R53" s="51">
        <f t="shared" si="3"/>
        <v>0</v>
      </c>
      <c r="S53" s="342"/>
      <c r="T53" s="51">
        <f t="shared" si="4"/>
        <v>0</v>
      </c>
    </row>
    <row r="54" spans="1:20" ht="15.75" thickBot="1">
      <c r="A54" s="272" t="s">
        <v>597</v>
      </c>
      <c r="B54" s="42"/>
      <c r="C54" s="696" t="s">
        <v>178</v>
      </c>
      <c r="D54" s="419">
        <v>840</v>
      </c>
      <c r="E54" s="489" t="s">
        <v>204</v>
      </c>
      <c r="F54" s="348"/>
      <c r="G54" s="42"/>
      <c r="H54" s="346" t="s">
        <v>603</v>
      </c>
      <c r="I54" s="42"/>
      <c r="J54" s="41"/>
      <c r="K54" s="43"/>
      <c r="L54" s="51">
        <f t="shared" si="0"/>
        <v>134400</v>
      </c>
      <c r="M54" s="43"/>
      <c r="N54" s="51">
        <f t="shared" si="1"/>
        <v>268800</v>
      </c>
      <c r="O54" s="43"/>
      <c r="P54" s="51">
        <f t="shared" si="2"/>
        <v>403200</v>
      </c>
      <c r="Q54" s="334"/>
      <c r="R54" s="51">
        <f t="shared" si="3"/>
        <v>537600</v>
      </c>
      <c r="S54" s="342"/>
      <c r="T54" s="51">
        <f t="shared" si="4"/>
        <v>537600</v>
      </c>
    </row>
    <row r="55" spans="1:20" ht="15.75" thickBot="1">
      <c r="A55" s="272" t="s">
        <v>598</v>
      </c>
      <c r="B55" s="42"/>
      <c r="C55" s="696" t="s">
        <v>7</v>
      </c>
      <c r="D55" s="419">
        <v>2400</v>
      </c>
      <c r="E55" s="489" t="s">
        <v>204</v>
      </c>
      <c r="F55" s="348"/>
      <c r="G55" s="42"/>
      <c r="H55" s="346" t="s">
        <v>599</v>
      </c>
      <c r="I55" s="42"/>
      <c r="J55" s="41"/>
      <c r="K55" s="43"/>
      <c r="L55" s="51">
        <f t="shared" si="0"/>
        <v>0</v>
      </c>
      <c r="M55" s="43"/>
      <c r="N55" s="51">
        <f>(ROUNDUP(0.1*'Revenues-Per Capita &amp; SPED'!E130/16,0))*2400</f>
        <v>2400</v>
      </c>
      <c r="O55" s="43"/>
      <c r="P55" s="51">
        <f>(ROUNDUP(0.1*'Revenues-Per Capita &amp; SPED'!K130/16,0))*2400</f>
        <v>4800</v>
      </c>
      <c r="Q55" s="334"/>
      <c r="R55" s="51">
        <f>(ROUNDUP(0.1*'Revenues-Per Capita &amp; SPED'!M130/16,0))*2400</f>
        <v>7200</v>
      </c>
      <c r="S55" s="342"/>
      <c r="T55" s="51">
        <f>(ROUNDUP(0.1*'Revenues-Per Capita &amp; SPED'!V130/16,0))*2400</f>
        <v>9600</v>
      </c>
    </row>
    <row r="56" spans="1:20" ht="30.75" thickBot="1">
      <c r="A56" s="272" t="s">
        <v>620</v>
      </c>
      <c r="B56" s="42"/>
      <c r="C56" s="696" t="s">
        <v>206</v>
      </c>
      <c r="D56" s="419">
        <v>20000</v>
      </c>
      <c r="E56" s="489" t="s">
        <v>204</v>
      </c>
      <c r="F56" s="348"/>
      <c r="G56" s="42"/>
      <c r="H56" s="346" t="s">
        <v>604</v>
      </c>
      <c r="I56" s="42"/>
      <c r="J56" s="41"/>
      <c r="K56" s="43"/>
      <c r="L56" s="51">
        <f t="shared" si="0"/>
        <v>20000</v>
      </c>
      <c r="M56" s="43"/>
      <c r="N56" s="51">
        <f t="shared" si="1"/>
        <v>20000</v>
      </c>
      <c r="O56" s="43"/>
      <c r="P56" s="51">
        <f t="shared" si="2"/>
        <v>20000</v>
      </c>
      <c r="Q56" s="334"/>
      <c r="R56" s="51">
        <f t="shared" si="3"/>
        <v>20000</v>
      </c>
      <c r="S56" s="342"/>
      <c r="T56" s="51">
        <f t="shared" si="4"/>
        <v>20000</v>
      </c>
    </row>
    <row r="57" spans="1:20" ht="30.75" thickBot="1">
      <c r="A57" s="272" t="s">
        <v>608</v>
      </c>
      <c r="B57" s="42"/>
      <c r="C57" s="696" t="s">
        <v>7</v>
      </c>
      <c r="D57" s="419"/>
      <c r="E57" s="489" t="s">
        <v>204</v>
      </c>
      <c r="F57" s="348"/>
      <c r="G57" s="42"/>
      <c r="H57" s="346" t="s">
        <v>610</v>
      </c>
      <c r="I57" s="42"/>
      <c r="J57" s="41"/>
      <c r="K57" s="43"/>
      <c r="L57" s="51">
        <v>46467</v>
      </c>
      <c r="M57" s="43"/>
      <c r="N57" s="51">
        <v>61672</v>
      </c>
      <c r="O57" s="43"/>
      <c r="P57" s="51">
        <v>60480</v>
      </c>
      <c r="Q57" s="334"/>
      <c r="R57" s="51">
        <v>56347</v>
      </c>
      <c r="S57" s="342"/>
      <c r="T57" s="51">
        <v>35770</v>
      </c>
    </row>
    <row r="58" spans="1:20" ht="15.75" thickBot="1">
      <c r="A58" s="272" t="s">
        <v>617</v>
      </c>
      <c r="B58" s="42"/>
      <c r="C58" s="696" t="s">
        <v>178</v>
      </c>
      <c r="D58" s="419">
        <v>30</v>
      </c>
      <c r="E58" s="489" t="s">
        <v>204</v>
      </c>
      <c r="F58" s="348"/>
      <c r="G58" s="42"/>
      <c r="H58" s="346"/>
      <c r="I58" s="42"/>
      <c r="J58" s="41"/>
      <c r="K58" s="43"/>
      <c r="L58" s="51">
        <f t="shared" si="0"/>
        <v>4800</v>
      </c>
      <c r="M58" s="43"/>
      <c r="N58" s="51">
        <f t="shared" si="1"/>
        <v>9600</v>
      </c>
      <c r="O58" s="43"/>
      <c r="P58" s="51">
        <f t="shared" si="2"/>
        <v>14400</v>
      </c>
      <c r="Q58" s="334"/>
      <c r="R58" s="51">
        <f t="shared" si="3"/>
        <v>19200</v>
      </c>
      <c r="S58" s="342"/>
      <c r="T58" s="51">
        <f t="shared" si="4"/>
        <v>19200</v>
      </c>
    </row>
    <row r="59" spans="1:20" ht="15.75" thickBot="1">
      <c r="A59" s="272" t="s">
        <v>622</v>
      </c>
      <c r="B59" s="42"/>
      <c r="C59" s="696" t="s">
        <v>7</v>
      </c>
      <c r="D59" s="419"/>
      <c r="E59" s="489" t="s">
        <v>204</v>
      </c>
      <c r="F59" s="348"/>
      <c r="G59" s="42"/>
      <c r="H59" s="346" t="s">
        <v>623</v>
      </c>
      <c r="I59" s="42"/>
      <c r="J59" s="41"/>
      <c r="K59" s="43"/>
      <c r="L59" s="51">
        <f t="shared" si="0"/>
        <v>0</v>
      </c>
      <c r="M59" s="43"/>
      <c r="N59" s="51">
        <v>30000</v>
      </c>
      <c r="O59" s="43"/>
      <c r="P59" s="51">
        <f t="shared" si="2"/>
        <v>0</v>
      </c>
      <c r="Q59" s="334"/>
      <c r="R59" s="51">
        <f t="shared" si="3"/>
        <v>0</v>
      </c>
      <c r="S59" s="342"/>
      <c r="T59" s="51">
        <f t="shared" si="4"/>
        <v>0</v>
      </c>
    </row>
    <row r="60" spans="1:20" ht="15.75" thickBot="1">
      <c r="A60" s="272"/>
      <c r="B60" s="42"/>
      <c r="C60" s="696"/>
      <c r="D60" s="419"/>
      <c r="E60" s="489" t="s">
        <v>204</v>
      </c>
      <c r="F60" s="348"/>
      <c r="G60" s="42"/>
      <c r="H60" s="346"/>
      <c r="I60" s="42"/>
      <c r="J60" s="41"/>
      <c r="K60" s="43"/>
      <c r="L60" s="51">
        <f t="shared" si="0"/>
        <v>0</v>
      </c>
      <c r="M60" s="43"/>
      <c r="N60" s="51">
        <f t="shared" si="1"/>
        <v>0</v>
      </c>
      <c r="O60" s="43"/>
      <c r="P60" s="51">
        <f t="shared" si="2"/>
        <v>0</v>
      </c>
      <c r="Q60" s="334"/>
      <c r="R60" s="51">
        <f t="shared" si="3"/>
        <v>0</v>
      </c>
      <c r="S60" s="342"/>
      <c r="T60" s="51">
        <f t="shared" si="4"/>
        <v>0</v>
      </c>
    </row>
    <row r="61" spans="1:20" ht="15.75" thickBot="1">
      <c r="A61" s="272"/>
      <c r="B61" s="42"/>
      <c r="C61" s="696"/>
      <c r="D61" s="419"/>
      <c r="E61" s="489" t="s">
        <v>204</v>
      </c>
      <c r="F61" s="348"/>
      <c r="G61" s="42"/>
      <c r="H61" s="346"/>
      <c r="I61" s="42"/>
      <c r="J61" s="41"/>
      <c r="K61" s="43"/>
      <c r="L61" s="51">
        <f t="shared" si="0"/>
        <v>0</v>
      </c>
      <c r="M61" s="43"/>
      <c r="N61" s="51">
        <f t="shared" si="1"/>
        <v>0</v>
      </c>
      <c r="O61" s="43"/>
      <c r="P61" s="51">
        <f t="shared" si="2"/>
        <v>0</v>
      </c>
      <c r="Q61" s="334"/>
      <c r="R61" s="51">
        <f t="shared" si="3"/>
        <v>0</v>
      </c>
      <c r="S61" s="342"/>
      <c r="T61" s="51">
        <f t="shared" si="4"/>
        <v>0</v>
      </c>
    </row>
    <row r="62" spans="1:20" ht="15.75" thickBot="1">
      <c r="A62" s="272"/>
      <c r="B62" s="42"/>
      <c r="C62" s="696"/>
      <c r="D62" s="419"/>
      <c r="E62" s="489" t="s">
        <v>204</v>
      </c>
      <c r="F62" s="348"/>
      <c r="G62" s="42"/>
      <c r="H62" s="346"/>
      <c r="I62" s="42"/>
      <c r="J62" s="41"/>
      <c r="K62" s="43"/>
      <c r="L62" s="51">
        <f t="shared" si="0"/>
        <v>0</v>
      </c>
      <c r="M62" s="43"/>
      <c r="N62" s="51">
        <f t="shared" si="1"/>
        <v>0</v>
      </c>
      <c r="O62" s="43"/>
      <c r="P62" s="51">
        <f t="shared" si="2"/>
        <v>0</v>
      </c>
      <c r="Q62" s="334"/>
      <c r="R62" s="51">
        <f t="shared" si="3"/>
        <v>0</v>
      </c>
      <c r="S62" s="342"/>
      <c r="T62" s="51">
        <f t="shared" si="4"/>
        <v>0</v>
      </c>
    </row>
    <row r="63" spans="1:20" ht="15.75" thickBot="1">
      <c r="A63" s="40"/>
      <c r="B63" s="42"/>
      <c r="C63" s="299"/>
      <c r="D63" s="299"/>
      <c r="E63" s="299"/>
      <c r="F63" s="299"/>
      <c r="G63" s="42"/>
      <c r="H63" s="285"/>
      <c r="I63" s="42"/>
      <c r="J63" s="47"/>
      <c r="K63" s="39"/>
      <c r="L63" s="47"/>
      <c r="M63" s="39"/>
      <c r="N63" s="47"/>
      <c r="O63" s="39"/>
      <c r="P63" s="47"/>
      <c r="Q63" s="333"/>
      <c r="R63" s="48"/>
      <c r="S63" s="342"/>
      <c r="T63" s="48"/>
    </row>
    <row r="64" spans="2:20" ht="15.75" thickBot="1">
      <c r="B64" s="38"/>
      <c r="C64" s="298"/>
      <c r="D64" s="298"/>
      <c r="E64" s="298"/>
      <c r="F64" s="298"/>
      <c r="G64" s="38"/>
      <c r="H64" s="287" t="s">
        <v>169</v>
      </c>
      <c r="I64" s="38"/>
      <c r="J64" s="484">
        <f>SUM(J40:J62)</f>
        <v>10000</v>
      </c>
      <c r="K64" s="357"/>
      <c r="L64" s="484">
        <f>SUM(L40:L62)</f>
        <v>332767</v>
      </c>
      <c r="M64" s="357"/>
      <c r="N64" s="484">
        <f>SUM(N40:N62)</f>
        <v>703062</v>
      </c>
      <c r="O64" s="357"/>
      <c r="P64" s="484">
        <f>SUM(P40:P62)</f>
        <v>833998</v>
      </c>
      <c r="Q64" s="358"/>
      <c r="R64" s="484">
        <f>SUM(R40:R62)</f>
        <v>1033574.28</v>
      </c>
      <c r="S64" s="356"/>
      <c r="T64" s="484">
        <f>SUM(T40:T62)</f>
        <v>924999.1455999999</v>
      </c>
    </row>
    <row r="65" spans="1:20" ht="15">
      <c r="A65" s="49"/>
      <c r="B65" s="50"/>
      <c r="C65" s="300"/>
      <c r="D65" s="300"/>
      <c r="E65" s="300"/>
      <c r="F65" s="300"/>
      <c r="G65" s="50"/>
      <c r="H65" s="285"/>
      <c r="I65" s="50"/>
      <c r="J65" s="44"/>
      <c r="K65" s="43"/>
      <c r="L65" s="44"/>
      <c r="M65" s="43"/>
      <c r="N65" s="44"/>
      <c r="O65" s="43"/>
      <c r="P65" s="44"/>
      <c r="Q65" s="334"/>
      <c r="R65" s="34"/>
      <c r="S65" s="343"/>
      <c r="T65" s="34"/>
    </row>
    <row r="66" spans="1:20" ht="15">
      <c r="A66" s="49"/>
      <c r="B66" s="50"/>
      <c r="C66" s="300"/>
      <c r="D66" s="300"/>
      <c r="E66" s="300"/>
      <c r="F66" s="300"/>
      <c r="G66" s="50"/>
      <c r="H66" s="285"/>
      <c r="I66" s="50"/>
      <c r="J66" s="44"/>
      <c r="K66" s="43"/>
      <c r="L66" s="44"/>
      <c r="M66" s="43"/>
      <c r="N66" s="44"/>
      <c r="O66" s="43"/>
      <c r="P66" s="44"/>
      <c r="Q66" s="334"/>
      <c r="R66" s="34"/>
      <c r="S66" s="343"/>
      <c r="T66" s="34"/>
    </row>
    <row r="67" spans="1:20" ht="15.75" thickBot="1">
      <c r="A67" s="49"/>
      <c r="B67" s="50"/>
      <c r="C67" s="300"/>
      <c r="D67" s="300"/>
      <c r="E67" s="300"/>
      <c r="F67" s="300"/>
      <c r="G67" s="50"/>
      <c r="H67" s="285"/>
      <c r="I67" s="50"/>
      <c r="J67" s="44"/>
      <c r="K67" s="43"/>
      <c r="L67" s="44"/>
      <c r="M67" s="43"/>
      <c r="N67" s="44"/>
      <c r="O67" s="43"/>
      <c r="P67" s="44"/>
      <c r="Q67" s="334"/>
      <c r="R67" s="34"/>
      <c r="S67" s="343"/>
      <c r="T67" s="34"/>
    </row>
    <row r="68" spans="1:20" ht="18" thickBot="1">
      <c r="A68" s="286" t="s">
        <v>172</v>
      </c>
      <c r="B68" s="38"/>
      <c r="C68" s="298"/>
      <c r="D68" s="298"/>
      <c r="E68" s="298"/>
      <c r="F68" s="298"/>
      <c r="G68" s="38"/>
      <c r="H68" s="285"/>
      <c r="I68" s="38"/>
      <c r="J68" s="37"/>
      <c r="K68" s="39"/>
      <c r="L68" s="37"/>
      <c r="M68" s="39"/>
      <c r="N68" s="37"/>
      <c r="O68" s="320"/>
      <c r="P68" s="37"/>
      <c r="Q68" s="333"/>
      <c r="R68" s="32"/>
      <c r="S68" s="342"/>
      <c r="T68" s="32"/>
    </row>
    <row r="69" spans="1:20" ht="15.75" thickBot="1">
      <c r="A69" s="712" t="s">
        <v>14</v>
      </c>
      <c r="B69" s="52"/>
      <c r="C69" s="490" t="s">
        <v>204</v>
      </c>
      <c r="D69" s="491" t="s">
        <v>204</v>
      </c>
      <c r="E69" s="491" t="s">
        <v>204</v>
      </c>
      <c r="F69" s="491" t="s">
        <v>204</v>
      </c>
      <c r="G69" s="52"/>
      <c r="H69" s="347"/>
      <c r="I69" s="52"/>
      <c r="J69" s="318">
        <f>Personnel!E189</f>
        <v>150500</v>
      </c>
      <c r="K69" s="43"/>
      <c r="L69" s="318">
        <f>Personnel!G189</f>
        <v>1295000</v>
      </c>
      <c r="M69" s="319"/>
      <c r="N69" s="318">
        <f>Personnel!I189</f>
        <v>2193000</v>
      </c>
      <c r="O69" s="319"/>
      <c r="P69" s="318">
        <f>Personnel!K189</f>
        <v>2694636</v>
      </c>
      <c r="Q69" s="334"/>
      <c r="R69" s="318">
        <f>Personnel!M189</f>
        <v>3348111.24</v>
      </c>
      <c r="S69" s="342"/>
      <c r="T69" s="318">
        <f>Personnel!O189</f>
        <v>3458370.7512000003</v>
      </c>
    </row>
    <row r="70" spans="1:20" ht="15.75" thickBot="1">
      <c r="A70" s="714" t="s">
        <v>246</v>
      </c>
      <c r="B70" s="52"/>
      <c r="C70" s="490" t="s">
        <v>204</v>
      </c>
      <c r="D70" s="491" t="s">
        <v>204</v>
      </c>
      <c r="E70" s="491" t="s">
        <v>204</v>
      </c>
      <c r="F70" s="491" t="s">
        <v>204</v>
      </c>
      <c r="G70" s="52"/>
      <c r="H70" s="347"/>
      <c r="I70" s="52"/>
      <c r="J70" s="318">
        <v>0</v>
      </c>
      <c r="K70" s="43"/>
      <c r="L70" s="318">
        <f>Personnel!G197</f>
        <v>73656</v>
      </c>
      <c r="M70" s="319"/>
      <c r="N70" s="318">
        <f>Personnel!I197</f>
        <v>131475.96</v>
      </c>
      <c r="O70" s="319"/>
      <c r="P70" s="318">
        <f>Personnel!K197</f>
        <v>146877.4296</v>
      </c>
      <c r="Q70" s="334"/>
      <c r="R70" s="318">
        <f>Personnel!M197</f>
        <v>195410.84112000003</v>
      </c>
      <c r="S70" s="342"/>
      <c r="T70" s="318">
        <f>Personnel!O197</f>
        <v>199319.05794240005</v>
      </c>
    </row>
    <row r="71" spans="1:20" ht="15.75" thickBot="1">
      <c r="A71" s="713" t="s">
        <v>247</v>
      </c>
      <c r="B71" s="52"/>
      <c r="C71" s="490" t="s">
        <v>204</v>
      </c>
      <c r="D71" s="491" t="s">
        <v>204</v>
      </c>
      <c r="E71" s="491" t="s">
        <v>204</v>
      </c>
      <c r="F71" s="491" t="s">
        <v>204</v>
      </c>
      <c r="G71" s="52"/>
      <c r="H71" s="347"/>
      <c r="I71" s="52"/>
      <c r="J71" s="318">
        <v>0</v>
      </c>
      <c r="K71" s="43"/>
      <c r="L71" s="318">
        <f>Personnel!G195</f>
        <v>29700</v>
      </c>
      <c r="M71" s="319"/>
      <c r="N71" s="318">
        <f>Personnel!I195</f>
        <v>53014.5</v>
      </c>
      <c r="O71" s="319"/>
      <c r="P71" s="318">
        <f>Personnel!K195</f>
        <v>59224.77</v>
      </c>
      <c r="Q71" s="334"/>
      <c r="R71" s="318">
        <f>Personnel!M195</f>
        <v>78794.694</v>
      </c>
      <c r="S71" s="342"/>
      <c r="T71" s="318">
        <f>Personnel!O195</f>
        <v>80370.58788</v>
      </c>
    </row>
    <row r="72" spans="1:20" ht="15.75" thickBot="1">
      <c r="A72" s="457" t="s">
        <v>161</v>
      </c>
      <c r="B72" s="52"/>
      <c r="C72" s="490" t="s">
        <v>204</v>
      </c>
      <c r="D72" s="491" t="s">
        <v>204</v>
      </c>
      <c r="E72" s="491" t="s">
        <v>204</v>
      </c>
      <c r="F72" s="491" t="s">
        <v>204</v>
      </c>
      <c r="G72" s="52"/>
      <c r="H72" s="347"/>
      <c r="I72" s="52"/>
      <c r="J72" s="51">
        <f>Personnel!E203</f>
        <v>0</v>
      </c>
      <c r="K72" s="43"/>
      <c r="L72" s="651">
        <f>Personnel!G203</f>
        <v>0</v>
      </c>
      <c r="M72" s="319"/>
      <c r="N72" s="651">
        <f>Personnel!I203</f>
        <v>0</v>
      </c>
      <c r="O72" s="319"/>
      <c r="P72" s="651">
        <f>Personnel!K203</f>
        <v>0</v>
      </c>
      <c r="Q72" s="334"/>
      <c r="R72" s="651">
        <f>Personnel!M203</f>
        <v>0</v>
      </c>
      <c r="S72" s="343"/>
      <c r="T72" s="651">
        <f>Personnel!O203</f>
        <v>0</v>
      </c>
    </row>
    <row r="73" spans="1:20" ht="15.75" thickBot="1">
      <c r="A73" s="456" t="s">
        <v>162</v>
      </c>
      <c r="B73" s="52"/>
      <c r="C73" s="490" t="s">
        <v>204</v>
      </c>
      <c r="D73" s="491" t="s">
        <v>204</v>
      </c>
      <c r="E73" s="491" t="s">
        <v>204</v>
      </c>
      <c r="F73" s="491" t="s">
        <v>204</v>
      </c>
      <c r="G73" s="52"/>
      <c r="H73" s="347"/>
      <c r="I73" s="52"/>
      <c r="J73" s="318">
        <f>Personnel!E199</f>
        <v>9331</v>
      </c>
      <c r="K73" s="43"/>
      <c r="L73" s="318">
        <f>Personnel!G199</f>
        <v>39370</v>
      </c>
      <c r="M73" s="319"/>
      <c r="N73" s="318">
        <f>Personnel!I199</f>
        <v>62923.8</v>
      </c>
      <c r="O73" s="319"/>
      <c r="P73" s="318">
        <f>Personnel!K199</f>
        <v>85468.86</v>
      </c>
      <c r="Q73" s="334"/>
      <c r="R73" s="318">
        <f>Personnel!M199</f>
        <v>99021.31848</v>
      </c>
      <c r="S73" s="342"/>
      <c r="T73" s="318">
        <f>Personnel!O199</f>
        <v>103686.1766064</v>
      </c>
    </row>
    <row r="74" spans="1:20" ht="15.75" thickBot="1">
      <c r="A74" s="709" t="s">
        <v>163</v>
      </c>
      <c r="B74" s="52"/>
      <c r="C74" s="490" t="s">
        <v>204</v>
      </c>
      <c r="D74" s="491" t="s">
        <v>204</v>
      </c>
      <c r="E74" s="491" t="s">
        <v>204</v>
      </c>
      <c r="F74" s="491" t="s">
        <v>204</v>
      </c>
      <c r="G74" s="52"/>
      <c r="H74" s="347"/>
      <c r="I74" s="52"/>
      <c r="J74" s="318">
        <f>Personnel!E201</f>
        <v>2182.25</v>
      </c>
      <c r="K74" s="43"/>
      <c r="L74" s="318">
        <f>Personnel!G201</f>
        <v>18777.5</v>
      </c>
      <c r="M74" s="319"/>
      <c r="N74" s="318">
        <f>Personnel!I201</f>
        <v>31798.5</v>
      </c>
      <c r="O74" s="319"/>
      <c r="P74" s="318">
        <f>Personnel!K201</f>
        <v>39072.222</v>
      </c>
      <c r="Q74" s="334"/>
      <c r="R74" s="318">
        <f>Personnel!M201</f>
        <v>48547.612980000005</v>
      </c>
      <c r="S74" s="342"/>
      <c r="T74" s="318">
        <f>Personnel!O201</f>
        <v>50146.37589240001</v>
      </c>
    </row>
    <row r="75" spans="1:20" ht="15.75" thickBot="1">
      <c r="A75" s="713" t="s">
        <v>160</v>
      </c>
      <c r="B75" s="52"/>
      <c r="C75" s="697" t="s">
        <v>177</v>
      </c>
      <c r="D75" s="345"/>
      <c r="E75" s="348">
        <v>0.09</v>
      </c>
      <c r="F75" s="779"/>
      <c r="G75" s="52"/>
      <c r="H75" s="347"/>
      <c r="I75" s="52"/>
      <c r="J75" s="51"/>
      <c r="K75" s="43"/>
      <c r="L75" s="51">
        <f>IF($C75="Per Employee",$L$175*$D75,IF($C75="% of Salaries",$E75*$L$176,IF($C75="Fixed Per Year",$D75,0)))</f>
        <v>116550</v>
      </c>
      <c r="M75" s="319"/>
      <c r="N75" s="51">
        <f>IF($C75="Per Employee",$N$175*$D75,IF($C75="% of Salaries",$E75*$N$176,IF($C75="Fixed Per Year",$D75)))*(1+$F75)^1</f>
        <v>197370</v>
      </c>
      <c r="O75" s="319"/>
      <c r="P75" s="51">
        <f>IF($C75="Per Employee",$P$175*$D75,IF($C75="% of Salaries",$E75*$P$176,IF($C75="Fixed Per Year",$D75)))*(1+$F75)^2</f>
        <v>242517.24</v>
      </c>
      <c r="Q75" s="334"/>
      <c r="R75" s="51">
        <f>IF($C75="Per Employee",$R$175*$D75,IF($C75="% of Salaries",$E75*$R$176,IF($C75="Fixed Per Year",$D75)))*(1+$F75)^3</f>
        <v>301330.0116</v>
      </c>
      <c r="S75" s="343"/>
      <c r="T75" s="51">
        <f>IF($C75="Per Employee",$T$175*$D75,IF($C75="% of Salaries",$E75*$T$176,IF($C75="Fixed Per Year",$D75)))*(1+$F75)^4</f>
        <v>311253.367608</v>
      </c>
    </row>
    <row r="76" spans="1:20" ht="15.75" thickBot="1">
      <c r="A76" s="456" t="s">
        <v>164</v>
      </c>
      <c r="B76" s="52"/>
      <c r="C76" s="697" t="s">
        <v>177</v>
      </c>
      <c r="D76" s="345"/>
      <c r="E76" s="348">
        <v>0.009</v>
      </c>
      <c r="F76" s="779"/>
      <c r="G76" s="52"/>
      <c r="H76" s="347"/>
      <c r="I76" s="52"/>
      <c r="J76" s="51"/>
      <c r="K76" s="43"/>
      <c r="L76" s="51">
        <f aca="true" t="shared" si="5" ref="L76:L81">IF($C76="Per Employee",$L$175*$D76,IF($C76="% of Salaries",$E76*$L$176,IF($C76="Fixed Per Year",$D76,0)))</f>
        <v>11655</v>
      </c>
      <c r="M76" s="43"/>
      <c r="N76" s="51">
        <f aca="true" t="shared" si="6" ref="N76:N90">IF($C76="Per Employee",$N$175*$D76,IF($C76="% of Salaries",$E76*$N$176,IF($C76="Fixed Per Year",$D76)))*(1+$F76)^1</f>
        <v>19737</v>
      </c>
      <c r="O76" s="319"/>
      <c r="P76" s="51">
        <f aca="true" t="shared" si="7" ref="P76:P90">IF($C76="Per Employee",$P$175*$D76,IF($C76="% of Salaries",$E76*$P$176,IF($C76="Fixed Per Year",$D76)))*(1+$F76)^2</f>
        <v>24251.724</v>
      </c>
      <c r="Q76" s="334"/>
      <c r="R76" s="51">
        <f aca="true" t="shared" si="8" ref="R76:R90">IF($C76="Per Employee",$R$175*$D76,IF($C76="% of Salaries",$E76*$R$176,IF($C76="Fixed Per Year",$D76)))*(1+$F76)^3</f>
        <v>30133.00116</v>
      </c>
      <c r="S76" s="343"/>
      <c r="T76" s="51">
        <f aca="true" t="shared" si="9" ref="T76:T90">IF($C76="Per Employee",$T$175*$D76,IF($C76="% of Salaries",$E76*$T$176,IF($C76="Fixed Per Year",$D76)))*(1+$F76)^4</f>
        <v>31125.3367608</v>
      </c>
    </row>
    <row r="77" spans="1:20" ht="15.75" thickBot="1">
      <c r="A77" s="456" t="s">
        <v>174</v>
      </c>
      <c r="B77" s="52"/>
      <c r="C77" s="697" t="s">
        <v>177</v>
      </c>
      <c r="D77" s="345"/>
      <c r="E77" s="348">
        <v>0.015</v>
      </c>
      <c r="F77" s="779"/>
      <c r="G77" s="52"/>
      <c r="H77" s="347"/>
      <c r="I77" s="52"/>
      <c r="J77" s="51"/>
      <c r="K77" s="43"/>
      <c r="L77" s="51">
        <f t="shared" si="5"/>
        <v>19425</v>
      </c>
      <c r="M77" s="43"/>
      <c r="N77" s="51">
        <f t="shared" si="6"/>
        <v>32895</v>
      </c>
      <c r="O77" s="43"/>
      <c r="P77" s="51">
        <f t="shared" si="7"/>
        <v>40419.54</v>
      </c>
      <c r="Q77" s="334"/>
      <c r="R77" s="51">
        <f t="shared" si="8"/>
        <v>50221.668600000005</v>
      </c>
      <c r="S77" s="342"/>
      <c r="T77" s="51">
        <f t="shared" si="9"/>
        <v>51875.561268000005</v>
      </c>
    </row>
    <row r="78" spans="1:20" ht="15.75" thickBot="1">
      <c r="A78" s="364"/>
      <c r="B78" s="52"/>
      <c r="C78" s="697"/>
      <c r="D78" s="345"/>
      <c r="E78" s="348"/>
      <c r="F78" s="779"/>
      <c r="G78" s="52"/>
      <c r="H78" s="347"/>
      <c r="I78" s="52"/>
      <c r="J78" s="51"/>
      <c r="K78" s="43"/>
      <c r="L78" s="51">
        <f t="shared" si="5"/>
        <v>0</v>
      </c>
      <c r="M78" s="43"/>
      <c r="N78" s="51">
        <f t="shared" si="6"/>
        <v>0</v>
      </c>
      <c r="O78" s="43"/>
      <c r="P78" s="51">
        <f t="shared" si="7"/>
        <v>0</v>
      </c>
      <c r="Q78" s="334"/>
      <c r="R78" s="51">
        <f t="shared" si="8"/>
        <v>0</v>
      </c>
      <c r="S78" s="342"/>
      <c r="T78" s="51">
        <f t="shared" si="9"/>
        <v>0</v>
      </c>
    </row>
    <row r="79" spans="1:20" ht="15.75" thickBot="1">
      <c r="A79" s="364"/>
      <c r="B79" s="52"/>
      <c r="C79" s="697"/>
      <c r="D79" s="345"/>
      <c r="E79" s="348"/>
      <c r="F79" s="779"/>
      <c r="G79" s="52"/>
      <c r="H79" s="347"/>
      <c r="I79" s="52"/>
      <c r="J79" s="51"/>
      <c r="K79" s="43"/>
      <c r="L79" s="51">
        <f t="shared" si="5"/>
        <v>0</v>
      </c>
      <c r="M79" s="43"/>
      <c r="N79" s="51">
        <f t="shared" si="6"/>
        <v>0</v>
      </c>
      <c r="O79" s="43"/>
      <c r="P79" s="51">
        <f t="shared" si="7"/>
        <v>0</v>
      </c>
      <c r="Q79" s="334"/>
      <c r="R79" s="51">
        <f t="shared" si="8"/>
        <v>0</v>
      </c>
      <c r="S79" s="342"/>
      <c r="T79" s="51">
        <f t="shared" si="9"/>
        <v>0</v>
      </c>
    </row>
    <row r="80" spans="1:20" ht="15.75" thickBot="1">
      <c r="A80" s="364"/>
      <c r="B80" s="52"/>
      <c r="C80" s="697"/>
      <c r="D80" s="345"/>
      <c r="E80" s="348"/>
      <c r="F80" s="779"/>
      <c r="G80" s="52"/>
      <c r="H80" s="347"/>
      <c r="I80" s="52"/>
      <c r="J80" s="51"/>
      <c r="K80" s="43"/>
      <c r="L80" s="51">
        <f t="shared" si="5"/>
        <v>0</v>
      </c>
      <c r="M80" s="43"/>
      <c r="N80" s="51">
        <f t="shared" si="6"/>
        <v>0</v>
      </c>
      <c r="O80" s="43"/>
      <c r="P80" s="51">
        <f t="shared" si="7"/>
        <v>0</v>
      </c>
      <c r="Q80" s="334"/>
      <c r="R80" s="51">
        <f t="shared" si="8"/>
        <v>0</v>
      </c>
      <c r="S80" s="342"/>
      <c r="T80" s="51">
        <f t="shared" si="9"/>
        <v>0</v>
      </c>
    </row>
    <row r="81" spans="1:20" ht="15.75" thickBot="1">
      <c r="A81" s="272"/>
      <c r="C81" s="697"/>
      <c r="D81" s="345"/>
      <c r="E81" s="348"/>
      <c r="F81" s="779"/>
      <c r="H81" s="347"/>
      <c r="J81" s="51"/>
      <c r="L81" s="51">
        <f t="shared" si="5"/>
        <v>0</v>
      </c>
      <c r="N81" s="51">
        <f t="shared" si="6"/>
        <v>0</v>
      </c>
      <c r="P81" s="51">
        <f t="shared" si="7"/>
        <v>0</v>
      </c>
      <c r="R81" s="51">
        <f t="shared" si="8"/>
        <v>0</v>
      </c>
      <c r="T81" s="51">
        <f t="shared" si="9"/>
        <v>0</v>
      </c>
    </row>
    <row r="82" spans="1:20" ht="15.75" thickBot="1">
      <c r="A82" s="870" t="s">
        <v>212</v>
      </c>
      <c r="B82" s="52"/>
      <c r="C82" s="490" t="s">
        <v>204</v>
      </c>
      <c r="D82" s="491" t="s">
        <v>204</v>
      </c>
      <c r="E82" s="491" t="s">
        <v>204</v>
      </c>
      <c r="F82" s="491" t="s">
        <v>204</v>
      </c>
      <c r="G82" s="52"/>
      <c r="H82" s="347"/>
      <c r="I82" s="52"/>
      <c r="J82" s="318">
        <v>0</v>
      </c>
      <c r="K82" s="43"/>
      <c r="L82" s="318">
        <v>0</v>
      </c>
      <c r="M82" s="43"/>
      <c r="N82" s="318">
        <v>0</v>
      </c>
      <c r="O82" s="43"/>
      <c r="P82" s="318">
        <v>0</v>
      </c>
      <c r="Q82" s="334"/>
      <c r="R82" s="318">
        <v>0</v>
      </c>
      <c r="S82" s="342"/>
      <c r="T82" s="318">
        <v>0</v>
      </c>
    </row>
    <row r="83" spans="1:20" ht="15.75" thickBot="1">
      <c r="A83" s="710" t="s">
        <v>15</v>
      </c>
      <c r="B83" s="52"/>
      <c r="C83" s="697" t="s">
        <v>206</v>
      </c>
      <c r="D83" s="345">
        <v>7000</v>
      </c>
      <c r="E83" s="348"/>
      <c r="F83" s="779"/>
      <c r="G83" s="52"/>
      <c r="H83" s="347"/>
      <c r="I83" s="52"/>
      <c r="J83" s="51"/>
      <c r="K83" s="43"/>
      <c r="L83" s="51">
        <f>IF($C83="Per Employee",$L$175*$D83,IF($C83="% of Salaries",$E83*$L$176,IF($C83="Fixed Per Year",$D83,0)))</f>
        <v>7000</v>
      </c>
      <c r="M83" s="43"/>
      <c r="N83" s="51">
        <f t="shared" si="6"/>
        <v>7000</v>
      </c>
      <c r="O83" s="43"/>
      <c r="P83" s="51">
        <f t="shared" si="7"/>
        <v>7000</v>
      </c>
      <c r="Q83" s="334"/>
      <c r="R83" s="51">
        <f t="shared" si="8"/>
        <v>7000</v>
      </c>
      <c r="S83" s="342"/>
      <c r="T83" s="51">
        <f t="shared" si="9"/>
        <v>7000</v>
      </c>
    </row>
    <row r="84" spans="1:20" ht="15.75" thickBot="1">
      <c r="A84" s="709" t="s">
        <v>16</v>
      </c>
      <c r="B84" s="52"/>
      <c r="C84" s="697" t="s">
        <v>176</v>
      </c>
      <c r="D84" s="345">
        <v>890</v>
      </c>
      <c r="E84" s="348"/>
      <c r="F84" s="779"/>
      <c r="G84" s="52"/>
      <c r="H84" s="347"/>
      <c r="I84" s="52"/>
      <c r="J84" s="51"/>
      <c r="K84" s="43"/>
      <c r="L84" s="51">
        <f>IF($C84="Per Employee",$L$175*$D84,IF($C84="% of Salaries",$E84*$L$176,IF($C84="Fixed Per Year",$D84,0)))</f>
        <v>28035</v>
      </c>
      <c r="M84" s="43"/>
      <c r="N84" s="51">
        <f t="shared" si="6"/>
        <v>45390</v>
      </c>
      <c r="O84" s="43"/>
      <c r="P84" s="51">
        <f t="shared" si="7"/>
        <v>55180</v>
      </c>
      <c r="Q84" s="334"/>
      <c r="R84" s="51">
        <f t="shared" si="8"/>
        <v>66750</v>
      </c>
      <c r="S84" s="342"/>
      <c r="T84" s="51">
        <f t="shared" si="9"/>
        <v>67640</v>
      </c>
    </row>
    <row r="85" spans="1:20" ht="15.75" thickBot="1">
      <c r="A85" s="709" t="s">
        <v>213</v>
      </c>
      <c r="B85" s="52"/>
      <c r="C85" s="697"/>
      <c r="D85" s="345"/>
      <c r="E85" s="348"/>
      <c r="F85" s="779"/>
      <c r="G85" s="52"/>
      <c r="H85" s="347"/>
      <c r="I85" s="52"/>
      <c r="J85" s="51"/>
      <c r="K85" s="43"/>
      <c r="L85" s="51">
        <f aca="true" t="shared" si="10" ref="L85:L90">IF($C85="Per Employee",$L$175*$D85,IF($C85="% of Salaries",$E85*$L$176,IF($C85="Fixed Per Year",$D85,0)))</f>
        <v>0</v>
      </c>
      <c r="M85" s="43"/>
      <c r="N85" s="51">
        <f t="shared" si="6"/>
        <v>0</v>
      </c>
      <c r="O85" s="43"/>
      <c r="P85" s="51">
        <f t="shared" si="7"/>
        <v>0</v>
      </c>
      <c r="Q85" s="334"/>
      <c r="R85" s="51">
        <f t="shared" si="8"/>
        <v>0</v>
      </c>
      <c r="S85" s="342"/>
      <c r="T85" s="51">
        <f t="shared" si="9"/>
        <v>0</v>
      </c>
    </row>
    <row r="86" spans="1:20" ht="30.75" thickBot="1">
      <c r="A86" s="709" t="s">
        <v>214</v>
      </c>
      <c r="B86" s="52"/>
      <c r="C86" s="697" t="s">
        <v>7</v>
      </c>
      <c r="D86" s="345"/>
      <c r="E86" s="348"/>
      <c r="F86" s="779"/>
      <c r="G86" s="52"/>
      <c r="H86" s="347" t="s">
        <v>619</v>
      </c>
      <c r="I86" s="52"/>
      <c r="J86" s="51"/>
      <c r="K86" s="43"/>
      <c r="L86" s="51">
        <f t="shared" si="10"/>
        <v>0</v>
      </c>
      <c r="M86" s="43"/>
      <c r="N86" s="51">
        <f t="shared" si="6"/>
        <v>0</v>
      </c>
      <c r="O86" s="43"/>
      <c r="P86" s="51">
        <f t="shared" si="7"/>
        <v>0</v>
      </c>
      <c r="Q86" s="334"/>
      <c r="R86" s="51">
        <f t="shared" si="8"/>
        <v>0</v>
      </c>
      <c r="S86" s="342"/>
      <c r="T86" s="51">
        <f t="shared" si="9"/>
        <v>0</v>
      </c>
    </row>
    <row r="87" spans="1:20" ht="15.75" thickBot="1">
      <c r="A87" s="272" t="s">
        <v>601</v>
      </c>
      <c r="B87" s="52"/>
      <c r="C87" s="697" t="s">
        <v>7</v>
      </c>
      <c r="D87" s="345"/>
      <c r="E87" s="348"/>
      <c r="F87" s="779"/>
      <c r="G87" s="52"/>
      <c r="H87" s="347"/>
      <c r="I87" s="52"/>
      <c r="J87" s="51"/>
      <c r="K87" s="43"/>
      <c r="L87" s="51">
        <v>15717</v>
      </c>
      <c r="M87" s="43"/>
      <c r="N87" s="51">
        <v>17833</v>
      </c>
      <c r="O87" s="43"/>
      <c r="P87" s="51">
        <v>12554</v>
      </c>
      <c r="Q87" s="334"/>
      <c r="R87" s="51">
        <v>14599</v>
      </c>
      <c r="S87" s="342"/>
      <c r="T87" s="51">
        <v>7523</v>
      </c>
    </row>
    <row r="88" spans="1:20" ht="15.75" thickBot="1">
      <c r="A88" s="272" t="s">
        <v>602</v>
      </c>
      <c r="B88" s="52"/>
      <c r="C88" s="697" t="s">
        <v>206</v>
      </c>
      <c r="D88" s="345">
        <v>4200</v>
      </c>
      <c r="E88" s="348"/>
      <c r="F88" s="779"/>
      <c r="G88" s="52"/>
      <c r="H88" s="347"/>
      <c r="I88" s="52"/>
      <c r="J88" s="51"/>
      <c r="K88" s="43"/>
      <c r="L88" s="51">
        <f t="shared" si="10"/>
        <v>4200</v>
      </c>
      <c r="M88" s="43"/>
      <c r="N88" s="51">
        <f t="shared" si="6"/>
        <v>4200</v>
      </c>
      <c r="O88" s="43"/>
      <c r="P88" s="51">
        <f t="shared" si="7"/>
        <v>4200</v>
      </c>
      <c r="Q88" s="334"/>
      <c r="R88" s="51">
        <f t="shared" si="8"/>
        <v>4200</v>
      </c>
      <c r="S88" s="342"/>
      <c r="T88" s="51">
        <f t="shared" si="9"/>
        <v>4200</v>
      </c>
    </row>
    <row r="89" spans="1:20" ht="15.75" thickBot="1">
      <c r="A89" s="272"/>
      <c r="B89" s="52"/>
      <c r="C89" s="697"/>
      <c r="D89" s="345"/>
      <c r="E89" s="348"/>
      <c r="F89" s="779"/>
      <c r="G89" s="52"/>
      <c r="H89" s="347"/>
      <c r="I89" s="52"/>
      <c r="J89" s="51"/>
      <c r="K89" s="43"/>
      <c r="L89" s="51">
        <f t="shared" si="10"/>
        <v>0</v>
      </c>
      <c r="M89" s="43"/>
      <c r="N89" s="51">
        <f t="shared" si="6"/>
        <v>0</v>
      </c>
      <c r="O89" s="43"/>
      <c r="P89" s="51">
        <f t="shared" si="7"/>
        <v>0</v>
      </c>
      <c r="Q89" s="334"/>
      <c r="R89" s="51">
        <f t="shared" si="8"/>
        <v>0</v>
      </c>
      <c r="S89" s="342"/>
      <c r="T89" s="51">
        <f t="shared" si="9"/>
        <v>0</v>
      </c>
    </row>
    <row r="90" spans="1:20" ht="15.75" thickBot="1">
      <c r="A90" s="272"/>
      <c r="B90" s="52"/>
      <c r="C90" s="697"/>
      <c r="D90" s="345"/>
      <c r="E90" s="348"/>
      <c r="F90" s="779"/>
      <c r="G90" s="52"/>
      <c r="H90" s="347"/>
      <c r="I90" s="52"/>
      <c r="J90" s="51"/>
      <c r="K90" s="43"/>
      <c r="L90" s="51">
        <f t="shared" si="10"/>
        <v>0</v>
      </c>
      <c r="M90" s="43"/>
      <c r="N90" s="51">
        <f t="shared" si="6"/>
        <v>0</v>
      </c>
      <c r="O90" s="43"/>
      <c r="P90" s="51">
        <f t="shared" si="7"/>
        <v>0</v>
      </c>
      <c r="Q90" s="334"/>
      <c r="R90" s="51">
        <f t="shared" si="8"/>
        <v>0</v>
      </c>
      <c r="S90" s="342"/>
      <c r="T90" s="51">
        <f t="shared" si="9"/>
        <v>0</v>
      </c>
    </row>
    <row r="91" spans="1:20" ht="15.75" thickBot="1">
      <c r="A91" s="40"/>
      <c r="B91" s="42"/>
      <c r="C91" s="299"/>
      <c r="D91" s="299"/>
      <c r="E91" s="299"/>
      <c r="F91" s="299"/>
      <c r="G91" s="42"/>
      <c r="H91" s="285"/>
      <c r="I91" s="42"/>
      <c r="J91" s="47"/>
      <c r="K91" s="39"/>
      <c r="L91" s="47"/>
      <c r="M91" s="39"/>
      <c r="N91" s="47"/>
      <c r="O91" s="39"/>
      <c r="P91" s="47"/>
      <c r="Q91" s="333"/>
      <c r="R91" s="48"/>
      <c r="S91" s="342"/>
      <c r="T91" s="48"/>
    </row>
    <row r="92" spans="2:20" ht="15.75" thickBot="1">
      <c r="B92" s="38"/>
      <c r="C92" s="298"/>
      <c r="D92" s="298"/>
      <c r="E92" s="298"/>
      <c r="F92" s="298"/>
      <c r="G92" s="38"/>
      <c r="H92" s="287" t="s">
        <v>170</v>
      </c>
      <c r="I92" s="38"/>
      <c r="J92" s="485">
        <f>SUM(J69:J90)</f>
        <v>162013.25</v>
      </c>
      <c r="K92" s="359"/>
      <c r="L92" s="485">
        <f>SUM(L69:L90)</f>
        <v>1659085.5</v>
      </c>
      <c r="M92" s="359"/>
      <c r="N92" s="485">
        <f>SUM(N69:N90)</f>
        <v>2796637.76</v>
      </c>
      <c r="O92" s="359"/>
      <c r="P92" s="485">
        <f>SUM(P69:P90)</f>
        <v>3411401.7855999996</v>
      </c>
      <c r="Q92" s="360"/>
      <c r="R92" s="485">
        <f>SUM(R69:R90)</f>
        <v>4244119.387940001</v>
      </c>
      <c r="S92" s="356"/>
      <c r="T92" s="485">
        <f>SUM(T69:T90)</f>
        <v>4372510.215158001</v>
      </c>
    </row>
    <row r="93" spans="1:20" ht="15.75" thickBot="1">
      <c r="A93" s="49"/>
      <c r="B93" s="50"/>
      <c r="C93" s="300"/>
      <c r="D93" s="300"/>
      <c r="E93" s="300"/>
      <c r="F93" s="300"/>
      <c r="G93" s="50"/>
      <c r="H93" s="285"/>
      <c r="I93" s="50"/>
      <c r="J93" s="44"/>
      <c r="K93" s="43"/>
      <c r="L93" s="44"/>
      <c r="M93" s="43"/>
      <c r="N93" s="44"/>
      <c r="O93" s="43"/>
      <c r="P93" s="44"/>
      <c r="Q93" s="334"/>
      <c r="R93" s="34"/>
      <c r="S93" s="343"/>
      <c r="T93" s="34"/>
    </row>
    <row r="94" spans="1:20" ht="18" thickBot="1">
      <c r="A94" s="286" t="s">
        <v>171</v>
      </c>
      <c r="B94" s="38"/>
      <c r="C94" s="298"/>
      <c r="D94" s="298"/>
      <c r="E94" s="298"/>
      <c r="F94" s="298"/>
      <c r="G94" s="38"/>
      <c r="H94" s="285"/>
      <c r="I94" s="38"/>
      <c r="J94" s="37"/>
      <c r="K94" s="39"/>
      <c r="L94" s="37"/>
      <c r="M94" s="39"/>
      <c r="N94" s="37"/>
      <c r="O94" s="39"/>
      <c r="P94" s="37"/>
      <c r="Q94" s="333"/>
      <c r="R94" s="32"/>
      <c r="S94" s="342"/>
      <c r="T94" s="32"/>
    </row>
    <row r="95" spans="1:20" ht="15.75" thickBot="1">
      <c r="A95" s="715" t="s">
        <v>226</v>
      </c>
      <c r="B95" s="42"/>
      <c r="C95" s="696" t="s">
        <v>206</v>
      </c>
      <c r="D95" s="345">
        <v>10000</v>
      </c>
      <c r="E95" s="489" t="s">
        <v>204</v>
      </c>
      <c r="F95" s="348">
        <v>0.02</v>
      </c>
      <c r="G95" s="42"/>
      <c r="H95" s="347"/>
      <c r="I95" s="42"/>
      <c r="J95" s="51">
        <v>2000</v>
      </c>
      <c r="K95" s="43"/>
      <c r="L95" s="51">
        <f>IF($C95="Per Employee",$L$175*$D95,IF($C95="Per Pupil",$D95*$L$177,IF($C95="Fixed Per Year",$D95,0)))</f>
        <v>10000</v>
      </c>
      <c r="M95" s="43"/>
      <c r="N95" s="51">
        <f>IF($C95="Per Employee",$N$175*$D95,IF($C95="Per Pupil",$D95*$N$177,IF($C95="Fixed Per Year",$D95)))*(1+$F95)^1</f>
        <v>10200</v>
      </c>
      <c r="O95" s="43"/>
      <c r="P95" s="51">
        <f>IF($C95="Per Employee",$P$175*$D95,IF($C95="Per Pupil",$D95*$P$177,IF($C95="Fixed Per Year",$D95)))*(1+$F95)^2</f>
        <v>10404</v>
      </c>
      <c r="Q95" s="334"/>
      <c r="R95" s="51">
        <f>IF($C95="Per Employee",$R$175*$D95,IF($C95="Per Pupil",$D95*$R$177,IF($C95="Fixed Per Year",$D95)))*(1+$F95)^3</f>
        <v>10612.08</v>
      </c>
      <c r="S95" s="342"/>
      <c r="T95" s="51">
        <f>IF($C95="Per Employee",$T$175*$D95,IF($C95="Per Pupil",$D95*$T$177,IF($C95="Fixed Per Year",$D95)))*(1+$F95)^4</f>
        <v>10824.3216</v>
      </c>
    </row>
    <row r="96" spans="1:20" ht="15.75" thickBot="1">
      <c r="A96" s="716" t="s">
        <v>218</v>
      </c>
      <c r="B96" s="42"/>
      <c r="C96" s="696" t="s">
        <v>7</v>
      </c>
      <c r="D96" s="345"/>
      <c r="E96" s="489" t="s">
        <v>204</v>
      </c>
      <c r="F96" s="348"/>
      <c r="G96" s="42"/>
      <c r="H96" s="347"/>
      <c r="I96" s="42"/>
      <c r="J96" s="51"/>
      <c r="K96" s="43"/>
      <c r="L96" s="51">
        <f aca="true" t="shared" si="11" ref="L96:L114">IF($C96="Per Employee",$L$175*$D96,IF($C96="Per Pupil",$D96*$L$177,IF($C96="Fixed Per Year",$D96,0)))</f>
        <v>0</v>
      </c>
      <c r="M96" s="43"/>
      <c r="N96" s="51">
        <f aca="true" t="shared" si="12" ref="N96:N114">IF($C96="Per Employee",$N$175*$D96,IF($C96="Per Pupil",$D96*$N$177,IF($C96="Fixed Per Year",$D96)))*(1+$F96)^1</f>
        <v>0</v>
      </c>
      <c r="O96" s="43"/>
      <c r="P96" s="51">
        <f aca="true" t="shared" si="13" ref="P96:P114">IF($C96="Per Employee",$P$175*$D96,IF($C96="Per Pupil",$D96*$P$177,IF($C96="Fixed Per Year",$D96)))*(1+$F96)^2</f>
        <v>0</v>
      </c>
      <c r="Q96" s="334"/>
      <c r="R96" s="51">
        <f aca="true" t="shared" si="14" ref="R96:R114">IF($C96="Per Employee",$R$175*$D96,IF($C96="Per Pupil",$D96*$R$177,IF($C96="Fixed Per Year",$D96)))*(1+$F96)^3</f>
        <v>0</v>
      </c>
      <c r="S96" s="342"/>
      <c r="T96" s="51">
        <f aca="true" t="shared" si="15" ref="T96:T114">IF($C96="Per Employee",$T$175*$D96,IF($C96="Per Pupil",$D96*$T$177,IF($C96="Fixed Per Year",$D96)))*(1+$F96)^4</f>
        <v>0</v>
      </c>
    </row>
    <row r="97" spans="1:20" ht="15.75" thickBot="1">
      <c r="A97" s="716" t="s">
        <v>224</v>
      </c>
      <c r="B97" s="42"/>
      <c r="C97" s="696" t="s">
        <v>7</v>
      </c>
      <c r="D97" s="345"/>
      <c r="E97" s="489" t="s">
        <v>204</v>
      </c>
      <c r="F97" s="348">
        <v>0.02</v>
      </c>
      <c r="G97" s="42"/>
      <c r="H97" s="347"/>
      <c r="I97" s="42"/>
      <c r="J97" s="51">
        <v>800</v>
      </c>
      <c r="K97" s="43"/>
      <c r="L97" s="51">
        <v>1200</v>
      </c>
      <c r="M97" s="43"/>
      <c r="N97" s="51">
        <v>2016</v>
      </c>
      <c r="O97" s="43"/>
      <c r="P97" s="51">
        <v>2792</v>
      </c>
      <c r="Q97" s="334"/>
      <c r="R97" s="51">
        <v>1200</v>
      </c>
      <c r="S97" s="342"/>
      <c r="T97" s="51">
        <v>1200</v>
      </c>
    </row>
    <row r="98" spans="1:20" ht="15.75" thickBot="1">
      <c r="A98" s="716" t="s">
        <v>225</v>
      </c>
      <c r="B98" s="42"/>
      <c r="C98" s="696" t="s">
        <v>7</v>
      </c>
      <c r="D98" s="345"/>
      <c r="E98" s="489" t="s">
        <v>204</v>
      </c>
      <c r="F98" s="348"/>
      <c r="G98" s="42"/>
      <c r="H98" s="347" t="s">
        <v>614</v>
      </c>
      <c r="I98" s="42"/>
      <c r="J98" s="51">
        <v>4200</v>
      </c>
      <c r="K98" s="43"/>
      <c r="L98" s="51">
        <v>300</v>
      </c>
      <c r="M98" s="43"/>
      <c r="N98" s="51">
        <v>9000</v>
      </c>
      <c r="O98" s="43"/>
      <c r="P98" s="51">
        <v>12900</v>
      </c>
      <c r="Q98" s="334"/>
      <c r="R98" s="51">
        <v>17100</v>
      </c>
      <c r="S98" s="342"/>
      <c r="T98" s="51">
        <v>17100</v>
      </c>
    </row>
    <row r="99" spans="1:20" ht="15.75" thickBot="1">
      <c r="A99" s="716" t="s">
        <v>227</v>
      </c>
      <c r="B99" s="42"/>
      <c r="C99" s="696" t="s">
        <v>206</v>
      </c>
      <c r="D99" s="345">
        <v>13000</v>
      </c>
      <c r="E99" s="489" t="s">
        <v>204</v>
      </c>
      <c r="F99" s="348">
        <v>0.02</v>
      </c>
      <c r="G99" s="42"/>
      <c r="H99" s="347"/>
      <c r="I99" s="42"/>
      <c r="J99" s="51"/>
      <c r="K99" s="43"/>
      <c r="L99" s="51">
        <f t="shared" si="11"/>
        <v>13000</v>
      </c>
      <c r="M99" s="43"/>
      <c r="N99" s="51">
        <f t="shared" si="12"/>
        <v>13260</v>
      </c>
      <c r="O99" s="43"/>
      <c r="P99" s="51">
        <f t="shared" si="13"/>
        <v>13525.2</v>
      </c>
      <c r="Q99" s="334"/>
      <c r="R99" s="51">
        <f t="shared" si="14"/>
        <v>13795.704</v>
      </c>
      <c r="S99" s="342"/>
      <c r="T99" s="51">
        <f t="shared" si="15"/>
        <v>14071.61808</v>
      </c>
    </row>
    <row r="100" spans="1:20" ht="15.75" thickBot="1">
      <c r="A100" s="716" t="s">
        <v>229</v>
      </c>
      <c r="B100" s="42"/>
      <c r="C100" s="696" t="s">
        <v>206</v>
      </c>
      <c r="D100" s="345">
        <v>10000</v>
      </c>
      <c r="E100" s="489" t="s">
        <v>204</v>
      </c>
      <c r="F100" s="348"/>
      <c r="G100" s="42"/>
      <c r="H100" s="347"/>
      <c r="I100" s="42"/>
      <c r="J100" s="51">
        <v>3000</v>
      </c>
      <c r="K100" s="43"/>
      <c r="L100" s="51">
        <f t="shared" si="11"/>
        <v>10000</v>
      </c>
      <c r="M100" s="43"/>
      <c r="N100" s="51">
        <f t="shared" si="12"/>
        <v>10000</v>
      </c>
      <c r="O100" s="43"/>
      <c r="P100" s="51">
        <f t="shared" si="13"/>
        <v>10000</v>
      </c>
      <c r="Q100" s="334"/>
      <c r="R100" s="51">
        <f t="shared" si="14"/>
        <v>10000</v>
      </c>
      <c r="S100" s="342"/>
      <c r="T100" s="51">
        <f t="shared" si="15"/>
        <v>10000</v>
      </c>
    </row>
    <row r="101" spans="1:20" ht="15.75" thickBot="1">
      <c r="A101" s="716" t="s">
        <v>228</v>
      </c>
      <c r="B101" s="42"/>
      <c r="C101" s="696"/>
      <c r="D101" s="345"/>
      <c r="E101" s="489" t="s">
        <v>204</v>
      </c>
      <c r="F101" s="348"/>
      <c r="G101" s="42"/>
      <c r="H101" s="347"/>
      <c r="I101" s="42"/>
      <c r="J101" s="51"/>
      <c r="K101" s="43"/>
      <c r="L101" s="51"/>
      <c r="M101" s="43"/>
      <c r="N101" s="51"/>
      <c r="O101" s="43"/>
      <c r="P101" s="51"/>
      <c r="Q101" s="334"/>
      <c r="R101" s="51"/>
      <c r="S101" s="342"/>
      <c r="T101" s="51"/>
    </row>
    <row r="102" spans="1:20" ht="15.75" thickBot="1">
      <c r="A102" s="716" t="s">
        <v>18</v>
      </c>
      <c r="B102" s="42"/>
      <c r="C102" s="696" t="s">
        <v>178</v>
      </c>
      <c r="D102" s="345">
        <v>50</v>
      </c>
      <c r="E102" s="489" t="s">
        <v>204</v>
      </c>
      <c r="F102" s="348">
        <v>0.02</v>
      </c>
      <c r="G102" s="42"/>
      <c r="H102" s="347"/>
      <c r="I102" s="42"/>
      <c r="J102" s="51">
        <v>5000</v>
      </c>
      <c r="K102" s="43"/>
      <c r="L102" s="51">
        <f t="shared" si="11"/>
        <v>8000</v>
      </c>
      <c r="M102" s="43"/>
      <c r="N102" s="51">
        <f t="shared" si="12"/>
        <v>16320</v>
      </c>
      <c r="O102" s="43"/>
      <c r="P102" s="51">
        <f t="shared" si="13"/>
        <v>24969.6</v>
      </c>
      <c r="Q102" s="334"/>
      <c r="R102" s="51">
        <f t="shared" si="14"/>
        <v>33958.655999999995</v>
      </c>
      <c r="S102" s="342"/>
      <c r="T102" s="51">
        <f t="shared" si="15"/>
        <v>34637.82912</v>
      </c>
    </row>
    <row r="103" spans="1:20" ht="15.75" thickBot="1">
      <c r="A103" s="716" t="s">
        <v>230</v>
      </c>
      <c r="B103" s="42"/>
      <c r="C103" s="696" t="s">
        <v>178</v>
      </c>
      <c r="D103" s="345">
        <v>25</v>
      </c>
      <c r="E103" s="489" t="s">
        <v>204</v>
      </c>
      <c r="F103" s="348">
        <v>0.02</v>
      </c>
      <c r="G103" s="42"/>
      <c r="H103" s="347"/>
      <c r="I103" s="42"/>
      <c r="J103" s="51"/>
      <c r="K103" s="43"/>
      <c r="L103" s="51">
        <f t="shared" si="11"/>
        <v>4000</v>
      </c>
      <c r="M103" s="43"/>
      <c r="N103" s="51">
        <f t="shared" si="12"/>
        <v>8160</v>
      </c>
      <c r="O103" s="43"/>
      <c r="P103" s="51">
        <f t="shared" si="13"/>
        <v>12484.8</v>
      </c>
      <c r="Q103" s="334"/>
      <c r="R103" s="51">
        <f t="shared" si="14"/>
        <v>16979.327999999998</v>
      </c>
      <c r="S103" s="342"/>
      <c r="T103" s="51">
        <f t="shared" si="15"/>
        <v>17318.91456</v>
      </c>
    </row>
    <row r="104" spans="1:20" ht="15.75" thickBot="1">
      <c r="A104" s="716" t="s">
        <v>231</v>
      </c>
      <c r="B104" s="42"/>
      <c r="C104" s="696"/>
      <c r="D104" s="345"/>
      <c r="E104" s="489" t="s">
        <v>204</v>
      </c>
      <c r="F104" s="348"/>
      <c r="G104" s="42"/>
      <c r="H104" s="347"/>
      <c r="I104" s="42"/>
      <c r="J104" s="51"/>
      <c r="K104" s="43"/>
      <c r="L104" s="51">
        <f t="shared" si="11"/>
        <v>0</v>
      </c>
      <c r="M104" s="43"/>
      <c r="N104" s="51">
        <f t="shared" si="12"/>
        <v>0</v>
      </c>
      <c r="O104" s="43"/>
      <c r="P104" s="51">
        <f t="shared" si="13"/>
        <v>0</v>
      </c>
      <c r="Q104" s="334"/>
      <c r="R104" s="51">
        <f t="shared" si="14"/>
        <v>0</v>
      </c>
      <c r="S104" s="342"/>
      <c r="T104" s="51">
        <f t="shared" si="15"/>
        <v>0</v>
      </c>
    </row>
    <row r="105" spans="1:20" ht="15.75" thickBot="1">
      <c r="A105" s="716" t="s">
        <v>232</v>
      </c>
      <c r="B105" s="42"/>
      <c r="C105" s="696" t="s">
        <v>206</v>
      </c>
      <c r="D105" s="345">
        <v>2000</v>
      </c>
      <c r="E105" s="489" t="s">
        <v>204</v>
      </c>
      <c r="F105" s="348">
        <v>0.02</v>
      </c>
      <c r="G105" s="42"/>
      <c r="H105" s="347"/>
      <c r="I105" s="42"/>
      <c r="J105" s="51"/>
      <c r="K105" s="43"/>
      <c r="L105" s="51">
        <f t="shared" si="11"/>
        <v>2000</v>
      </c>
      <c r="M105" s="43"/>
      <c r="N105" s="51">
        <f t="shared" si="12"/>
        <v>2040</v>
      </c>
      <c r="O105" s="43"/>
      <c r="P105" s="51">
        <f t="shared" si="13"/>
        <v>2080.8</v>
      </c>
      <c r="Q105" s="334"/>
      <c r="R105" s="51">
        <f t="shared" si="14"/>
        <v>2122.4159999999997</v>
      </c>
      <c r="S105" s="342"/>
      <c r="T105" s="51">
        <f t="shared" si="15"/>
        <v>2164.86432</v>
      </c>
    </row>
    <row r="106" spans="1:20" ht="45.75" thickBot="1">
      <c r="A106" s="716" t="s">
        <v>449</v>
      </c>
      <c r="B106" s="42"/>
      <c r="C106" s="939" t="s">
        <v>7</v>
      </c>
      <c r="D106" s="940" t="s">
        <v>204</v>
      </c>
      <c r="E106" s="489" t="s">
        <v>204</v>
      </c>
      <c r="F106" s="941" t="s">
        <v>204</v>
      </c>
      <c r="G106" s="42"/>
      <c r="H106" s="1003" t="s">
        <v>520</v>
      </c>
      <c r="I106" s="42"/>
      <c r="J106" s="942">
        <v>0</v>
      </c>
      <c r="K106" s="43"/>
      <c r="L106" s="318">
        <f>((L10+L11+L12+L13+L17+L21)*0.03)+(L20*0.0267)</f>
        <v>43297.77108</v>
      </c>
      <c r="M106" s="43"/>
      <c r="N106" s="318">
        <f>((N10+N11+N12+N13+N17+N21)*0.03)+(N20*0.0267)</f>
        <v>86776.53816</v>
      </c>
      <c r="O106" s="43"/>
      <c r="P106" s="318">
        <f>((P10+P11+P12+P13+P17+P21)*0.03)+(P20*0.0267)</f>
        <v>130279.36523999998</v>
      </c>
      <c r="Q106" s="334"/>
      <c r="R106" s="318">
        <f>((R10+R11+R12+R13+R17+R21)*0.03)+(R20*0.0267)</f>
        <v>173758.13232</v>
      </c>
      <c r="S106" s="342"/>
      <c r="T106" s="318">
        <f>((T10+T11+T12+T13+T17+T21)*0.03)+(T20*0.0267)</f>
        <v>173963.18832</v>
      </c>
    </row>
    <row r="107" spans="1:20" ht="15.75" thickBot="1">
      <c r="A107" s="284"/>
      <c r="B107" s="46"/>
      <c r="C107" s="696" t="s">
        <v>7</v>
      </c>
      <c r="D107" s="345"/>
      <c r="E107" s="489" t="s">
        <v>204</v>
      </c>
      <c r="F107" s="348"/>
      <c r="G107" s="46"/>
      <c r="H107" s="347"/>
      <c r="I107" s="46"/>
      <c r="J107" s="51"/>
      <c r="K107" s="43"/>
      <c r="L107" s="51">
        <f t="shared" si="11"/>
        <v>0</v>
      </c>
      <c r="M107" s="43"/>
      <c r="N107" s="51">
        <f t="shared" si="12"/>
        <v>0</v>
      </c>
      <c r="O107" s="43"/>
      <c r="P107" s="51">
        <f t="shared" si="13"/>
        <v>0</v>
      </c>
      <c r="Q107" s="334"/>
      <c r="R107" s="51">
        <f t="shared" si="14"/>
        <v>0</v>
      </c>
      <c r="S107" s="342"/>
      <c r="T107" s="51">
        <f t="shared" si="15"/>
        <v>0</v>
      </c>
    </row>
    <row r="108" spans="1:20" ht="15.75" thickBot="1">
      <c r="A108" s="284"/>
      <c r="B108" s="46"/>
      <c r="C108" s="696"/>
      <c r="D108" s="345"/>
      <c r="E108" s="489" t="s">
        <v>204</v>
      </c>
      <c r="F108" s="348"/>
      <c r="G108" s="46"/>
      <c r="H108" s="347"/>
      <c r="I108" s="46"/>
      <c r="J108" s="51"/>
      <c r="K108" s="43"/>
      <c r="L108" s="51">
        <f t="shared" si="11"/>
        <v>0</v>
      </c>
      <c r="M108" s="43"/>
      <c r="N108" s="51">
        <f t="shared" si="12"/>
        <v>0</v>
      </c>
      <c r="O108" s="43"/>
      <c r="P108" s="51">
        <f t="shared" si="13"/>
        <v>0</v>
      </c>
      <c r="Q108" s="334"/>
      <c r="R108" s="51">
        <f t="shared" si="14"/>
        <v>0</v>
      </c>
      <c r="S108" s="342"/>
      <c r="T108" s="51">
        <f t="shared" si="15"/>
        <v>0</v>
      </c>
    </row>
    <row r="109" spans="1:20" ht="15.75" thickBot="1">
      <c r="A109" s="284"/>
      <c r="B109" s="46"/>
      <c r="C109" s="696"/>
      <c r="D109" s="345"/>
      <c r="E109" s="489" t="s">
        <v>204</v>
      </c>
      <c r="F109" s="348"/>
      <c r="G109" s="46"/>
      <c r="H109" s="347"/>
      <c r="I109" s="46"/>
      <c r="J109" s="51"/>
      <c r="K109" s="43"/>
      <c r="L109" s="51">
        <f t="shared" si="11"/>
        <v>0</v>
      </c>
      <c r="M109" s="43"/>
      <c r="N109" s="51">
        <f t="shared" si="12"/>
        <v>0</v>
      </c>
      <c r="O109" s="43"/>
      <c r="P109" s="51">
        <f t="shared" si="13"/>
        <v>0</v>
      </c>
      <c r="Q109" s="334"/>
      <c r="R109" s="51">
        <f t="shared" si="14"/>
        <v>0</v>
      </c>
      <c r="S109" s="342"/>
      <c r="T109" s="51">
        <f t="shared" si="15"/>
        <v>0</v>
      </c>
    </row>
    <row r="110" spans="1:20" ht="15.75" thickBot="1">
      <c r="A110" s="284"/>
      <c r="B110" s="46"/>
      <c r="C110" s="696"/>
      <c r="D110" s="345"/>
      <c r="E110" s="489" t="s">
        <v>204</v>
      </c>
      <c r="F110" s="348"/>
      <c r="G110" s="46"/>
      <c r="H110" s="347"/>
      <c r="I110" s="46"/>
      <c r="J110" s="51"/>
      <c r="K110" s="43"/>
      <c r="L110" s="51">
        <f t="shared" si="11"/>
        <v>0</v>
      </c>
      <c r="M110" s="43"/>
      <c r="N110" s="51">
        <f t="shared" si="12"/>
        <v>0</v>
      </c>
      <c r="O110" s="43"/>
      <c r="P110" s="51">
        <f t="shared" si="13"/>
        <v>0</v>
      </c>
      <c r="Q110" s="334"/>
      <c r="R110" s="51">
        <f t="shared" si="14"/>
        <v>0</v>
      </c>
      <c r="S110" s="342"/>
      <c r="T110" s="51">
        <f t="shared" si="15"/>
        <v>0</v>
      </c>
    </row>
    <row r="111" spans="1:20" ht="15.75" thickBot="1">
      <c r="A111" s="284"/>
      <c r="B111" s="46"/>
      <c r="C111" s="696"/>
      <c r="D111" s="345"/>
      <c r="E111" s="489" t="s">
        <v>204</v>
      </c>
      <c r="F111" s="348"/>
      <c r="G111" s="46"/>
      <c r="H111" s="347"/>
      <c r="I111" s="46"/>
      <c r="J111" s="51"/>
      <c r="K111" s="43"/>
      <c r="L111" s="51">
        <f t="shared" si="11"/>
        <v>0</v>
      </c>
      <c r="M111" s="43"/>
      <c r="N111" s="51">
        <f t="shared" si="12"/>
        <v>0</v>
      </c>
      <c r="O111" s="43"/>
      <c r="P111" s="51">
        <f t="shared" si="13"/>
        <v>0</v>
      </c>
      <c r="Q111" s="334"/>
      <c r="R111" s="51">
        <f t="shared" si="14"/>
        <v>0</v>
      </c>
      <c r="S111" s="342"/>
      <c r="T111" s="51">
        <f t="shared" si="15"/>
        <v>0</v>
      </c>
    </row>
    <row r="112" spans="1:20" ht="15.75" thickBot="1">
      <c r="A112" s="284"/>
      <c r="B112" s="46"/>
      <c r="C112" s="696"/>
      <c r="D112" s="345"/>
      <c r="E112" s="489" t="s">
        <v>204</v>
      </c>
      <c r="F112" s="348"/>
      <c r="G112" s="46"/>
      <c r="H112" s="347"/>
      <c r="I112" s="46"/>
      <c r="J112" s="51"/>
      <c r="K112" s="43"/>
      <c r="L112" s="51">
        <f t="shared" si="11"/>
        <v>0</v>
      </c>
      <c r="M112" s="43"/>
      <c r="N112" s="51">
        <f t="shared" si="12"/>
        <v>0</v>
      </c>
      <c r="O112" s="43"/>
      <c r="P112" s="51">
        <f t="shared" si="13"/>
        <v>0</v>
      </c>
      <c r="Q112" s="334"/>
      <c r="R112" s="51">
        <f t="shared" si="14"/>
        <v>0</v>
      </c>
      <c r="S112" s="342"/>
      <c r="T112" s="51">
        <f t="shared" si="15"/>
        <v>0</v>
      </c>
    </row>
    <row r="113" spans="1:20" ht="15.75" thickBot="1">
      <c r="A113" s="284"/>
      <c r="B113" s="46"/>
      <c r="C113" s="696"/>
      <c r="D113" s="345"/>
      <c r="E113" s="489" t="s">
        <v>204</v>
      </c>
      <c r="F113" s="348"/>
      <c r="G113" s="46"/>
      <c r="H113" s="347"/>
      <c r="I113" s="46"/>
      <c r="J113" s="51"/>
      <c r="K113" s="43"/>
      <c r="L113" s="51">
        <f t="shared" si="11"/>
        <v>0</v>
      </c>
      <c r="M113" s="43"/>
      <c r="N113" s="51">
        <f t="shared" si="12"/>
        <v>0</v>
      </c>
      <c r="O113" s="43"/>
      <c r="P113" s="51">
        <f t="shared" si="13"/>
        <v>0</v>
      </c>
      <c r="Q113" s="334"/>
      <c r="R113" s="51">
        <f t="shared" si="14"/>
        <v>0</v>
      </c>
      <c r="S113" s="342"/>
      <c r="T113" s="51">
        <f t="shared" si="15"/>
        <v>0</v>
      </c>
    </row>
    <row r="114" spans="1:20" ht="15.75" thickBot="1">
      <c r="A114" s="284"/>
      <c r="B114" s="46"/>
      <c r="C114" s="696"/>
      <c r="D114" s="345"/>
      <c r="E114" s="489" t="s">
        <v>204</v>
      </c>
      <c r="F114" s="348"/>
      <c r="G114" s="46"/>
      <c r="H114" s="347"/>
      <c r="I114" s="46"/>
      <c r="J114" s="51"/>
      <c r="K114" s="43"/>
      <c r="L114" s="51">
        <f t="shared" si="11"/>
        <v>0</v>
      </c>
      <c r="M114" s="43"/>
      <c r="N114" s="51">
        <f t="shared" si="12"/>
        <v>0</v>
      </c>
      <c r="O114" s="43"/>
      <c r="P114" s="51">
        <f t="shared" si="13"/>
        <v>0</v>
      </c>
      <c r="Q114" s="334"/>
      <c r="R114" s="51">
        <f t="shared" si="14"/>
        <v>0</v>
      </c>
      <c r="S114" s="342"/>
      <c r="T114" s="51">
        <f t="shared" si="15"/>
        <v>0</v>
      </c>
    </row>
    <row r="115" spans="1:20" ht="15.75" thickBot="1">
      <c r="A115" s="40"/>
      <c r="B115" s="42"/>
      <c r="C115" s="299"/>
      <c r="D115" s="299"/>
      <c r="E115" s="299"/>
      <c r="F115" s="299"/>
      <c r="G115" s="42"/>
      <c r="H115" s="285"/>
      <c r="I115" s="42"/>
      <c r="J115" s="47"/>
      <c r="K115" s="39"/>
      <c r="L115" s="47"/>
      <c r="M115" s="39"/>
      <c r="N115" s="47"/>
      <c r="O115" s="39"/>
      <c r="P115" s="47"/>
      <c r="Q115" s="333"/>
      <c r="R115" s="48"/>
      <c r="S115" s="342"/>
      <c r="T115" s="48"/>
    </row>
    <row r="116" spans="2:20" ht="15.75" thickBot="1">
      <c r="B116" s="38"/>
      <c r="C116" s="298"/>
      <c r="D116" s="298"/>
      <c r="E116" s="298"/>
      <c r="F116" s="298"/>
      <c r="G116" s="38"/>
      <c r="H116" s="287" t="s">
        <v>19</v>
      </c>
      <c r="I116" s="38"/>
      <c r="J116" s="485">
        <f>SUM(J95:J114)</f>
        <v>15000</v>
      </c>
      <c r="K116" s="359"/>
      <c r="L116" s="485">
        <f>SUM(L95:L114)</f>
        <v>91797.77108</v>
      </c>
      <c r="M116" s="359"/>
      <c r="N116" s="485">
        <f>SUM(N95:N114)</f>
        <v>157772.53816</v>
      </c>
      <c r="O116" s="359"/>
      <c r="P116" s="485">
        <f>SUM(P95:P114)</f>
        <v>219435.76523999998</v>
      </c>
      <c r="Q116" s="360"/>
      <c r="R116" s="485">
        <f>SUM(R95:R114)</f>
        <v>279526.31632</v>
      </c>
      <c r="S116" s="356"/>
      <c r="T116" s="485">
        <f>SUM(T95:T114)</f>
        <v>281280.736</v>
      </c>
    </row>
    <row r="117" spans="1:20" ht="15.75" thickBot="1">
      <c r="A117" s="53"/>
      <c r="B117" s="55"/>
      <c r="C117" s="302"/>
      <c r="D117" s="302"/>
      <c r="E117" s="302"/>
      <c r="F117" s="302"/>
      <c r="G117" s="55"/>
      <c r="H117" s="285"/>
      <c r="I117" s="55"/>
      <c r="J117" s="54"/>
      <c r="K117" s="43"/>
      <c r="L117" s="54"/>
      <c r="M117" s="43"/>
      <c r="N117" s="54"/>
      <c r="O117" s="43"/>
      <c r="P117" s="54"/>
      <c r="Q117" s="334"/>
      <c r="R117" s="54"/>
      <c r="S117" s="343"/>
      <c r="T117" s="54"/>
    </row>
    <row r="118" spans="1:20" ht="18.75" customHeight="1" thickBot="1">
      <c r="A118" s="287" t="s">
        <v>238</v>
      </c>
      <c r="B118" s="38"/>
      <c r="C118" s="298"/>
      <c r="D118" s="298"/>
      <c r="E118" s="298"/>
      <c r="F118" s="298"/>
      <c r="G118" s="38"/>
      <c r="H118" s="285"/>
      <c r="I118" s="38"/>
      <c r="J118" s="37"/>
      <c r="K118" s="39"/>
      <c r="L118" s="37"/>
      <c r="M118" s="39"/>
      <c r="N118" s="37"/>
      <c r="O118" s="39"/>
      <c r="P118" s="37"/>
      <c r="Q118" s="333"/>
      <c r="R118" s="32"/>
      <c r="S118" s="342"/>
      <c r="T118" s="32"/>
    </row>
    <row r="119" spans="1:20" ht="15.75" thickBot="1">
      <c r="A119" s="710" t="s">
        <v>390</v>
      </c>
      <c r="B119" s="42"/>
      <c r="C119" s="696"/>
      <c r="D119" s="345"/>
      <c r="E119" s="492" t="s">
        <v>204</v>
      </c>
      <c r="F119" s="348"/>
      <c r="G119" s="42"/>
      <c r="H119" s="347"/>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34"/>
      <c r="R119" s="51">
        <f>IF($C119="Per Employee",$R$175*$D119,IF($C119="Per Pupil",$D119*$R$177,IF($C119="Fixed Per Year",$D119)))*(1+$F119)^3</f>
        <v>0</v>
      </c>
      <c r="S119" s="342"/>
      <c r="T119" s="51">
        <f>IF($C119="Per Employee",$T$175*$D119,IF($C119="Per Pupil",$D119*$T$177,IF($C119="Fixed Per Year",$D119)))*(1+$F119)^4</f>
        <v>0</v>
      </c>
    </row>
    <row r="120" spans="1:20" ht="15.75" thickBot="1">
      <c r="A120" s="709" t="s">
        <v>21</v>
      </c>
      <c r="B120" s="42"/>
      <c r="C120" s="696"/>
      <c r="D120" s="345"/>
      <c r="E120" s="492" t="s">
        <v>204</v>
      </c>
      <c r="F120" s="348"/>
      <c r="G120" s="42"/>
      <c r="H120" s="347"/>
      <c r="I120" s="42"/>
      <c r="J120" s="41"/>
      <c r="K120" s="43"/>
      <c r="L120" s="51">
        <f aca="true" t="shared" si="16" ref="L120:L136">IF($C120="Per Employee",$L$175*$D120,IF($C120="Per Pupil",$D120*$L$177,IF($C120="Fixed Per Year",$D120,0)))</f>
        <v>0</v>
      </c>
      <c r="M120" s="43"/>
      <c r="N120" s="51">
        <f aca="true" t="shared" si="17" ref="N120:N136">IF($C120="Per Employee",$N$175*$D120,IF($C120="Per Pupil",$D120*$N$177,IF($C120="Fixed Per Year",$D120)))*(1+$F120)^1</f>
        <v>0</v>
      </c>
      <c r="O120" s="43"/>
      <c r="P120" s="51">
        <f aca="true" t="shared" si="18" ref="P120:P136">IF($C120="Per Employee",$P$175*$D120,IF($C120="Per Pupil",$D120*$P$177,IF($C120="Fixed Per Year",$D120)))*(1+$F120)^2</f>
        <v>0</v>
      </c>
      <c r="Q120" s="334"/>
      <c r="R120" s="51">
        <f aca="true" t="shared" si="19" ref="R120:R136">IF($C120="Per Employee",$R$175*$D120,IF($C120="Per Pupil",$D120*$R$177,IF($C120="Fixed Per Year",$D120)))*(1+$F120)^3</f>
        <v>0</v>
      </c>
      <c r="S120" s="342"/>
      <c r="T120" s="51">
        <f aca="true" t="shared" si="20" ref="T120:T136">IF($C120="Per Employee",$T$175*$D120,IF($C120="Per Pupil",$D120*$T$177,IF($C120="Fixed Per Year",$D120)))*(1+$F120)^4</f>
        <v>0</v>
      </c>
    </row>
    <row r="121" spans="1:20" ht="15.75" thickBot="1">
      <c r="A121" s="709" t="s">
        <v>234</v>
      </c>
      <c r="B121" s="42"/>
      <c r="C121" s="696"/>
      <c r="D121" s="345"/>
      <c r="E121" s="492" t="s">
        <v>204</v>
      </c>
      <c r="F121" s="348"/>
      <c r="G121" s="42"/>
      <c r="H121" s="347"/>
      <c r="I121" s="42"/>
      <c r="J121" s="41"/>
      <c r="K121" s="43"/>
      <c r="L121" s="51">
        <f t="shared" si="16"/>
        <v>0</v>
      </c>
      <c r="M121" s="43"/>
      <c r="N121" s="51">
        <f t="shared" si="17"/>
        <v>0</v>
      </c>
      <c r="O121" s="43"/>
      <c r="P121" s="51">
        <f t="shared" si="18"/>
        <v>0</v>
      </c>
      <c r="Q121" s="334"/>
      <c r="R121" s="51">
        <f t="shared" si="19"/>
        <v>0</v>
      </c>
      <c r="S121" s="342"/>
      <c r="T121" s="51">
        <f t="shared" si="20"/>
        <v>0</v>
      </c>
    </row>
    <row r="122" spans="1:20" ht="15.75" thickBot="1">
      <c r="A122" s="709" t="s">
        <v>17</v>
      </c>
      <c r="B122" s="42"/>
      <c r="C122" s="696"/>
      <c r="D122" s="345"/>
      <c r="E122" s="492" t="s">
        <v>204</v>
      </c>
      <c r="F122" s="348"/>
      <c r="G122" s="42"/>
      <c r="H122" s="347"/>
      <c r="I122" s="42"/>
      <c r="J122" s="41"/>
      <c r="K122" s="43"/>
      <c r="L122" s="51">
        <f t="shared" si="16"/>
        <v>0</v>
      </c>
      <c r="M122" s="43"/>
      <c r="N122" s="51">
        <f t="shared" si="17"/>
        <v>0</v>
      </c>
      <c r="O122" s="43"/>
      <c r="P122" s="51">
        <f t="shared" si="18"/>
        <v>0</v>
      </c>
      <c r="Q122" s="334"/>
      <c r="R122" s="51">
        <f t="shared" si="19"/>
        <v>0</v>
      </c>
      <c r="S122" s="342"/>
      <c r="T122" s="51">
        <f t="shared" si="20"/>
        <v>0</v>
      </c>
    </row>
    <row r="123" spans="1:20" ht="15.75" thickBot="1">
      <c r="A123" s="709" t="s">
        <v>165</v>
      </c>
      <c r="B123" s="42"/>
      <c r="C123" s="696"/>
      <c r="D123" s="345"/>
      <c r="E123" s="492" t="s">
        <v>204</v>
      </c>
      <c r="F123" s="348"/>
      <c r="G123" s="42"/>
      <c r="H123" s="347"/>
      <c r="I123" s="42"/>
      <c r="J123" s="41"/>
      <c r="K123" s="43"/>
      <c r="L123" s="51">
        <f t="shared" si="16"/>
        <v>0</v>
      </c>
      <c r="M123" s="43"/>
      <c r="N123" s="51">
        <f t="shared" si="17"/>
        <v>0</v>
      </c>
      <c r="O123" s="43"/>
      <c r="P123" s="51">
        <f t="shared" si="18"/>
        <v>0</v>
      </c>
      <c r="Q123" s="334"/>
      <c r="R123" s="51">
        <f t="shared" si="19"/>
        <v>0</v>
      </c>
      <c r="S123" s="342"/>
      <c r="T123" s="51">
        <f t="shared" si="20"/>
        <v>0</v>
      </c>
    </row>
    <row r="124" spans="1:20" ht="15.75" thickBot="1">
      <c r="A124" s="709" t="s">
        <v>166</v>
      </c>
      <c r="B124" s="42"/>
      <c r="C124" s="696"/>
      <c r="D124" s="345"/>
      <c r="E124" s="492" t="s">
        <v>204</v>
      </c>
      <c r="F124" s="348"/>
      <c r="G124" s="42"/>
      <c r="H124" s="347"/>
      <c r="I124" s="42"/>
      <c r="J124" s="41"/>
      <c r="K124" s="43"/>
      <c r="L124" s="51">
        <f t="shared" si="16"/>
        <v>0</v>
      </c>
      <c r="M124" s="43"/>
      <c r="N124" s="51">
        <f t="shared" si="17"/>
        <v>0</v>
      </c>
      <c r="O124" s="43"/>
      <c r="P124" s="51">
        <f t="shared" si="18"/>
        <v>0</v>
      </c>
      <c r="Q124" s="334"/>
      <c r="R124" s="51">
        <f t="shared" si="19"/>
        <v>0</v>
      </c>
      <c r="S124" s="342"/>
      <c r="T124" s="51">
        <f t="shared" si="20"/>
        <v>0</v>
      </c>
    </row>
    <row r="125" spans="1:20" ht="15.75" thickBot="1">
      <c r="A125" s="709" t="s">
        <v>236</v>
      </c>
      <c r="B125" s="42"/>
      <c r="C125" s="696"/>
      <c r="D125" s="345"/>
      <c r="E125" s="492" t="s">
        <v>204</v>
      </c>
      <c r="F125" s="348"/>
      <c r="G125" s="42"/>
      <c r="H125" s="347"/>
      <c r="I125" s="42"/>
      <c r="J125" s="41"/>
      <c r="K125" s="43"/>
      <c r="L125" s="51">
        <f t="shared" si="16"/>
        <v>0</v>
      </c>
      <c r="M125" s="43"/>
      <c r="N125" s="51">
        <f t="shared" si="17"/>
        <v>0</v>
      </c>
      <c r="O125" s="43"/>
      <c r="P125" s="51">
        <f t="shared" si="18"/>
        <v>0</v>
      </c>
      <c r="Q125" s="334"/>
      <c r="R125" s="51">
        <f t="shared" si="19"/>
        <v>0</v>
      </c>
      <c r="S125" s="342"/>
      <c r="T125" s="51">
        <f t="shared" si="20"/>
        <v>0</v>
      </c>
    </row>
    <row r="126" spans="1:20" ht="15.75" thickBot="1">
      <c r="A126" s="709" t="s">
        <v>237</v>
      </c>
      <c r="B126" s="46"/>
      <c r="C126" s="696"/>
      <c r="D126" s="345"/>
      <c r="E126" s="492" t="s">
        <v>204</v>
      </c>
      <c r="F126" s="348"/>
      <c r="G126" s="46"/>
      <c r="H126" s="347"/>
      <c r="I126" s="46"/>
      <c r="J126" s="41"/>
      <c r="K126" s="43"/>
      <c r="L126" s="51">
        <f t="shared" si="16"/>
        <v>0</v>
      </c>
      <c r="M126" s="43"/>
      <c r="N126" s="51">
        <f t="shared" si="17"/>
        <v>0</v>
      </c>
      <c r="O126" s="43"/>
      <c r="P126" s="51">
        <f t="shared" si="18"/>
        <v>0</v>
      </c>
      <c r="Q126" s="334"/>
      <c r="R126" s="51">
        <f t="shared" si="19"/>
        <v>0</v>
      </c>
      <c r="S126" s="342"/>
      <c r="T126" s="51">
        <f t="shared" si="20"/>
        <v>0</v>
      </c>
    </row>
    <row r="127" spans="1:20" ht="15.75" thickBot="1">
      <c r="A127" s="717" t="s">
        <v>22</v>
      </c>
      <c r="B127" s="46"/>
      <c r="C127" s="696"/>
      <c r="D127" s="345"/>
      <c r="E127" s="492" t="s">
        <v>204</v>
      </c>
      <c r="F127" s="348"/>
      <c r="G127" s="46"/>
      <c r="H127" s="347"/>
      <c r="I127" s="46"/>
      <c r="J127" s="41"/>
      <c r="K127" s="43"/>
      <c r="L127" s="51">
        <f t="shared" si="16"/>
        <v>0</v>
      </c>
      <c r="M127" s="43"/>
      <c r="N127" s="51">
        <f t="shared" si="17"/>
        <v>0</v>
      </c>
      <c r="O127" s="43"/>
      <c r="P127" s="51">
        <f t="shared" si="18"/>
        <v>0</v>
      </c>
      <c r="Q127" s="334"/>
      <c r="R127" s="51">
        <f t="shared" si="19"/>
        <v>0</v>
      </c>
      <c r="S127" s="342"/>
      <c r="T127" s="51">
        <f t="shared" si="20"/>
        <v>0</v>
      </c>
    </row>
    <row r="128" spans="1:20" ht="15.75" thickBot="1">
      <c r="A128" s="709" t="s">
        <v>235</v>
      </c>
      <c r="B128" s="46"/>
      <c r="C128" s="696"/>
      <c r="D128" s="345"/>
      <c r="E128" s="492" t="s">
        <v>204</v>
      </c>
      <c r="F128" s="348"/>
      <c r="G128" s="46"/>
      <c r="H128" s="347"/>
      <c r="I128" s="46"/>
      <c r="J128" s="41"/>
      <c r="K128" s="43"/>
      <c r="L128" s="51">
        <f t="shared" si="16"/>
        <v>0</v>
      </c>
      <c r="M128" s="43"/>
      <c r="N128" s="51">
        <f t="shared" si="17"/>
        <v>0</v>
      </c>
      <c r="O128" s="43"/>
      <c r="P128" s="51">
        <f t="shared" si="18"/>
        <v>0</v>
      </c>
      <c r="Q128" s="334"/>
      <c r="R128" s="51">
        <f t="shared" si="19"/>
        <v>0</v>
      </c>
      <c r="S128" s="342"/>
      <c r="T128" s="51">
        <f t="shared" si="20"/>
        <v>0</v>
      </c>
    </row>
    <row r="129" spans="1:20" ht="15.75" thickBot="1">
      <c r="A129" s="272"/>
      <c r="B129" s="46"/>
      <c r="C129" s="696"/>
      <c r="D129" s="345"/>
      <c r="E129" s="492" t="s">
        <v>204</v>
      </c>
      <c r="F129" s="348"/>
      <c r="G129" s="46"/>
      <c r="H129" s="347"/>
      <c r="I129" s="46"/>
      <c r="J129" s="41"/>
      <c r="K129" s="43"/>
      <c r="L129" s="51">
        <f t="shared" si="16"/>
        <v>0</v>
      </c>
      <c r="M129" s="43"/>
      <c r="N129" s="51">
        <f t="shared" si="17"/>
        <v>0</v>
      </c>
      <c r="O129" s="43"/>
      <c r="P129" s="51">
        <f t="shared" si="18"/>
        <v>0</v>
      </c>
      <c r="Q129" s="334"/>
      <c r="R129" s="51">
        <f t="shared" si="19"/>
        <v>0</v>
      </c>
      <c r="S129" s="342"/>
      <c r="T129" s="51">
        <f t="shared" si="20"/>
        <v>0</v>
      </c>
    </row>
    <row r="130" spans="1:20" ht="15.75" thickBot="1">
      <c r="A130" s="272"/>
      <c r="B130" s="46"/>
      <c r="C130" s="696"/>
      <c r="D130" s="345"/>
      <c r="E130" s="492" t="s">
        <v>204</v>
      </c>
      <c r="F130" s="348"/>
      <c r="G130" s="46"/>
      <c r="H130" s="347"/>
      <c r="I130" s="46"/>
      <c r="J130" s="41"/>
      <c r="K130" s="43"/>
      <c r="L130" s="51">
        <f t="shared" si="16"/>
        <v>0</v>
      </c>
      <c r="M130" s="43"/>
      <c r="N130" s="51">
        <f t="shared" si="17"/>
        <v>0</v>
      </c>
      <c r="O130" s="43"/>
      <c r="P130" s="51">
        <f t="shared" si="18"/>
        <v>0</v>
      </c>
      <c r="Q130" s="334"/>
      <c r="R130" s="51">
        <f t="shared" si="19"/>
        <v>0</v>
      </c>
      <c r="S130" s="342"/>
      <c r="T130" s="51">
        <f t="shared" si="20"/>
        <v>0</v>
      </c>
    </row>
    <row r="131" spans="1:20" ht="15.75" thickBot="1">
      <c r="A131" s="272"/>
      <c r="B131" s="46"/>
      <c r="C131" s="696"/>
      <c r="D131" s="345"/>
      <c r="E131" s="492" t="s">
        <v>204</v>
      </c>
      <c r="F131" s="348"/>
      <c r="G131" s="46"/>
      <c r="H131" s="347"/>
      <c r="I131" s="46"/>
      <c r="J131" s="41"/>
      <c r="K131" s="43"/>
      <c r="L131" s="51">
        <f t="shared" si="16"/>
        <v>0</v>
      </c>
      <c r="M131" s="43"/>
      <c r="N131" s="51">
        <f t="shared" si="17"/>
        <v>0</v>
      </c>
      <c r="O131" s="43"/>
      <c r="P131" s="51">
        <f t="shared" si="18"/>
        <v>0</v>
      </c>
      <c r="Q131" s="334"/>
      <c r="R131" s="51">
        <f t="shared" si="19"/>
        <v>0</v>
      </c>
      <c r="S131" s="342"/>
      <c r="T131" s="51">
        <f t="shared" si="20"/>
        <v>0</v>
      </c>
    </row>
    <row r="132" spans="1:20" ht="15.75" thickBot="1">
      <c r="A132" s="272"/>
      <c r="B132" s="46"/>
      <c r="C132" s="696"/>
      <c r="D132" s="345"/>
      <c r="E132" s="492" t="s">
        <v>204</v>
      </c>
      <c r="F132" s="348"/>
      <c r="G132" s="46"/>
      <c r="H132" s="347"/>
      <c r="I132" s="46"/>
      <c r="J132" s="41"/>
      <c r="K132" s="43"/>
      <c r="L132" s="51">
        <f t="shared" si="16"/>
        <v>0</v>
      </c>
      <c r="M132" s="43"/>
      <c r="N132" s="51">
        <f t="shared" si="17"/>
        <v>0</v>
      </c>
      <c r="O132" s="43"/>
      <c r="P132" s="51">
        <f t="shared" si="18"/>
        <v>0</v>
      </c>
      <c r="Q132" s="334"/>
      <c r="R132" s="51">
        <f t="shared" si="19"/>
        <v>0</v>
      </c>
      <c r="S132" s="342"/>
      <c r="T132" s="51">
        <f t="shared" si="20"/>
        <v>0</v>
      </c>
    </row>
    <row r="133" spans="1:20" ht="15.75" thickBot="1">
      <c r="A133" s="272"/>
      <c r="B133" s="46"/>
      <c r="C133" s="696"/>
      <c r="D133" s="345"/>
      <c r="E133" s="492" t="s">
        <v>204</v>
      </c>
      <c r="F133" s="348"/>
      <c r="G133" s="46"/>
      <c r="H133" s="347"/>
      <c r="I133" s="46"/>
      <c r="J133" s="41"/>
      <c r="K133" s="43"/>
      <c r="L133" s="51">
        <f t="shared" si="16"/>
        <v>0</v>
      </c>
      <c r="M133" s="43"/>
      <c r="N133" s="51">
        <f t="shared" si="17"/>
        <v>0</v>
      </c>
      <c r="O133" s="43"/>
      <c r="P133" s="51">
        <f t="shared" si="18"/>
        <v>0</v>
      </c>
      <c r="Q133" s="334"/>
      <c r="R133" s="51">
        <f t="shared" si="19"/>
        <v>0</v>
      </c>
      <c r="S133" s="342"/>
      <c r="T133" s="51">
        <f t="shared" si="20"/>
        <v>0</v>
      </c>
    </row>
    <row r="134" spans="1:20" ht="15.75" thickBot="1">
      <c r="A134" s="272"/>
      <c r="B134" s="46"/>
      <c r="C134" s="696"/>
      <c r="D134" s="345"/>
      <c r="E134" s="492" t="s">
        <v>204</v>
      </c>
      <c r="F134" s="348"/>
      <c r="G134" s="46"/>
      <c r="H134" s="347"/>
      <c r="I134" s="46"/>
      <c r="J134" s="41"/>
      <c r="K134" s="43"/>
      <c r="L134" s="51">
        <f t="shared" si="16"/>
        <v>0</v>
      </c>
      <c r="M134" s="43"/>
      <c r="N134" s="51">
        <f t="shared" si="17"/>
        <v>0</v>
      </c>
      <c r="O134" s="43"/>
      <c r="P134" s="51">
        <f t="shared" si="18"/>
        <v>0</v>
      </c>
      <c r="Q134" s="334"/>
      <c r="R134" s="51">
        <f t="shared" si="19"/>
        <v>0</v>
      </c>
      <c r="S134" s="342"/>
      <c r="T134" s="51">
        <f t="shared" si="20"/>
        <v>0</v>
      </c>
    </row>
    <row r="135" spans="1:20" ht="15.75" thickBot="1">
      <c r="A135" s="272"/>
      <c r="B135" s="46"/>
      <c r="C135" s="696"/>
      <c r="D135" s="345"/>
      <c r="E135" s="492" t="s">
        <v>204</v>
      </c>
      <c r="F135" s="348"/>
      <c r="G135" s="46"/>
      <c r="H135" s="347"/>
      <c r="I135" s="46"/>
      <c r="J135" s="41"/>
      <c r="K135" s="43"/>
      <c r="L135" s="51">
        <f t="shared" si="16"/>
        <v>0</v>
      </c>
      <c r="M135" s="43"/>
      <c r="N135" s="51">
        <f t="shared" si="17"/>
        <v>0</v>
      </c>
      <c r="O135" s="43"/>
      <c r="P135" s="51">
        <f t="shared" si="18"/>
        <v>0</v>
      </c>
      <c r="Q135" s="334"/>
      <c r="R135" s="51">
        <f t="shared" si="19"/>
        <v>0</v>
      </c>
      <c r="S135" s="342"/>
      <c r="T135" s="51">
        <f t="shared" si="20"/>
        <v>0</v>
      </c>
    </row>
    <row r="136" spans="1:20" ht="15.75" thickBot="1">
      <c r="A136" s="272"/>
      <c r="B136" s="46"/>
      <c r="C136" s="696"/>
      <c r="D136" s="345"/>
      <c r="E136" s="492" t="s">
        <v>204</v>
      </c>
      <c r="F136" s="348"/>
      <c r="G136" s="46"/>
      <c r="H136" s="347"/>
      <c r="I136" s="46"/>
      <c r="J136" s="41"/>
      <c r="K136" s="43"/>
      <c r="L136" s="51">
        <f t="shared" si="16"/>
        <v>0</v>
      </c>
      <c r="M136" s="43"/>
      <c r="N136" s="51">
        <f t="shared" si="17"/>
        <v>0</v>
      </c>
      <c r="O136" s="43"/>
      <c r="P136" s="51">
        <f t="shared" si="18"/>
        <v>0</v>
      </c>
      <c r="Q136" s="334"/>
      <c r="R136" s="51">
        <f t="shared" si="19"/>
        <v>0</v>
      </c>
      <c r="S136" s="342"/>
      <c r="T136" s="51">
        <f t="shared" si="20"/>
        <v>0</v>
      </c>
    </row>
    <row r="137" spans="1:20" ht="15.75" thickBot="1">
      <c r="A137" s="45"/>
      <c r="B137" s="46"/>
      <c r="C137" s="301"/>
      <c r="D137" s="301"/>
      <c r="E137" s="301"/>
      <c r="F137" s="301"/>
      <c r="G137" s="46"/>
      <c r="H137" s="285"/>
      <c r="I137" s="46"/>
      <c r="J137" s="54"/>
      <c r="K137" s="43"/>
      <c r="L137" s="54"/>
      <c r="M137" s="43"/>
      <c r="N137" s="54"/>
      <c r="O137" s="43"/>
      <c r="P137" s="54"/>
      <c r="Q137" s="334"/>
      <c r="R137" s="56"/>
      <c r="S137" s="343"/>
      <c r="T137" s="56"/>
    </row>
    <row r="138" spans="2:20" ht="15.75" thickBot="1">
      <c r="B138" s="38"/>
      <c r="C138" s="298"/>
      <c r="D138" s="298"/>
      <c r="E138" s="298"/>
      <c r="F138" s="298"/>
      <c r="G138" s="38"/>
      <c r="H138" s="287" t="s">
        <v>20</v>
      </c>
      <c r="I138" s="38"/>
      <c r="J138" s="485">
        <f>SUM(J119:J136)</f>
        <v>0</v>
      </c>
      <c r="K138" s="359"/>
      <c r="L138" s="485">
        <f>SUM(L119:L136)</f>
        <v>0</v>
      </c>
      <c r="M138" s="359"/>
      <c r="N138" s="485">
        <f>SUM(N119:N136)</f>
        <v>0</v>
      </c>
      <c r="O138" s="359"/>
      <c r="P138" s="485">
        <f>SUM(P119:P136)</f>
        <v>0</v>
      </c>
      <c r="Q138" s="360"/>
      <c r="R138" s="485">
        <f>SUM(R119:R136)</f>
        <v>0</v>
      </c>
      <c r="S138" s="356"/>
      <c r="T138" s="485">
        <f>SUM(T119:T136)</f>
        <v>0</v>
      </c>
    </row>
    <row r="139" spans="1:20" ht="15.75" thickBot="1">
      <c r="A139" s="57"/>
      <c r="B139" s="58"/>
      <c r="C139" s="303"/>
      <c r="D139" s="303"/>
      <c r="E139" s="303"/>
      <c r="F139" s="303"/>
      <c r="G139" s="58"/>
      <c r="H139" s="285"/>
      <c r="I139" s="58"/>
      <c r="J139" s="54"/>
      <c r="K139" s="59"/>
      <c r="L139" s="54"/>
      <c r="M139" s="59"/>
      <c r="N139" s="54"/>
      <c r="O139" s="59"/>
      <c r="P139" s="54"/>
      <c r="Q139" s="336"/>
      <c r="R139" s="56"/>
      <c r="S139" s="344"/>
      <c r="T139" s="56"/>
    </row>
    <row r="140" spans="1:20" ht="18.75" customHeight="1" thickBot="1">
      <c r="A140" s="287" t="s">
        <v>233</v>
      </c>
      <c r="B140" s="38"/>
      <c r="C140" s="696"/>
      <c r="D140" s="345"/>
      <c r="E140" s="492" t="s">
        <v>204</v>
      </c>
      <c r="F140" s="348"/>
      <c r="G140" s="38"/>
      <c r="H140" s="367" t="str">
        <f>A140</f>
        <v>Education Management Organization Fee</v>
      </c>
      <c r="I140" s="38"/>
      <c r="J140" s="458"/>
      <c r="K140" s="361"/>
      <c r="L140" s="349">
        <f>IF($C140="Per Employee",$L$175*$D140,IF($C140="Per Pupil",$D140*$L$177,IF($C140="Fixed Per Year",$D140,0)))</f>
        <v>0</v>
      </c>
      <c r="M140" s="43"/>
      <c r="N140" s="349">
        <f>IF($C140="Per Employee",$N$175*$D140,IF($C140="Per Pupil",$D140*$N$177,IF($C140="Fixed Per Year",$D140)))*(1+$F140)^1</f>
        <v>0</v>
      </c>
      <c r="O140" s="43"/>
      <c r="P140" s="349">
        <f>IF($C140="Per Employee",$P$175*$D140,IF($C140="Per Pupil",$D140*$P$177,IF($C140="Fixed Per Year",$D140)))*(1+$F140)^2</f>
        <v>0</v>
      </c>
      <c r="Q140" s="334"/>
      <c r="R140" s="349">
        <f>IF($C140="Per Employee",$R$175*$D140,IF($C140="Per Pupil",$D140*$R$177,IF($C140="Fixed Per Year",$D140)))*(1+$F140)^3</f>
        <v>0</v>
      </c>
      <c r="S140" s="342"/>
      <c r="T140" s="349">
        <f>IF($C140="Per Employee",$T$175*$D140,IF($C140="Per Pupil",$D140*$T$177,IF($C140="Fixed Per Year",$D140)))*(1+$F140)^4</f>
        <v>0</v>
      </c>
    </row>
    <row r="141" spans="1:20" ht="15.75" thickBot="1">
      <c r="A141" s="57"/>
      <c r="B141" s="58"/>
      <c r="C141" s="303"/>
      <c r="D141" s="303"/>
      <c r="E141" s="303"/>
      <c r="F141" s="303"/>
      <c r="G141" s="58"/>
      <c r="H141" s="285"/>
      <c r="I141" s="58"/>
      <c r="J141" s="54"/>
      <c r="K141" s="59"/>
      <c r="L141" s="54"/>
      <c r="M141" s="59"/>
      <c r="N141" s="54"/>
      <c r="O141" s="59"/>
      <c r="P141" s="54"/>
      <c r="Q141" s="336"/>
      <c r="R141" s="56"/>
      <c r="S141" s="344"/>
      <c r="T141" s="56"/>
    </row>
    <row r="142" spans="1:20" ht="18.75" customHeight="1" thickBot="1">
      <c r="A142" s="365" t="s">
        <v>239</v>
      </c>
      <c r="B142" s="55"/>
      <c r="C142" s="302"/>
      <c r="D142" s="302"/>
      <c r="E142" s="302"/>
      <c r="F142" s="302"/>
      <c r="G142" s="55"/>
      <c r="H142" s="285"/>
      <c r="I142" s="55"/>
      <c r="J142" s="44"/>
      <c r="K142" s="43"/>
      <c r="L142" s="44"/>
      <c r="M142" s="43"/>
      <c r="N142" s="44"/>
      <c r="O142" s="43"/>
      <c r="P142" s="44"/>
      <c r="Q142" s="334"/>
      <c r="R142" s="34"/>
      <c r="S142" s="343"/>
      <c r="T142" s="34"/>
    </row>
    <row r="143" spans="1:20" ht="15.75" thickBot="1">
      <c r="A143" s="715" t="s">
        <v>22</v>
      </c>
      <c r="B143" s="42"/>
      <c r="C143" s="696"/>
      <c r="D143" s="345"/>
      <c r="E143" s="492" t="s">
        <v>204</v>
      </c>
      <c r="F143" s="348"/>
      <c r="G143" s="42"/>
      <c r="H143" s="347"/>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4"/>
      <c r="R143" s="51">
        <f>IF($C143="Per Employee",$R$175*$D143,IF($C143="Per Pupil",$D143*$R$177,IF($C143="Fixed Per Year",$D143)))*(1+$F143)^3</f>
        <v>0</v>
      </c>
      <c r="S143" s="342"/>
      <c r="T143" s="51">
        <f>IF($C143="Per Employee",$T$175*$D143,IF($C143="Per Pupil",$D143*$T$177,IF($C143="Fixed Per Year",$D143)))*(1+$F143)^4</f>
        <v>0</v>
      </c>
    </row>
    <row r="144" spans="1:20" ht="15.75" thickBot="1">
      <c r="A144" s="716" t="s">
        <v>240</v>
      </c>
      <c r="B144" s="42"/>
      <c r="C144" s="696"/>
      <c r="D144" s="345"/>
      <c r="E144" s="492" t="s">
        <v>204</v>
      </c>
      <c r="F144" s="348"/>
      <c r="G144" s="42"/>
      <c r="H144" s="347"/>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4"/>
      <c r="R144" s="51">
        <f aca="true" t="shared" si="24" ref="R144:R155">IF($C144="Per Employee",$R$175*$D144,IF($C144="Per Pupil",$D144*$R$177,IF($C144="Fixed Per Year",$D144)))*(1+$F144)^3</f>
        <v>0</v>
      </c>
      <c r="S144" s="342"/>
      <c r="T144" s="51">
        <f aca="true" t="shared" si="25" ref="T144:T155">IF($C144="Per Employee",$T$175*$D144,IF($C144="Per Pupil",$D144*$T$177,IF($C144="Fixed Per Year",$D144)))*(1+$F144)^4</f>
        <v>0</v>
      </c>
    </row>
    <row r="145" spans="1:20" ht="15.75" thickBot="1">
      <c r="A145" s="716" t="s">
        <v>55</v>
      </c>
      <c r="B145" s="42"/>
      <c r="C145" s="696"/>
      <c r="D145" s="345"/>
      <c r="E145" s="492" t="s">
        <v>204</v>
      </c>
      <c r="F145" s="348"/>
      <c r="G145" s="42"/>
      <c r="H145" s="347"/>
      <c r="I145" s="42"/>
      <c r="J145" s="41"/>
      <c r="K145" s="43"/>
      <c r="L145" s="51">
        <f t="shared" si="21"/>
        <v>0</v>
      </c>
      <c r="M145" s="43"/>
      <c r="N145" s="51">
        <f t="shared" si="22"/>
        <v>0</v>
      </c>
      <c r="O145" s="43"/>
      <c r="P145" s="51">
        <f t="shared" si="23"/>
        <v>0</v>
      </c>
      <c r="Q145" s="334"/>
      <c r="R145" s="51">
        <f t="shared" si="24"/>
        <v>0</v>
      </c>
      <c r="S145" s="342"/>
      <c r="T145" s="51">
        <f t="shared" si="25"/>
        <v>0</v>
      </c>
    </row>
    <row r="146" spans="1:20" ht="15.75" thickBot="1">
      <c r="A146" s="716" t="s">
        <v>241</v>
      </c>
      <c r="B146" s="42"/>
      <c r="C146" s="696" t="s">
        <v>178</v>
      </c>
      <c r="D146" s="345"/>
      <c r="E146" s="492" t="s">
        <v>204</v>
      </c>
      <c r="F146" s="348"/>
      <c r="G146" s="42"/>
      <c r="H146" s="347" t="s">
        <v>624</v>
      </c>
      <c r="I146" s="42"/>
      <c r="J146" s="41"/>
      <c r="K146" s="43"/>
      <c r="L146" s="51">
        <f>0.03*SUM(L10:L13)</f>
        <v>39592.53108</v>
      </c>
      <c r="M146" s="43"/>
      <c r="N146" s="51">
        <f>0.03*SUM(N10:N13)</f>
        <v>79185.06216</v>
      </c>
      <c r="O146" s="43"/>
      <c r="P146" s="51">
        <f>0.03*SUM(P10:P13)</f>
        <v>118777.59324</v>
      </c>
      <c r="Q146" s="334"/>
      <c r="R146" s="51">
        <f>0.03*SUM(R10:R13)</f>
        <v>158370.12432</v>
      </c>
      <c r="S146" s="342"/>
      <c r="T146" s="51">
        <f>0.03*SUM(T10:T13)</f>
        <v>158370.12432</v>
      </c>
    </row>
    <row r="147" spans="1:20" ht="15.75" thickBot="1">
      <c r="A147" s="716" t="s">
        <v>23</v>
      </c>
      <c r="B147" s="42"/>
      <c r="C147" s="696"/>
      <c r="D147" s="345"/>
      <c r="E147" s="492" t="s">
        <v>204</v>
      </c>
      <c r="F147" s="348"/>
      <c r="G147" s="42"/>
      <c r="H147" s="347"/>
      <c r="I147" s="42"/>
      <c r="J147" s="41"/>
      <c r="K147" s="43"/>
      <c r="L147" s="51">
        <f t="shared" si="21"/>
        <v>0</v>
      </c>
      <c r="M147" s="43"/>
      <c r="N147" s="51">
        <f t="shared" si="22"/>
        <v>0</v>
      </c>
      <c r="O147" s="43"/>
      <c r="P147" s="51">
        <f t="shared" si="23"/>
        <v>0</v>
      </c>
      <c r="Q147" s="334"/>
      <c r="R147" s="51">
        <f t="shared" si="24"/>
        <v>0</v>
      </c>
      <c r="S147" s="342"/>
      <c r="T147" s="51">
        <f t="shared" si="25"/>
        <v>0</v>
      </c>
    </row>
    <row r="148" spans="1:20" ht="15.75" thickBot="1">
      <c r="A148" s="284"/>
      <c r="B148" s="42"/>
      <c r="C148" s="696"/>
      <c r="D148" s="345"/>
      <c r="E148" s="492" t="s">
        <v>204</v>
      </c>
      <c r="F148" s="348"/>
      <c r="G148" s="42"/>
      <c r="H148" s="347"/>
      <c r="I148" s="42"/>
      <c r="J148" s="41"/>
      <c r="K148" s="43"/>
      <c r="L148" s="51">
        <f t="shared" si="21"/>
        <v>0</v>
      </c>
      <c r="M148" s="43"/>
      <c r="N148" s="51">
        <f t="shared" si="22"/>
        <v>0</v>
      </c>
      <c r="O148" s="43"/>
      <c r="P148" s="51">
        <f t="shared" si="23"/>
        <v>0</v>
      </c>
      <c r="Q148" s="334"/>
      <c r="R148" s="51">
        <f t="shared" si="24"/>
        <v>0</v>
      </c>
      <c r="S148" s="342"/>
      <c r="T148" s="51">
        <f t="shared" si="25"/>
        <v>0</v>
      </c>
    </row>
    <row r="149" spans="1:20" ht="15.75" thickBot="1">
      <c r="A149" s="284"/>
      <c r="B149" s="42"/>
      <c r="C149" s="696"/>
      <c r="D149" s="345"/>
      <c r="E149" s="492" t="s">
        <v>204</v>
      </c>
      <c r="F149" s="348"/>
      <c r="G149" s="42"/>
      <c r="H149" s="347"/>
      <c r="I149" s="42"/>
      <c r="J149" s="41"/>
      <c r="K149" s="43"/>
      <c r="L149" s="51">
        <f t="shared" si="21"/>
        <v>0</v>
      </c>
      <c r="M149" s="43"/>
      <c r="N149" s="51">
        <f t="shared" si="22"/>
        <v>0</v>
      </c>
      <c r="O149" s="43"/>
      <c r="P149" s="51">
        <f t="shared" si="23"/>
        <v>0</v>
      </c>
      <c r="Q149" s="334"/>
      <c r="R149" s="51">
        <f t="shared" si="24"/>
        <v>0</v>
      </c>
      <c r="S149" s="342"/>
      <c r="T149" s="51">
        <f t="shared" si="25"/>
        <v>0</v>
      </c>
    </row>
    <row r="150" spans="1:20" ht="15.75" thickBot="1">
      <c r="A150" s="284"/>
      <c r="B150" s="42"/>
      <c r="C150" s="696"/>
      <c r="D150" s="345"/>
      <c r="E150" s="492" t="s">
        <v>204</v>
      </c>
      <c r="F150" s="348"/>
      <c r="G150" s="42"/>
      <c r="H150" s="347"/>
      <c r="I150" s="42"/>
      <c r="J150" s="41"/>
      <c r="K150" s="43"/>
      <c r="L150" s="51">
        <f t="shared" si="21"/>
        <v>0</v>
      </c>
      <c r="M150" s="43"/>
      <c r="N150" s="51">
        <f t="shared" si="22"/>
        <v>0</v>
      </c>
      <c r="O150" s="43"/>
      <c r="P150" s="51">
        <f t="shared" si="23"/>
        <v>0</v>
      </c>
      <c r="Q150" s="334"/>
      <c r="R150" s="51">
        <f t="shared" si="24"/>
        <v>0</v>
      </c>
      <c r="S150" s="342"/>
      <c r="T150" s="51">
        <f t="shared" si="25"/>
        <v>0</v>
      </c>
    </row>
    <row r="151" spans="1:20" ht="15.75" thickBot="1">
      <c r="A151" s="284"/>
      <c r="B151" s="42"/>
      <c r="C151" s="696"/>
      <c r="D151" s="345"/>
      <c r="E151" s="492" t="s">
        <v>204</v>
      </c>
      <c r="F151" s="348"/>
      <c r="G151" s="42"/>
      <c r="H151" s="347"/>
      <c r="I151" s="42"/>
      <c r="J151" s="41"/>
      <c r="K151" s="43"/>
      <c r="L151" s="51">
        <f t="shared" si="21"/>
        <v>0</v>
      </c>
      <c r="M151" s="43"/>
      <c r="N151" s="51">
        <f t="shared" si="22"/>
        <v>0</v>
      </c>
      <c r="O151" s="43"/>
      <c r="P151" s="51">
        <f t="shared" si="23"/>
        <v>0</v>
      </c>
      <c r="Q151" s="334"/>
      <c r="R151" s="51">
        <f t="shared" si="24"/>
        <v>0</v>
      </c>
      <c r="S151" s="342"/>
      <c r="T151" s="51">
        <f t="shared" si="25"/>
        <v>0</v>
      </c>
    </row>
    <row r="152" spans="1:20" ht="15.75" thickBot="1">
      <c r="A152" s="284"/>
      <c r="B152" s="42"/>
      <c r="C152" s="696"/>
      <c r="D152" s="345"/>
      <c r="E152" s="492" t="s">
        <v>204</v>
      </c>
      <c r="F152" s="348"/>
      <c r="G152" s="42"/>
      <c r="H152" s="347"/>
      <c r="I152" s="42"/>
      <c r="J152" s="41"/>
      <c r="K152" s="43"/>
      <c r="L152" s="51">
        <f t="shared" si="21"/>
        <v>0</v>
      </c>
      <c r="M152" s="43"/>
      <c r="N152" s="51">
        <f t="shared" si="22"/>
        <v>0</v>
      </c>
      <c r="O152" s="43"/>
      <c r="P152" s="51">
        <f t="shared" si="23"/>
        <v>0</v>
      </c>
      <c r="Q152" s="334"/>
      <c r="R152" s="51">
        <f t="shared" si="24"/>
        <v>0</v>
      </c>
      <c r="S152" s="342"/>
      <c r="T152" s="51">
        <f t="shared" si="25"/>
        <v>0</v>
      </c>
    </row>
    <row r="153" spans="1:20" ht="15.75" thickBot="1">
      <c r="A153" s="284"/>
      <c r="B153" s="46"/>
      <c r="C153" s="696"/>
      <c r="D153" s="345"/>
      <c r="E153" s="492" t="s">
        <v>204</v>
      </c>
      <c r="F153" s="348"/>
      <c r="G153" s="46"/>
      <c r="H153" s="347"/>
      <c r="I153" s="46"/>
      <c r="J153" s="41"/>
      <c r="K153" s="43"/>
      <c r="L153" s="51">
        <f t="shared" si="21"/>
        <v>0</v>
      </c>
      <c r="M153" s="43"/>
      <c r="N153" s="51">
        <f t="shared" si="22"/>
        <v>0</v>
      </c>
      <c r="O153" s="43"/>
      <c r="P153" s="51">
        <f t="shared" si="23"/>
        <v>0</v>
      </c>
      <c r="Q153" s="334"/>
      <c r="R153" s="51">
        <f t="shared" si="24"/>
        <v>0</v>
      </c>
      <c r="S153" s="342"/>
      <c r="T153" s="51">
        <f t="shared" si="25"/>
        <v>0</v>
      </c>
    </row>
    <row r="154" spans="1:20" ht="15.75" thickBot="1">
      <c r="A154" s="284"/>
      <c r="B154" s="46"/>
      <c r="C154" s="696"/>
      <c r="D154" s="345"/>
      <c r="E154" s="492" t="s">
        <v>204</v>
      </c>
      <c r="F154" s="348"/>
      <c r="G154" s="46"/>
      <c r="H154" s="347"/>
      <c r="I154" s="46"/>
      <c r="J154" s="41"/>
      <c r="K154" s="43"/>
      <c r="L154" s="51">
        <f t="shared" si="21"/>
        <v>0</v>
      </c>
      <c r="M154" s="43"/>
      <c r="N154" s="51">
        <f t="shared" si="22"/>
        <v>0</v>
      </c>
      <c r="O154" s="43"/>
      <c r="P154" s="51">
        <f t="shared" si="23"/>
        <v>0</v>
      </c>
      <c r="Q154" s="334"/>
      <c r="R154" s="51">
        <f t="shared" si="24"/>
        <v>0</v>
      </c>
      <c r="S154" s="342"/>
      <c r="T154" s="51">
        <f t="shared" si="25"/>
        <v>0</v>
      </c>
    </row>
    <row r="155" spans="1:20" ht="15.75" thickBot="1">
      <c r="A155" s="284"/>
      <c r="B155" s="46"/>
      <c r="C155" s="696"/>
      <c r="D155" s="345"/>
      <c r="E155" s="492" t="s">
        <v>204</v>
      </c>
      <c r="F155" s="348"/>
      <c r="G155" s="46"/>
      <c r="H155" s="347"/>
      <c r="I155" s="46"/>
      <c r="J155" s="41"/>
      <c r="K155" s="43"/>
      <c r="L155" s="51">
        <f t="shared" si="21"/>
        <v>0</v>
      </c>
      <c r="M155" s="43"/>
      <c r="N155" s="51">
        <f t="shared" si="22"/>
        <v>0</v>
      </c>
      <c r="O155" s="43"/>
      <c r="P155" s="51">
        <f t="shared" si="23"/>
        <v>0</v>
      </c>
      <c r="Q155" s="334"/>
      <c r="R155" s="51">
        <f t="shared" si="24"/>
        <v>0</v>
      </c>
      <c r="S155" s="342"/>
      <c r="T155" s="51">
        <f t="shared" si="25"/>
        <v>0</v>
      </c>
    </row>
    <row r="156" spans="1:20" ht="15.75" thickBot="1">
      <c r="A156" s="40"/>
      <c r="B156" s="42"/>
      <c r="C156" s="299"/>
      <c r="D156" s="299"/>
      <c r="E156" s="299"/>
      <c r="F156" s="299"/>
      <c r="G156" s="42"/>
      <c r="H156" s="285"/>
      <c r="I156" s="42"/>
      <c r="J156" s="47"/>
      <c r="K156" s="39"/>
      <c r="L156" s="47"/>
      <c r="M156" s="39"/>
      <c r="N156" s="47"/>
      <c r="O156" s="39"/>
      <c r="P156" s="47"/>
      <c r="Q156" s="333"/>
      <c r="R156" s="48"/>
      <c r="S156" s="342"/>
      <c r="T156" s="48"/>
    </row>
    <row r="157" spans="2:20" ht="15.75" thickBot="1">
      <c r="B157" s="38"/>
      <c r="C157" s="298"/>
      <c r="D157" s="298"/>
      <c r="E157" s="298"/>
      <c r="F157" s="298"/>
      <c r="G157" s="38"/>
      <c r="H157" s="287" t="s">
        <v>24</v>
      </c>
      <c r="I157" s="38"/>
      <c r="J157" s="484">
        <f>SUM(J143:J155)</f>
        <v>0</v>
      </c>
      <c r="K157" s="357"/>
      <c r="L157" s="484">
        <f>SUM(L143:L155)</f>
        <v>39592.53108</v>
      </c>
      <c r="M157" s="357"/>
      <c r="N157" s="484">
        <f>SUM(N143:N155)</f>
        <v>79185.06216</v>
      </c>
      <c r="O157" s="357"/>
      <c r="P157" s="484">
        <f>SUM(P143:P155)</f>
        <v>118777.59324</v>
      </c>
      <c r="Q157" s="358"/>
      <c r="R157" s="484">
        <f>SUM(R143:R155)</f>
        <v>158370.12432</v>
      </c>
      <c r="S157" s="356"/>
      <c r="T157" s="484">
        <f>SUM(T143:T155)</f>
        <v>158370.12432</v>
      </c>
    </row>
    <row r="158" spans="2:20" ht="15.75" thickBot="1">
      <c r="B158" s="62"/>
      <c r="C158" s="304"/>
      <c r="D158" s="304"/>
      <c r="E158" s="304"/>
      <c r="F158" s="304"/>
      <c r="G158" s="62"/>
      <c r="H158" s="61"/>
      <c r="I158" s="62"/>
      <c r="J158" s="29"/>
      <c r="K158" s="63"/>
      <c r="L158" s="29"/>
      <c r="M158" s="63"/>
      <c r="N158" s="29"/>
      <c r="O158" s="63"/>
      <c r="P158" s="29"/>
      <c r="Q158" s="329"/>
      <c r="R158" s="56"/>
      <c r="S158" s="344"/>
      <c r="T158" s="56"/>
    </row>
    <row r="159" spans="2:20" ht="15.75" thickBot="1">
      <c r="B159" s="64"/>
      <c r="C159" s="305"/>
      <c r="D159" s="305"/>
      <c r="E159" s="305"/>
      <c r="F159" s="305"/>
      <c r="G159" s="64"/>
      <c r="H159" s="290" t="s">
        <v>25</v>
      </c>
      <c r="I159" s="64"/>
      <c r="J159" s="484">
        <f>J64+J92+J116+J138+J140+J157</f>
        <v>187013.25</v>
      </c>
      <c r="K159" s="351"/>
      <c r="L159" s="484">
        <f>L64+L92+L116+L138+L140+L157</f>
        <v>2123242.80216</v>
      </c>
      <c r="M159" s="351"/>
      <c r="N159" s="484">
        <f>N64+N92+N116+N138+N140+N157</f>
        <v>3736657.36032</v>
      </c>
      <c r="O159" s="351"/>
      <c r="P159" s="484">
        <f>P64+P92+P116+P138+P140+P157</f>
        <v>4583613.144079999</v>
      </c>
      <c r="Q159" s="352"/>
      <c r="R159" s="484">
        <f>R64+R92+R116+R138+R140+R157</f>
        <v>5715590.108580002</v>
      </c>
      <c r="S159" s="353"/>
      <c r="T159" s="484">
        <f>T64+T92+T116+T138+T140+T157</f>
        <v>5737160.221078001</v>
      </c>
    </row>
    <row r="160" spans="1:20" ht="15.75" thickBot="1">
      <c r="A160" s="61"/>
      <c r="B160" s="62"/>
      <c r="C160" s="304"/>
      <c r="D160" s="304"/>
      <c r="E160" s="304"/>
      <c r="F160" s="304"/>
      <c r="G160" s="62"/>
      <c r="H160" s="285"/>
      <c r="I160" s="62"/>
      <c r="J160" s="29"/>
      <c r="K160" s="63"/>
      <c r="L160" s="29"/>
      <c r="M160" s="63"/>
      <c r="N160" s="29"/>
      <c r="O160" s="63"/>
      <c r="P160" s="29"/>
      <c r="Q160" s="329"/>
      <c r="R160" s="56"/>
      <c r="S160" s="344"/>
      <c r="T160" s="56"/>
    </row>
    <row r="161" spans="2:20" ht="15.75" thickBot="1">
      <c r="B161" s="372"/>
      <c r="C161" s="372"/>
      <c r="D161" s="372"/>
      <c r="E161" s="372"/>
      <c r="F161" s="372"/>
      <c r="G161" s="372"/>
      <c r="H161" s="373" t="s">
        <v>30</v>
      </c>
      <c r="I161" s="366"/>
      <c r="J161" s="486">
        <f>J35-J159</f>
        <v>229986.75</v>
      </c>
      <c r="K161" s="350"/>
      <c r="L161" s="486">
        <f>L35-L159</f>
        <v>-149345.76615999988</v>
      </c>
      <c r="M161" s="350"/>
      <c r="N161" s="486">
        <f>N35-N159</f>
        <v>-184565.28831999982</v>
      </c>
      <c r="O161" s="351"/>
      <c r="P161" s="486">
        <f>P35-P159</f>
        <v>666225.9639200009</v>
      </c>
      <c r="Q161" s="352"/>
      <c r="R161" s="486">
        <f>R35-R159</f>
        <v>1232038.0354199987</v>
      </c>
      <c r="S161" s="933"/>
      <c r="T161" s="486">
        <f>T35-T159</f>
        <v>1068067.9229219994</v>
      </c>
    </row>
    <row r="162" spans="1:20" ht="15.75" thickBot="1">
      <c r="A162" s="60"/>
      <c r="B162" s="56"/>
      <c r="C162" s="304"/>
      <c r="D162" s="304"/>
      <c r="E162" s="304"/>
      <c r="F162" s="304"/>
      <c r="G162" s="56"/>
      <c r="H162" s="369"/>
      <c r="I162" s="56"/>
      <c r="J162" s="56"/>
      <c r="K162" s="56"/>
      <c r="L162" s="56"/>
      <c r="M162" s="56"/>
      <c r="N162" s="56"/>
      <c r="O162" s="56"/>
      <c r="P162" s="56"/>
      <c r="Q162" s="337"/>
      <c r="R162" s="56"/>
      <c r="S162" s="344"/>
      <c r="T162" s="56"/>
    </row>
    <row r="163" spans="1:20" ht="15.75" thickBot="1">
      <c r="A163" s="60"/>
      <c r="B163" s="56"/>
      <c r="C163" s="304"/>
      <c r="D163" s="304"/>
      <c r="E163" s="304"/>
      <c r="F163" s="304"/>
      <c r="G163" s="56"/>
      <c r="H163" s="370" t="s">
        <v>426</v>
      </c>
      <c r="I163" s="56"/>
      <c r="J163" s="483">
        <f>0</f>
        <v>0</v>
      </c>
      <c r="K163" s="56"/>
      <c r="L163" s="487">
        <f>J165</f>
        <v>229986.75</v>
      </c>
      <c r="M163" s="652"/>
      <c r="N163" s="487">
        <f>L165</f>
        <v>80640.98384000012</v>
      </c>
      <c r="O163" s="652"/>
      <c r="P163" s="487">
        <f>N165</f>
        <v>-103924.3044799997</v>
      </c>
      <c r="Q163" s="653"/>
      <c r="R163" s="487">
        <f>P165</f>
        <v>562301.6594400012</v>
      </c>
      <c r="S163" s="653"/>
      <c r="T163" s="487">
        <f>R165</f>
        <v>1794339.69486</v>
      </c>
    </row>
    <row r="164" spans="1:20" ht="15.75" thickBot="1">
      <c r="A164" s="66"/>
      <c r="B164" s="67"/>
      <c r="D164" s="307"/>
      <c r="E164" s="307"/>
      <c r="F164" s="307"/>
      <c r="G164" s="67"/>
      <c r="H164" s="371" t="s">
        <v>427</v>
      </c>
      <c r="I164" s="67"/>
      <c r="J164" s="487">
        <f>J161</f>
        <v>229986.75</v>
      </c>
      <c r="K164" s="68"/>
      <c r="L164" s="487">
        <f>L161</f>
        <v>-149345.76615999988</v>
      </c>
      <c r="M164" s="654"/>
      <c r="N164" s="487">
        <f>N161</f>
        <v>-184565.28831999982</v>
      </c>
      <c r="O164" s="654"/>
      <c r="P164" s="487">
        <f>P161</f>
        <v>666225.9639200009</v>
      </c>
      <c r="Q164" s="655"/>
      <c r="R164" s="487">
        <f>R161</f>
        <v>1232038.0354199987</v>
      </c>
      <c r="S164" s="655"/>
      <c r="T164" s="487">
        <f>T161</f>
        <v>1068067.9229219994</v>
      </c>
    </row>
    <row r="165" spans="1:20" ht="15.75" thickBot="1">
      <c r="A165" s="35"/>
      <c r="B165" s="65"/>
      <c r="D165" s="306"/>
      <c r="E165" s="306"/>
      <c r="F165" s="306"/>
      <c r="G165" s="65"/>
      <c r="H165" s="452" t="s">
        <v>428</v>
      </c>
      <c r="I165" s="65"/>
      <c r="J165" s="487">
        <f>J163+J164</f>
        <v>229986.75</v>
      </c>
      <c r="K165" s="65"/>
      <c r="L165" s="487">
        <f>L163+L164</f>
        <v>80640.98384000012</v>
      </c>
      <c r="M165" s="656"/>
      <c r="N165" s="487">
        <f>N163+N164</f>
        <v>-103924.3044799997</v>
      </c>
      <c r="O165" s="656"/>
      <c r="P165" s="487">
        <f>P163+P164</f>
        <v>562301.6594400012</v>
      </c>
      <c r="Q165" s="657"/>
      <c r="R165" s="487">
        <f>R163+R164</f>
        <v>1794339.69486</v>
      </c>
      <c r="S165" s="658"/>
      <c r="T165" s="487">
        <f>T163+T164</f>
        <v>2862407.6177819995</v>
      </c>
    </row>
    <row r="166" spans="1:19" ht="15">
      <c r="A166" s="35"/>
      <c r="B166" s="35"/>
      <c r="D166" s="308"/>
      <c r="E166" s="308"/>
      <c r="F166" s="308"/>
      <c r="G166" s="35"/>
      <c r="H166" s="35"/>
      <c r="I166" s="35"/>
      <c r="J166" s="69"/>
      <c r="K166" s="35"/>
      <c r="L166" s="69"/>
      <c r="M166" s="35"/>
      <c r="N166" s="69"/>
      <c r="O166" s="35"/>
      <c r="P166" s="69"/>
      <c r="Q166" s="338"/>
      <c r="R166" s="69"/>
      <c r="S166" s="343"/>
    </row>
    <row r="167" spans="1:19" ht="15">
      <c r="A167" s="35"/>
      <c r="B167" s="35"/>
      <c r="D167" s="308"/>
      <c r="E167" s="308"/>
      <c r="F167" s="308"/>
      <c r="G167" s="35"/>
      <c r="H167" s="35"/>
      <c r="I167" s="35"/>
      <c r="J167" s="69"/>
      <c r="K167" s="35"/>
      <c r="L167" s="69"/>
      <c r="M167" s="35"/>
      <c r="N167" s="69"/>
      <c r="O167" s="35"/>
      <c r="P167" s="69"/>
      <c r="Q167" s="338"/>
      <c r="R167" s="69"/>
      <c r="S167" s="343"/>
    </row>
    <row r="168" spans="1:19" ht="15">
      <c r="A168" s="35"/>
      <c r="B168" s="35"/>
      <c r="D168" s="308"/>
      <c r="E168" s="308"/>
      <c r="F168" s="308"/>
      <c r="G168" s="35"/>
      <c r="H168" s="35"/>
      <c r="I168" s="35"/>
      <c r="J168" s="69"/>
      <c r="K168" s="35"/>
      <c r="L168" s="69"/>
      <c r="M168" s="35"/>
      <c r="N168" s="69"/>
      <c r="O168" s="35"/>
      <c r="P168" s="69"/>
      <c r="Q168" s="338"/>
      <c r="R168" s="69"/>
      <c r="S168" s="343"/>
    </row>
    <row r="169" spans="4:6" ht="12">
      <c r="D169" s="5"/>
      <c r="E169" s="5"/>
      <c r="F169" s="5"/>
    </row>
    <row r="171" spans="8:9" ht="12">
      <c r="H171" s="162"/>
      <c r="I171" s="162"/>
    </row>
    <row r="172" spans="8:9" ht="12.75" thickBot="1">
      <c r="H172" s="162"/>
      <c r="I172" s="162"/>
    </row>
    <row r="173" spans="8:20" ht="12.75" thickBot="1">
      <c r="H173" s="317"/>
      <c r="I173" s="317"/>
      <c r="J173" s="1073" t="s">
        <v>352</v>
      </c>
      <c r="K173" s="1074"/>
      <c r="L173" s="1074"/>
      <c r="M173" s="1074"/>
      <c r="N173" s="1074"/>
      <c r="O173" s="1074"/>
      <c r="P173" s="1074"/>
      <c r="Q173" s="1074"/>
      <c r="R173" s="1074"/>
      <c r="S173" s="1074"/>
      <c r="T173" s="1075"/>
    </row>
    <row r="174" spans="8:20" ht="16.5" customHeight="1" thickBot="1">
      <c r="H174" s="162"/>
      <c r="I174" s="162"/>
      <c r="J174" s="316" t="s">
        <v>168</v>
      </c>
      <c r="K174" s="790"/>
      <c r="L174" s="313">
        <f>L9</f>
        <v>2017</v>
      </c>
      <c r="M174" s="459"/>
      <c r="N174" s="313">
        <f>N9</f>
        <v>2018</v>
      </c>
      <c r="O174" s="459"/>
      <c r="P174" s="313">
        <f>P9</f>
        <v>2019</v>
      </c>
      <c r="Q174" s="459"/>
      <c r="R174" s="313">
        <f>R9</f>
        <v>2020</v>
      </c>
      <c r="S174" s="459"/>
      <c r="T174" s="313">
        <f>T9</f>
        <v>2021</v>
      </c>
    </row>
    <row r="175" spans="8:20" ht="40.5" customHeight="1" thickBot="1">
      <c r="H175" s="97"/>
      <c r="I175" s="97"/>
      <c r="J175" s="316" t="s">
        <v>179</v>
      </c>
      <c r="K175" s="790"/>
      <c r="L175" s="488">
        <f>Personnel!G191</f>
        <v>31.5</v>
      </c>
      <c r="M175" s="790"/>
      <c r="N175" s="488">
        <f>Personnel!I191</f>
        <v>51</v>
      </c>
      <c r="O175" s="790"/>
      <c r="P175" s="488">
        <f>Personnel!K191</f>
        <v>62</v>
      </c>
      <c r="Q175" s="790"/>
      <c r="R175" s="488">
        <f>Personnel!M191</f>
        <v>75</v>
      </c>
      <c r="S175" s="790"/>
      <c r="T175" s="488">
        <f>Personnel!O191</f>
        <v>76</v>
      </c>
    </row>
    <row r="176" spans="8:20" ht="40.5" customHeight="1" thickBot="1">
      <c r="H176" s="97"/>
      <c r="I176" s="97"/>
      <c r="J176" s="316" t="s">
        <v>180</v>
      </c>
      <c r="K176" s="790"/>
      <c r="L176" s="388">
        <f>Personnel!G189</f>
        <v>1295000</v>
      </c>
      <c r="M176" s="790"/>
      <c r="N176" s="388">
        <f>Personnel!I189</f>
        <v>2193000</v>
      </c>
      <c r="O176" s="790"/>
      <c r="P176" s="388">
        <f>Personnel!K189</f>
        <v>2694636</v>
      </c>
      <c r="Q176" s="790"/>
      <c r="R176" s="388">
        <f>Personnel!M189</f>
        <v>3348111.24</v>
      </c>
      <c r="S176" s="790"/>
      <c r="T176" s="388">
        <f>Personnel!O189</f>
        <v>3458370.7512000003</v>
      </c>
    </row>
    <row r="177" spans="8:20" ht="40.5" customHeight="1" thickBot="1">
      <c r="H177" s="97"/>
      <c r="I177" s="97"/>
      <c r="J177" s="316" t="s">
        <v>244</v>
      </c>
      <c r="K177" s="460"/>
      <c r="L177" s="488">
        <f>'Revenues-Fed, State, &amp; Expan. '!E97</f>
        <v>160</v>
      </c>
      <c r="M177" s="460"/>
      <c r="N177" s="488">
        <f>'Revenues-Fed, State, &amp; Expan. '!G97</f>
        <v>320</v>
      </c>
      <c r="O177" s="460"/>
      <c r="P177" s="488">
        <f>'Revenues-Fed, State, &amp; Expan. '!I97</f>
        <v>480</v>
      </c>
      <c r="Q177" s="460"/>
      <c r="R177" s="488">
        <f>'Revenues-Fed, State, &amp; Expan. '!K97</f>
        <v>640</v>
      </c>
      <c r="S177" s="460"/>
      <c r="T177" s="488">
        <f>'Revenues-Fed, State, &amp; Expan. '!M97</f>
        <v>640</v>
      </c>
    </row>
    <row r="178" spans="8:9" ht="12">
      <c r="H178" s="97"/>
      <c r="I178" s="97"/>
    </row>
    <row r="180" ht="12" hidden="1">
      <c r="C180" s="5">
        <v>2015</v>
      </c>
    </row>
    <row r="181" ht="12" hidden="1">
      <c r="C181" s="5">
        <v>2016</v>
      </c>
    </row>
    <row r="184" ht="15" hidden="1">
      <c r="C184" s="297" t="s">
        <v>175</v>
      </c>
    </row>
    <row r="185" ht="15" hidden="1">
      <c r="C185" s="307" t="s">
        <v>178</v>
      </c>
    </row>
    <row r="186" ht="15" hidden="1">
      <c r="C186" s="297"/>
    </row>
    <row r="187" ht="15" hidden="1">
      <c r="C187" s="306"/>
    </row>
    <row r="188" ht="15" hidden="1">
      <c r="C188" s="308"/>
    </row>
    <row r="189" ht="15" hidden="1">
      <c r="C189" s="308" t="s">
        <v>206</v>
      </c>
    </row>
    <row r="190" ht="15" hidden="1">
      <c r="C190" s="308" t="s">
        <v>177</v>
      </c>
    </row>
    <row r="191" ht="12" hidden="1">
      <c r="C191" s="5" t="s">
        <v>176</v>
      </c>
    </row>
    <row r="192" ht="12" hidden="1">
      <c r="C192" s="5" t="s">
        <v>7</v>
      </c>
    </row>
    <row r="193" ht="12" hidden="1"/>
    <row r="194" ht="12" hidden="1"/>
    <row r="195" ht="12" hidden="1">
      <c r="C195" s="5" t="s">
        <v>206</v>
      </c>
    </row>
    <row r="196" ht="12" hidden="1">
      <c r="C196" s="5" t="s">
        <v>178</v>
      </c>
    </row>
    <row r="197" ht="12" hidden="1">
      <c r="C197" s="5" t="s">
        <v>176</v>
      </c>
    </row>
    <row r="198" ht="12" hidden="1">
      <c r="C198" s="5" t="s">
        <v>7</v>
      </c>
    </row>
    <row r="199" ht="12" hidden="1"/>
    <row r="200" ht="12" hidden="1"/>
    <row r="201" ht="12" hidden="1">
      <c r="C201" s="5" t="s">
        <v>0</v>
      </c>
    </row>
    <row r="202" ht="12" hidden="1">
      <c r="C202" s="5" t="s">
        <v>425</v>
      </c>
    </row>
    <row r="203" ht="12" hidden="1"/>
  </sheetData>
  <sheetProtection password="CC59" sheet="1" formatColumns="0" formatRows="0"/>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'Budget with Assumptions'!$C$195:$C$198</formula1>
    </dataValidation>
    <dataValidation type="list" allowBlank="1" showInputMessage="1" showErrorMessage="1" sqref="C75:C81 C83:C90">
      <formula1>'Budget with Assumptions'!$C$189:$C$192</formula1>
    </dataValidation>
    <dataValidation type="list" allowBlank="1" showInputMessage="1" showErrorMessage="1" sqref="J9">
      <formula1>'Budget with Assumptions'!$C$180:$C$181</formula1>
    </dataValidation>
    <dataValidation type="list" allowBlank="1" showInputMessage="1" showErrorMessage="1" sqref="A5">
      <formula1>'Budget with Assumptions'!$C$201:$C$202</formula1>
    </dataValidation>
  </dataValidations>
  <printOptions/>
  <pageMargins left="0" right="0" top="0" bottom="0" header="0.3" footer="0.3"/>
  <pageSetup horizontalDpi="600" verticalDpi="600" orientation="landscape" paperSize="5" scale="60"/>
</worksheet>
</file>

<file path=xl/worksheets/sheet7.xml><?xml version="1.0" encoding="utf-8"?>
<worksheet xmlns="http://schemas.openxmlformats.org/spreadsheetml/2006/main" xmlns:r="http://schemas.openxmlformats.org/officeDocument/2006/relationships">
  <dimension ref="A1:Z178"/>
  <sheetViews>
    <sheetView workbookViewId="0" topLeftCell="A1">
      <selection activeCell="A1" sqref="A1"/>
    </sheetView>
  </sheetViews>
  <sheetFormatPr defaultColWidth="8.8515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421875" style="0" customWidth="1"/>
    <col min="10" max="10" width="18.7109375" style="0" customWidth="1"/>
    <col min="11" max="11" width="3.00390625" style="335" customWidth="1"/>
    <col min="12" max="12" width="18.7109375" style="0" customWidth="1"/>
    <col min="13" max="13" width="3.421875" style="335"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707" t="str">
        <f>'Budget with Assumptions'!A2</f>
        <v>STARS Project Engineering Academy Charter School</v>
      </c>
      <c r="B1" s="15"/>
      <c r="C1" s="15"/>
      <c r="D1" s="16"/>
      <c r="E1" s="16"/>
      <c r="F1" s="16"/>
      <c r="G1" s="16"/>
      <c r="H1" s="16"/>
      <c r="I1" s="16"/>
      <c r="J1" s="16"/>
      <c r="K1" s="322"/>
      <c r="L1" s="14"/>
      <c r="M1" s="339"/>
    </row>
    <row r="2" spans="1:13" ht="23.25" customHeight="1" thickBot="1">
      <c r="A2" s="708" t="s">
        <v>344</v>
      </c>
      <c r="B2" s="15"/>
      <c r="C2" s="15"/>
      <c r="D2" s="17"/>
      <c r="E2" s="17"/>
      <c r="F2" s="17"/>
      <c r="G2" s="17"/>
      <c r="H2" s="17"/>
      <c r="I2" s="17"/>
      <c r="J2" s="17"/>
      <c r="K2" s="323"/>
      <c r="L2" s="18"/>
      <c r="M2" s="340"/>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4" t="s">
        <v>167</v>
      </c>
    </row>
    <row r="8" spans="1:20" ht="27.75" customHeight="1" thickBot="1">
      <c r="A8" s="2"/>
      <c r="B8" s="70"/>
      <c r="C8" s="70"/>
      <c r="D8" s="1135"/>
      <c r="E8" s="21"/>
      <c r="F8" s="1120" t="s">
        <v>499</v>
      </c>
      <c r="G8" s="1121"/>
      <c r="H8" s="1121"/>
      <c r="I8" s="1121"/>
      <c r="J8" s="1121"/>
      <c r="K8" s="1121"/>
      <c r="L8" s="1121"/>
      <c r="M8" s="1121"/>
      <c r="N8" s="1122"/>
      <c r="P8" s="1131" t="s">
        <v>341</v>
      </c>
      <c r="Q8" s="1132"/>
      <c r="R8" s="1132"/>
      <c r="S8" s="1132"/>
      <c r="T8" s="1133"/>
    </row>
    <row r="9" spans="1:20" ht="24" thickBot="1">
      <c r="A9" s="288" t="s">
        <v>173</v>
      </c>
      <c r="B9" s="2"/>
      <c r="C9" s="2"/>
      <c r="D9" s="1006">
        <f>'Budget with Assumptions'!J9</f>
        <v>2016</v>
      </c>
      <c r="E9" s="70"/>
      <c r="F9" s="362">
        <f>'Budget with Assumptions'!L9</f>
        <v>2017</v>
      </c>
      <c r="G9" s="327"/>
      <c r="H9" s="362">
        <f>'Budget with Assumptions'!N9</f>
        <v>2018</v>
      </c>
      <c r="I9" s="327"/>
      <c r="J9" s="362">
        <f>'Budget with Assumptions'!P9</f>
        <v>2019</v>
      </c>
      <c r="K9" s="327"/>
      <c r="L9" s="362">
        <f>'Budget with Assumptions'!R9</f>
        <v>2020</v>
      </c>
      <c r="M9" s="341"/>
      <c r="N9" s="362">
        <f>'Budget with Assumptions'!T9</f>
        <v>2021</v>
      </c>
      <c r="P9" s="913">
        <f>'Budget with Assumptions'!L9</f>
        <v>2017</v>
      </c>
      <c r="Q9" s="913">
        <f>'Budget with Assumptions'!N9</f>
        <v>2018</v>
      </c>
      <c r="R9" s="913">
        <f>'Budget with Assumptions'!P9</f>
        <v>2019</v>
      </c>
      <c r="S9" s="913">
        <f>'Budget with Assumptions'!R9</f>
        <v>2020</v>
      </c>
      <c r="T9" s="913">
        <f>'Budget with Assumptions'!T9</f>
        <v>2021</v>
      </c>
    </row>
    <row r="10" spans="1:20" ht="16.5">
      <c r="A10" s="453" t="str">
        <f>'Budget with Assumptions'!A10</f>
        <v>SBB &amp; Non-SBB ( Grades K-3)</v>
      </c>
      <c r="B10" s="24"/>
      <c r="C10" s="24"/>
      <c r="D10" s="363">
        <f>'Budget with Assumptions'!J10</f>
        <v>0</v>
      </c>
      <c r="E10" s="890"/>
      <c r="F10" s="363">
        <f>'Budget with Assumptions'!L10</f>
        <v>0</v>
      </c>
      <c r="G10" s="741"/>
      <c r="H10" s="363">
        <f>'Budget with Assumptions'!N10</f>
        <v>0</v>
      </c>
      <c r="I10" s="741"/>
      <c r="J10" s="363">
        <f>'Budget with Assumptions'!P10</f>
        <v>0</v>
      </c>
      <c r="K10" s="875"/>
      <c r="L10" s="363">
        <f>'Budget with Assumptions'!R10</f>
        <v>0</v>
      </c>
      <c r="M10" s="875"/>
      <c r="N10" s="363">
        <f>'Budget with Assumptions'!T10</f>
        <v>0</v>
      </c>
      <c r="P10" s="914">
        <f>F10/$F$35</f>
        <v>0</v>
      </c>
      <c r="Q10" s="914">
        <f>H10/$H$35</f>
        <v>0</v>
      </c>
      <c r="R10" s="914">
        <f>J10/$J$35</f>
        <v>0</v>
      </c>
      <c r="S10" s="914">
        <f>L10/$L$35</f>
        <v>0</v>
      </c>
      <c r="T10" s="914">
        <f>N10/$N$35</f>
        <v>0</v>
      </c>
    </row>
    <row r="11" spans="1:20" ht="15">
      <c r="A11" s="453" t="str">
        <f>'Budget with Assumptions'!A11</f>
        <v>SBB &amp; Non-SBB (Grades 4-8)</v>
      </c>
      <c r="B11" s="24"/>
      <c r="C11" s="24"/>
      <c r="D11" s="363">
        <f>'Budget with Assumptions'!J11</f>
        <v>0</v>
      </c>
      <c r="E11" s="891"/>
      <c r="F11" s="363">
        <f>'Budget with Assumptions'!L11</f>
        <v>0</v>
      </c>
      <c r="G11" s="892"/>
      <c r="H11" s="363">
        <f>'Budget with Assumptions'!N11</f>
        <v>0</v>
      </c>
      <c r="I11" s="892"/>
      <c r="J11" s="363">
        <f>'Budget with Assumptions'!P11</f>
        <v>0</v>
      </c>
      <c r="K11" s="893"/>
      <c r="L11" s="363">
        <f>'Budget with Assumptions'!R11</f>
        <v>0</v>
      </c>
      <c r="M11" s="889"/>
      <c r="N11" s="363">
        <f>'Budget with Assumptions'!T11</f>
        <v>0</v>
      </c>
      <c r="P11" s="915">
        <f>F11/$F$35</f>
        <v>0</v>
      </c>
      <c r="Q11" s="915">
        <f>H11/$H$35</f>
        <v>0</v>
      </c>
      <c r="R11" s="914">
        <f aca="true" t="shared" si="0" ref="R11:R33">J11/$J$35</f>
        <v>0</v>
      </c>
      <c r="S11" s="914">
        <f aca="true" t="shared" si="1" ref="S11:S33">L11/$L$35</f>
        <v>0</v>
      </c>
      <c r="T11" s="914">
        <f aca="true" t="shared" si="2" ref="T11:T33">N11/$N$35</f>
        <v>0</v>
      </c>
    </row>
    <row r="12" spans="1:20" ht="30">
      <c r="A12" s="775" t="str">
        <f>'Budget with Assumptions'!A12</f>
        <v>SBB &amp; Non-SBB (Grades 6-8)-This only for schools that have HS grades with grades 6-8.</v>
      </c>
      <c r="B12" s="24"/>
      <c r="C12" s="24"/>
      <c r="D12" s="363">
        <f>'Budget with Assumptions'!J12</f>
        <v>0</v>
      </c>
      <c r="E12" s="891"/>
      <c r="F12" s="363">
        <f>'Budget with Assumptions'!L12</f>
        <v>0</v>
      </c>
      <c r="G12" s="892"/>
      <c r="H12" s="363">
        <f>'Budget with Assumptions'!N12</f>
        <v>0</v>
      </c>
      <c r="I12" s="892"/>
      <c r="J12" s="363">
        <f>'Budget with Assumptions'!P12</f>
        <v>0</v>
      </c>
      <c r="K12" s="893"/>
      <c r="L12" s="363">
        <f>'Budget with Assumptions'!R12</f>
        <v>0</v>
      </c>
      <c r="M12" s="889"/>
      <c r="N12" s="363">
        <f>'Budget with Assumptions'!T12</f>
        <v>0</v>
      </c>
      <c r="P12" s="915">
        <f aca="true" t="shared" si="3" ref="P12:P33">F12/$F$35</f>
        <v>0</v>
      </c>
      <c r="Q12" s="915">
        <f aca="true" t="shared" si="4" ref="Q12:Q33">H12/$H$35</f>
        <v>0</v>
      </c>
      <c r="R12" s="914">
        <f t="shared" si="0"/>
        <v>0</v>
      </c>
      <c r="S12" s="914">
        <f t="shared" si="1"/>
        <v>0</v>
      </c>
      <c r="T12" s="914">
        <f t="shared" si="2"/>
        <v>0</v>
      </c>
    </row>
    <row r="13" spans="1:20" ht="15">
      <c r="A13" s="453" t="str">
        <f>'Budget with Assumptions'!A13</f>
        <v>SBB &amp; Non-SBB (High School)</v>
      </c>
      <c r="B13" s="24"/>
      <c r="C13" s="24"/>
      <c r="D13" s="363">
        <f>'Budget with Assumptions'!J13</f>
        <v>0</v>
      </c>
      <c r="E13" s="891"/>
      <c r="F13" s="363">
        <f>'Budget with Assumptions'!L13</f>
        <v>1319751.036</v>
      </c>
      <c r="G13" s="892"/>
      <c r="H13" s="363">
        <f>'Budget with Assumptions'!N13</f>
        <v>2639502.072</v>
      </c>
      <c r="I13" s="892"/>
      <c r="J13" s="363">
        <f>'Budget with Assumptions'!P13</f>
        <v>3959253.108</v>
      </c>
      <c r="K13" s="893"/>
      <c r="L13" s="363">
        <f>'Budget with Assumptions'!R13</f>
        <v>5279004.144</v>
      </c>
      <c r="M13" s="889"/>
      <c r="N13" s="363">
        <f>'Budget with Assumptions'!T13</f>
        <v>5279004.144</v>
      </c>
      <c r="P13" s="915">
        <f t="shared" si="3"/>
        <v>0.6686017618600852</v>
      </c>
      <c r="Q13" s="915">
        <f t="shared" si="4"/>
        <v>0.743083799208457</v>
      </c>
      <c r="R13" s="914">
        <f t="shared" si="0"/>
        <v>0.7541665614031233</v>
      </c>
      <c r="S13" s="914">
        <f t="shared" si="1"/>
        <v>0.7598282513952578</v>
      </c>
      <c r="T13" s="914">
        <f t="shared" si="2"/>
        <v>0.7757277246692114</v>
      </c>
    </row>
    <row r="14" spans="1:20" ht="15">
      <c r="A14" s="453" t="str">
        <f>'Budget with Assumptions'!A14</f>
        <v>CPS Start-up Funds</v>
      </c>
      <c r="B14" s="24"/>
      <c r="C14" s="24"/>
      <c r="D14" s="363">
        <f>'Budget with Assumptions'!J14</f>
        <v>0</v>
      </c>
      <c r="E14" s="891"/>
      <c r="F14" s="363">
        <f>'Budget with Assumptions'!L14</f>
        <v>118750</v>
      </c>
      <c r="G14" s="892"/>
      <c r="H14" s="363">
        <f>'Budget with Assumptions'!N14</f>
        <v>0</v>
      </c>
      <c r="I14" s="892"/>
      <c r="J14" s="363">
        <f>'Budget with Assumptions'!P14</f>
        <v>0</v>
      </c>
      <c r="K14" s="893"/>
      <c r="L14" s="363">
        <f>'Budget with Assumptions'!R14</f>
        <v>0</v>
      </c>
      <c r="M14" s="889"/>
      <c r="N14" s="363">
        <f>'Budget with Assumptions'!T14</f>
        <v>0</v>
      </c>
      <c r="P14" s="915">
        <f t="shared" si="3"/>
        <v>0.060160179499859176</v>
      </c>
      <c r="Q14" s="915">
        <f t="shared" si="4"/>
        <v>0</v>
      </c>
      <c r="R14" s="914">
        <f t="shared" si="0"/>
        <v>0</v>
      </c>
      <c r="S14" s="914">
        <f t="shared" si="1"/>
        <v>0</v>
      </c>
      <c r="T14" s="914">
        <f t="shared" si="2"/>
        <v>0</v>
      </c>
    </row>
    <row r="15" spans="1:20" ht="15">
      <c r="A15" s="453" t="str">
        <f>'Budget with Assumptions'!A15</f>
        <v>CPS Expansion Funds</v>
      </c>
      <c r="B15" s="24"/>
      <c r="C15" s="24"/>
      <c r="D15" s="363">
        <f>'Budget with Assumptions'!J15</f>
        <v>0</v>
      </c>
      <c r="E15" s="891"/>
      <c r="F15" s="363">
        <f>'Budget with Assumptions'!L15</f>
        <v>152000</v>
      </c>
      <c r="G15" s="894"/>
      <c r="H15" s="363">
        <f>'Budget with Assumptions'!N15</f>
        <v>152000</v>
      </c>
      <c r="I15" s="894"/>
      <c r="J15" s="363">
        <f>'Budget with Assumptions'!P15</f>
        <v>152000</v>
      </c>
      <c r="K15" s="895"/>
      <c r="L15" s="363">
        <f>'Budget with Assumptions'!R15</f>
        <v>152000</v>
      </c>
      <c r="M15" s="655"/>
      <c r="N15" s="363">
        <f>'Budget with Assumptions'!T15</f>
        <v>0</v>
      </c>
      <c r="P15" s="915">
        <f t="shared" si="3"/>
        <v>0.07700502975981975</v>
      </c>
      <c r="Q15" s="915">
        <f t="shared" si="4"/>
        <v>0.042791683582237956</v>
      </c>
      <c r="R15" s="914">
        <f t="shared" si="0"/>
        <v>0.02895326825699741</v>
      </c>
      <c r="S15" s="914">
        <f t="shared" si="1"/>
        <v>0.02187796998480234</v>
      </c>
      <c r="T15" s="914">
        <f t="shared" si="2"/>
        <v>0</v>
      </c>
    </row>
    <row r="16" spans="1:20" ht="15">
      <c r="A16" s="453" t="str">
        <f>'Budget with Assumptions'!A16</f>
        <v>Non-CPS Facility Supplement </v>
      </c>
      <c r="B16" s="24"/>
      <c r="C16" s="24"/>
      <c r="D16" s="363">
        <f>'Budget with Assumptions'!J16</f>
        <v>0</v>
      </c>
      <c r="E16" s="891"/>
      <c r="F16" s="363">
        <f>'Budget with Assumptions'!L16</f>
        <v>120000</v>
      </c>
      <c r="G16" s="892"/>
      <c r="H16" s="363">
        <f>'Budget with Assumptions'!N16</f>
        <v>240000</v>
      </c>
      <c r="I16" s="892"/>
      <c r="J16" s="363">
        <f>'Budget with Assumptions'!P16</f>
        <v>360000</v>
      </c>
      <c r="K16" s="893"/>
      <c r="L16" s="363">
        <f>'Budget with Assumptions'!R16</f>
        <v>480000</v>
      </c>
      <c r="M16" s="889"/>
      <c r="N16" s="363">
        <f>'Budget with Assumptions'!T16</f>
        <v>480000</v>
      </c>
      <c r="P16" s="915">
        <f t="shared" si="3"/>
        <v>0.06079344454722612</v>
      </c>
      <c r="Q16" s="915">
        <f t="shared" si="4"/>
        <v>0.06756581618248098</v>
      </c>
      <c r="R16" s="914">
        <f t="shared" si="0"/>
        <v>0.06857353008236229</v>
      </c>
      <c r="S16" s="914">
        <f t="shared" si="1"/>
        <v>0.06908832626779686</v>
      </c>
      <c r="T16" s="914">
        <f t="shared" si="2"/>
        <v>0.07053400559732946</v>
      </c>
    </row>
    <row r="17" spans="1:20" ht="15">
      <c r="A17" s="453" t="str">
        <f>'Budget with Assumptions'!A17</f>
        <v>SGSA</v>
      </c>
      <c r="B17" s="24"/>
      <c r="C17" s="24"/>
      <c r="D17" s="363">
        <f>'Budget with Assumptions'!J17</f>
        <v>0</v>
      </c>
      <c r="E17" s="891"/>
      <c r="F17" s="363">
        <f>'Budget with Assumptions'!L17</f>
        <v>123508</v>
      </c>
      <c r="G17" s="892"/>
      <c r="H17" s="363">
        <f>'Budget with Assumptions'!N17</f>
        <v>246214</v>
      </c>
      <c r="I17" s="892"/>
      <c r="J17" s="363">
        <f>'Budget with Assumptions'!P17</f>
        <v>369722</v>
      </c>
      <c r="K17" s="893"/>
      <c r="L17" s="363">
        <f>'Budget with Assumptions'!R17</f>
        <v>492428</v>
      </c>
      <c r="M17" s="889"/>
      <c r="N17" s="363">
        <f>'Budget with Assumptions'!T17</f>
        <v>492428</v>
      </c>
      <c r="P17" s="915">
        <f t="shared" si="3"/>
        <v>0.06257063957615669</v>
      </c>
      <c r="Q17" s="915">
        <f t="shared" si="4"/>
        <v>0.06931520777313904</v>
      </c>
      <c r="R17" s="914">
        <f t="shared" si="0"/>
        <v>0.07042539635864209</v>
      </c>
      <c r="S17" s="914">
        <f t="shared" si="1"/>
        <v>0.07087713818208057</v>
      </c>
      <c r="T17" s="914">
        <f t="shared" si="2"/>
        <v>0.07236024855892031</v>
      </c>
    </row>
    <row r="18" spans="1:20" ht="15">
      <c r="A18" s="453" t="str">
        <f>'Budget with Assumptions'!A18</f>
        <v>NCLB-Title 1</v>
      </c>
      <c r="B18" s="24"/>
      <c r="C18" s="24"/>
      <c r="D18" s="363">
        <f>'Budget with Assumptions'!J18</f>
        <v>0</v>
      </c>
      <c r="E18" s="891"/>
      <c r="F18" s="363">
        <f>'Budget with Assumptions'!L18</f>
        <v>77648</v>
      </c>
      <c r="G18" s="892"/>
      <c r="H18" s="363">
        <f>'Budget with Assumptions'!N18</f>
        <v>155296</v>
      </c>
      <c r="I18" s="892"/>
      <c r="J18" s="363">
        <f>'Budget with Assumptions'!P18</f>
        <v>232944</v>
      </c>
      <c r="K18" s="893"/>
      <c r="L18" s="363">
        <f>'Budget with Assumptions'!R18</f>
        <v>311436</v>
      </c>
      <c r="M18" s="889"/>
      <c r="N18" s="363">
        <f>'Budget with Assumptions'!T18</f>
        <v>311436</v>
      </c>
      <c r="P18" s="915">
        <f t="shared" si="3"/>
        <v>0.03933741151835845</v>
      </c>
      <c r="Q18" s="915">
        <f t="shared" si="4"/>
        <v>0.04371958745781069</v>
      </c>
      <c r="R18" s="914">
        <f t="shared" si="0"/>
        <v>0.04437164553196056</v>
      </c>
      <c r="S18" s="914">
        <f t="shared" si="1"/>
        <v>0.0448262332907033</v>
      </c>
      <c r="T18" s="914">
        <f t="shared" si="2"/>
        <v>0.04576422618168729</v>
      </c>
    </row>
    <row r="19" spans="1:26" ht="15">
      <c r="A19" s="453" t="str">
        <f>'Budget with Assumptions'!A19</f>
        <v>NCLB-Title 2</v>
      </c>
      <c r="B19" s="24"/>
      <c r="C19" s="24"/>
      <c r="D19" s="363">
        <f>'Budget with Assumptions'!J19</f>
        <v>0</v>
      </c>
      <c r="E19" s="891"/>
      <c r="F19" s="363">
        <f>'Budget with Assumptions'!L19</f>
        <v>10240</v>
      </c>
      <c r="G19" s="892"/>
      <c r="H19" s="363">
        <f>'Budget with Assumptions'!N19</f>
        <v>20480</v>
      </c>
      <c r="I19" s="892"/>
      <c r="J19" s="363">
        <f>'Budget with Assumptions'!P19</f>
        <v>30720</v>
      </c>
      <c r="K19" s="893"/>
      <c r="L19" s="363">
        <f>'Budget with Assumptions'!R19</f>
        <v>40960</v>
      </c>
      <c r="M19" s="889"/>
      <c r="N19" s="363">
        <f>'Budget with Assumptions'!T19</f>
        <v>40960</v>
      </c>
      <c r="O19"/>
      <c r="P19" s="915">
        <f t="shared" si="3"/>
        <v>0.005187707268029962</v>
      </c>
      <c r="Q19" s="915">
        <f t="shared" si="4"/>
        <v>0.005765616314238377</v>
      </c>
      <c r="R19" s="914">
        <f t="shared" si="0"/>
        <v>0.005851607900361582</v>
      </c>
      <c r="S19" s="914">
        <f t="shared" si="1"/>
        <v>0.005895537174851999</v>
      </c>
      <c r="T19" s="914">
        <f t="shared" si="2"/>
        <v>0.006018901810972114</v>
      </c>
      <c r="U19"/>
      <c r="V19"/>
      <c r="W19"/>
      <c r="X19"/>
      <c r="Y19"/>
      <c r="Z19"/>
    </row>
    <row r="20" spans="1:26" ht="15">
      <c r="A20" s="453" t="str">
        <f>'Budget with Assumptions'!A20</f>
        <v>ELL</v>
      </c>
      <c r="B20" s="24"/>
      <c r="C20" s="24"/>
      <c r="D20" s="363">
        <f>'Budget with Assumptions'!J20</f>
        <v>0</v>
      </c>
      <c r="E20" s="891"/>
      <c r="F20" s="363">
        <f>'Budget with Assumptions'!L20</f>
        <v>0</v>
      </c>
      <c r="G20" s="892"/>
      <c r="H20" s="363">
        <f>'Budget with Assumptions'!N20</f>
        <v>7680</v>
      </c>
      <c r="I20" s="892"/>
      <c r="J20" s="363">
        <f>'Budget with Assumptions'!P20</f>
        <v>15360</v>
      </c>
      <c r="K20" s="893"/>
      <c r="L20" s="363">
        <f>'Budget with Assumptions'!R20</f>
        <v>23040</v>
      </c>
      <c r="M20" s="889"/>
      <c r="N20" s="363">
        <f>'Budget with Assumptions'!T20</f>
        <v>30720</v>
      </c>
      <c r="O20"/>
      <c r="P20" s="915">
        <f t="shared" si="3"/>
        <v>0</v>
      </c>
      <c r="Q20" s="915">
        <f t="shared" si="4"/>
        <v>0.0021621061178393915</v>
      </c>
      <c r="R20" s="914">
        <f t="shared" si="0"/>
        <v>0.002925803950180791</v>
      </c>
      <c r="S20" s="914">
        <f t="shared" si="1"/>
        <v>0.0033162396608542497</v>
      </c>
      <c r="T20" s="914">
        <f t="shared" si="2"/>
        <v>0.004514176358229085</v>
      </c>
      <c r="U20"/>
      <c r="V20"/>
      <c r="W20"/>
      <c r="X20"/>
      <c r="Y20"/>
      <c r="Z20"/>
    </row>
    <row r="21" spans="1:26" ht="15">
      <c r="A21" s="453" t="str">
        <f>'Budget with Assumptions'!A21</f>
        <v>Special Education Reimbursement </v>
      </c>
      <c r="B21" s="24"/>
      <c r="C21" s="24"/>
      <c r="D21" s="363">
        <f>'Budget with Assumptions'!J21</f>
        <v>0</v>
      </c>
      <c r="E21" s="892"/>
      <c r="F21" s="363">
        <f>'Budget with Assumptions'!L21</f>
        <v>0</v>
      </c>
      <c r="G21" s="892"/>
      <c r="H21" s="363">
        <f>'Budget with Assumptions'!N21</f>
        <v>0</v>
      </c>
      <c r="I21" s="892"/>
      <c r="J21" s="363">
        <f>'Budget with Assumptions'!P21</f>
        <v>0</v>
      </c>
      <c r="K21" s="893"/>
      <c r="L21" s="363">
        <f>'Budget with Assumptions'!R21</f>
        <v>0</v>
      </c>
      <c r="M21" s="889"/>
      <c r="N21" s="363">
        <f>'Budget with Assumptions'!T21</f>
        <v>0</v>
      </c>
      <c r="O21"/>
      <c r="P21" s="915">
        <f t="shared" si="3"/>
        <v>0</v>
      </c>
      <c r="Q21" s="915">
        <f t="shared" si="4"/>
        <v>0</v>
      </c>
      <c r="R21" s="914">
        <f t="shared" si="0"/>
        <v>0</v>
      </c>
      <c r="S21" s="914">
        <f t="shared" si="1"/>
        <v>0</v>
      </c>
      <c r="T21" s="914">
        <f t="shared" si="2"/>
        <v>0</v>
      </c>
      <c r="U21"/>
      <c r="V21"/>
      <c r="W21"/>
      <c r="X21"/>
      <c r="Y21"/>
      <c r="Z21"/>
    </row>
    <row r="22" spans="1:26" ht="15">
      <c r="A22" s="453" t="str">
        <f>'Budget with Assumptions'!A22</f>
        <v>CPS Incubation Funds</v>
      </c>
      <c r="B22" s="24"/>
      <c r="C22" s="24"/>
      <c r="D22" s="363">
        <f>'Budget with Assumptions'!J22</f>
        <v>152000</v>
      </c>
      <c r="E22" s="892"/>
      <c r="F22" s="363">
        <f>'Budget with Assumptions'!L22</f>
        <v>0</v>
      </c>
      <c r="G22" s="892"/>
      <c r="H22" s="363">
        <f>'Budget with Assumptions'!N22</f>
        <v>0</v>
      </c>
      <c r="I22" s="892"/>
      <c r="J22" s="363">
        <f>'Budget with Assumptions'!P22</f>
        <v>0</v>
      </c>
      <c r="K22" s="893"/>
      <c r="L22" s="363">
        <f>'Budget with Assumptions'!R22</f>
        <v>0</v>
      </c>
      <c r="M22" s="889"/>
      <c r="N22" s="363">
        <f>'Budget with Assumptions'!T22</f>
        <v>0</v>
      </c>
      <c r="O22"/>
      <c r="P22" s="915">
        <f t="shared" si="3"/>
        <v>0</v>
      </c>
      <c r="Q22" s="915">
        <f t="shared" si="4"/>
        <v>0</v>
      </c>
      <c r="R22" s="914">
        <f t="shared" si="0"/>
        <v>0</v>
      </c>
      <c r="S22" s="914">
        <f t="shared" si="1"/>
        <v>0</v>
      </c>
      <c r="T22" s="914">
        <f t="shared" si="2"/>
        <v>0</v>
      </c>
      <c r="U22"/>
      <c r="V22"/>
      <c r="W22"/>
      <c r="X22"/>
      <c r="Y22"/>
      <c r="Z22"/>
    </row>
    <row r="23" spans="1:26" ht="15">
      <c r="A23" s="453" t="str">
        <f>'Budget with Assumptions'!A23</f>
        <v>Private Fundraising</v>
      </c>
      <c r="B23" s="24"/>
      <c r="C23" s="24"/>
      <c r="D23" s="363">
        <f>'Budget with Assumptions'!J23</f>
        <v>0</v>
      </c>
      <c r="E23" s="892"/>
      <c r="F23" s="363">
        <f>'Budget with Assumptions'!L23</f>
        <v>0</v>
      </c>
      <c r="G23" s="892"/>
      <c r="H23" s="363">
        <f>'Budget with Assumptions'!N23</f>
        <v>0</v>
      </c>
      <c r="I23" s="892"/>
      <c r="J23" s="363">
        <f>'Budget with Assumptions'!P23</f>
        <v>0</v>
      </c>
      <c r="K23" s="893"/>
      <c r="L23" s="363">
        <f>'Budget with Assumptions'!R23</f>
        <v>0</v>
      </c>
      <c r="M23" s="889"/>
      <c r="N23" s="363">
        <f>'Budget with Assumptions'!T23</f>
        <v>0</v>
      </c>
      <c r="O23"/>
      <c r="P23" s="915">
        <f t="shared" si="3"/>
        <v>0</v>
      </c>
      <c r="Q23" s="915">
        <f t="shared" si="4"/>
        <v>0</v>
      </c>
      <c r="R23" s="914">
        <f t="shared" si="0"/>
        <v>0</v>
      </c>
      <c r="S23" s="914">
        <f t="shared" si="1"/>
        <v>0</v>
      </c>
      <c r="T23" s="914">
        <f t="shared" si="2"/>
        <v>0</v>
      </c>
      <c r="U23"/>
      <c r="V23"/>
      <c r="W23"/>
      <c r="X23"/>
      <c r="Y23"/>
      <c r="Z23"/>
    </row>
    <row r="24" spans="1:26" ht="15">
      <c r="A24" s="453" t="str">
        <f>'Budget with Assumptions'!A24</f>
        <v>Student Fees</v>
      </c>
      <c r="B24" s="24"/>
      <c r="C24" s="24"/>
      <c r="D24" s="363">
        <f>'Budget with Assumptions'!J24</f>
        <v>0</v>
      </c>
      <c r="E24" s="892"/>
      <c r="F24" s="363">
        <f>'Budget with Assumptions'!L24</f>
        <v>21000</v>
      </c>
      <c r="G24" s="892"/>
      <c r="H24" s="363">
        <f>'Budget with Assumptions'!N24</f>
        <v>42000</v>
      </c>
      <c r="I24" s="892"/>
      <c r="J24" s="363">
        <f>'Budget with Assumptions'!P24</f>
        <v>63000</v>
      </c>
      <c r="K24" s="893"/>
      <c r="L24" s="363">
        <f>'Budget with Assumptions'!R24</f>
        <v>84000</v>
      </c>
      <c r="M24" s="889"/>
      <c r="N24" s="363">
        <f>'Budget with Assumptions'!T24</f>
        <v>84000</v>
      </c>
      <c r="O24"/>
      <c r="P24" s="915">
        <f t="shared" si="3"/>
        <v>0.010638852795764571</v>
      </c>
      <c r="Q24" s="915">
        <f t="shared" si="4"/>
        <v>0.011824017831934172</v>
      </c>
      <c r="R24" s="914">
        <f t="shared" si="0"/>
        <v>0.0120003677644134</v>
      </c>
      <c r="S24" s="914">
        <f t="shared" si="1"/>
        <v>0.012090457096864451</v>
      </c>
      <c r="T24" s="914">
        <f t="shared" si="2"/>
        <v>0.012343450979532655</v>
      </c>
      <c r="U24"/>
      <c r="V24"/>
      <c r="W24"/>
      <c r="X24"/>
      <c r="Y24"/>
      <c r="Z24"/>
    </row>
    <row r="25" spans="1:26" ht="15">
      <c r="A25" s="453" t="str">
        <f>'Budget with Assumptions'!A25</f>
        <v>Erate</v>
      </c>
      <c r="B25" s="24"/>
      <c r="C25" s="24"/>
      <c r="D25" s="363">
        <f>'Budget with Assumptions'!J25</f>
        <v>0</v>
      </c>
      <c r="E25" s="892"/>
      <c r="F25" s="363">
        <f>'Budget with Assumptions'!L25</f>
        <v>0</v>
      </c>
      <c r="G25" s="892"/>
      <c r="H25" s="363">
        <f>'Budget with Assumptions'!N25</f>
        <v>0</v>
      </c>
      <c r="I25" s="892"/>
      <c r="J25" s="363">
        <f>'Budget with Assumptions'!P25</f>
        <v>0</v>
      </c>
      <c r="K25" s="893"/>
      <c r="L25" s="363">
        <f>'Budget with Assumptions'!R25</f>
        <v>0</v>
      </c>
      <c r="M25" s="889"/>
      <c r="N25" s="363">
        <f>'Budget with Assumptions'!T25</f>
        <v>0</v>
      </c>
      <c r="O25"/>
      <c r="P25" s="915">
        <f t="shared" si="3"/>
        <v>0</v>
      </c>
      <c r="Q25" s="915">
        <f t="shared" si="4"/>
        <v>0</v>
      </c>
      <c r="R25" s="914">
        <f t="shared" si="0"/>
        <v>0</v>
      </c>
      <c r="S25" s="914">
        <f t="shared" si="1"/>
        <v>0</v>
      </c>
      <c r="T25" s="914">
        <f t="shared" si="2"/>
        <v>0</v>
      </c>
      <c r="U25"/>
      <c r="V25"/>
      <c r="W25"/>
      <c r="X25"/>
      <c r="Y25"/>
      <c r="Z25"/>
    </row>
    <row r="26" spans="1:26" ht="15">
      <c r="A26" s="453" t="str">
        <f>'Budget with Assumptions'!A26</f>
        <v>Investment Income</v>
      </c>
      <c r="B26" s="24"/>
      <c r="C26" s="24"/>
      <c r="D26" s="363">
        <f>'Budget with Assumptions'!J26</f>
        <v>0</v>
      </c>
      <c r="E26" s="892"/>
      <c r="F26" s="363">
        <f>'Budget with Assumptions'!L26</f>
        <v>0</v>
      </c>
      <c r="G26" s="892"/>
      <c r="H26" s="363">
        <f>'Budget with Assumptions'!N26</f>
        <v>0</v>
      </c>
      <c r="I26" s="892"/>
      <c r="J26" s="363">
        <f>'Budget with Assumptions'!P26</f>
        <v>0</v>
      </c>
      <c r="K26" s="893"/>
      <c r="L26" s="363">
        <f>'Budget with Assumptions'!R26</f>
        <v>0</v>
      </c>
      <c r="M26" s="889"/>
      <c r="N26" s="363">
        <f>'Budget with Assumptions'!T26</f>
        <v>0</v>
      </c>
      <c r="O26"/>
      <c r="P26" s="915">
        <f t="shared" si="3"/>
        <v>0</v>
      </c>
      <c r="Q26" s="915">
        <f t="shared" si="4"/>
        <v>0</v>
      </c>
      <c r="R26" s="914">
        <f t="shared" si="0"/>
        <v>0</v>
      </c>
      <c r="S26" s="914">
        <f t="shared" si="1"/>
        <v>0</v>
      </c>
      <c r="T26" s="914">
        <f t="shared" si="2"/>
        <v>0</v>
      </c>
      <c r="U26"/>
      <c r="V26"/>
      <c r="W26"/>
      <c r="X26"/>
      <c r="Y26"/>
      <c r="Z26"/>
    </row>
    <row r="27" spans="1:26" ht="15">
      <c r="A27" s="453" t="str">
        <f>'Budget with Assumptions'!A27</f>
        <v>Non-Facility Loan Proceeds / Line of Credit</v>
      </c>
      <c r="B27" s="24"/>
      <c r="C27" s="24"/>
      <c r="D27" s="363">
        <f>'Budget with Assumptions'!J27</f>
        <v>0</v>
      </c>
      <c r="E27" s="892"/>
      <c r="F27" s="363">
        <f>'Budget with Assumptions'!L27</f>
        <v>0</v>
      </c>
      <c r="G27" s="892"/>
      <c r="H27" s="363">
        <f>'Budget with Assumptions'!N27</f>
        <v>0</v>
      </c>
      <c r="I27" s="892"/>
      <c r="J27" s="363">
        <f>'Budget with Assumptions'!P27</f>
        <v>0</v>
      </c>
      <c r="K27" s="893"/>
      <c r="L27" s="363">
        <f>'Budget with Assumptions'!R27</f>
        <v>0</v>
      </c>
      <c r="M27" s="889"/>
      <c r="N27" s="363">
        <f>'Budget with Assumptions'!T27</f>
        <v>0</v>
      </c>
      <c r="O27"/>
      <c r="P27" s="915">
        <f t="shared" si="3"/>
        <v>0</v>
      </c>
      <c r="Q27" s="915">
        <f t="shared" si="4"/>
        <v>0</v>
      </c>
      <c r="R27" s="914">
        <f t="shared" si="0"/>
        <v>0</v>
      </c>
      <c r="S27" s="914">
        <f t="shared" si="1"/>
        <v>0</v>
      </c>
      <c r="T27" s="914">
        <f t="shared" si="2"/>
        <v>0</v>
      </c>
      <c r="U27"/>
      <c r="V27"/>
      <c r="W27"/>
      <c r="X27"/>
      <c r="Y27"/>
      <c r="Z27"/>
    </row>
    <row r="28" spans="1:26" ht="15">
      <c r="A28" s="453" t="str">
        <f>'Budget with Assumptions'!A28</f>
        <v>Walton Family Foundation Grant</v>
      </c>
      <c r="B28" s="24"/>
      <c r="C28" s="24"/>
      <c r="D28" s="363">
        <f>'Budget with Assumptions'!J28</f>
        <v>250000</v>
      </c>
      <c r="E28" s="892"/>
      <c r="F28" s="363">
        <f>'Budget with Assumptions'!L28</f>
        <v>0</v>
      </c>
      <c r="G28" s="892"/>
      <c r="H28" s="363">
        <f>'Budget with Assumptions'!N28</f>
        <v>0</v>
      </c>
      <c r="I28" s="892"/>
      <c r="J28" s="363">
        <f>'Budget with Assumptions'!P28</f>
        <v>0</v>
      </c>
      <c r="K28" s="893"/>
      <c r="L28" s="363">
        <f>'Budget with Assumptions'!R28</f>
        <v>0</v>
      </c>
      <c r="M28" s="889"/>
      <c r="N28" s="363">
        <f>'Budget with Assumptions'!T28</f>
        <v>0</v>
      </c>
      <c r="O28"/>
      <c r="P28" s="915">
        <f t="shared" si="3"/>
        <v>0</v>
      </c>
      <c r="Q28" s="915">
        <f t="shared" si="4"/>
        <v>0</v>
      </c>
      <c r="R28" s="914">
        <f t="shared" si="0"/>
        <v>0</v>
      </c>
      <c r="S28" s="914">
        <f t="shared" si="1"/>
        <v>0</v>
      </c>
      <c r="T28" s="914">
        <f t="shared" si="2"/>
        <v>0</v>
      </c>
      <c r="U28"/>
      <c r="V28"/>
      <c r="W28"/>
      <c r="X28"/>
      <c r="Y28"/>
      <c r="Z28"/>
    </row>
    <row r="29" spans="1:26" ht="15">
      <c r="A29" s="453" t="str">
        <f>'Budget with Assumptions'!A29</f>
        <v>Summer School Student Revenue</v>
      </c>
      <c r="B29" s="28"/>
      <c r="C29" s="28"/>
      <c r="D29" s="363">
        <f>'Budget with Assumptions'!J29</f>
        <v>0</v>
      </c>
      <c r="E29" s="892"/>
      <c r="F29" s="363">
        <f>'Budget with Assumptions'!L29</f>
        <v>0</v>
      </c>
      <c r="G29" s="892"/>
      <c r="H29" s="363">
        <f>'Budget with Assumptions'!N29</f>
        <v>1920</v>
      </c>
      <c r="I29" s="892"/>
      <c r="J29" s="363">
        <f>'Budget with Assumptions'!P29</f>
        <v>3840</v>
      </c>
      <c r="K29" s="893"/>
      <c r="L29" s="363">
        <f>'Budget with Assumptions'!R29</f>
        <v>5760</v>
      </c>
      <c r="M29" s="889"/>
      <c r="N29" s="363">
        <f>'Budget with Assumptions'!T29</f>
        <v>7680</v>
      </c>
      <c r="O29"/>
      <c r="P29" s="915">
        <f t="shared" si="3"/>
        <v>0</v>
      </c>
      <c r="Q29" s="915">
        <f t="shared" si="4"/>
        <v>0.0005405265294598479</v>
      </c>
      <c r="R29" s="914">
        <f t="shared" si="0"/>
        <v>0.0007314509875451978</v>
      </c>
      <c r="S29" s="914">
        <f t="shared" si="1"/>
        <v>0.0008290599152135624</v>
      </c>
      <c r="T29" s="914">
        <f t="shared" si="2"/>
        <v>0.0011285440895572713</v>
      </c>
      <c r="U29"/>
      <c r="V29"/>
      <c r="W29"/>
      <c r="X29"/>
      <c r="Y29"/>
      <c r="Z29"/>
    </row>
    <row r="30" spans="1:26" ht="15">
      <c r="A30" s="453" t="str">
        <f>'Budget with Assumptions'!A30</f>
        <v>Little Village Special Service Area #25</v>
      </c>
      <c r="B30" s="28"/>
      <c r="C30" s="28"/>
      <c r="D30" s="363">
        <f>'Budget with Assumptions'!J30</f>
        <v>0</v>
      </c>
      <c r="E30" s="892"/>
      <c r="F30" s="363">
        <f>'Budget with Assumptions'!L30</f>
        <v>5000</v>
      </c>
      <c r="G30" s="892"/>
      <c r="H30" s="363">
        <f>'Budget with Assumptions'!N30</f>
        <v>5000</v>
      </c>
      <c r="I30" s="892"/>
      <c r="J30" s="363">
        <f>'Budget with Assumptions'!P30</f>
        <v>5000</v>
      </c>
      <c r="K30" s="893"/>
      <c r="L30" s="363">
        <f>'Budget with Assumptions'!R30</f>
        <v>5000</v>
      </c>
      <c r="M30" s="889"/>
      <c r="N30" s="363">
        <f>'Budget with Assumptions'!T30</f>
        <v>5000</v>
      </c>
      <c r="O30"/>
      <c r="P30" s="915">
        <f t="shared" si="3"/>
        <v>0.002533060189467755</v>
      </c>
      <c r="Q30" s="915">
        <f t="shared" si="4"/>
        <v>0.0014076211704683538</v>
      </c>
      <c r="R30" s="914">
        <f t="shared" si="0"/>
        <v>0.0009524101400328096</v>
      </c>
      <c r="S30" s="914">
        <f t="shared" si="1"/>
        <v>0.0007196700652895506</v>
      </c>
      <c r="T30" s="914">
        <f t="shared" si="2"/>
        <v>0.0007347292249721819</v>
      </c>
      <c r="U30"/>
      <c r="V30"/>
      <c r="W30"/>
      <c r="X30"/>
      <c r="Y30"/>
      <c r="Z30"/>
    </row>
    <row r="31" spans="1:26" ht="15">
      <c r="A31" s="453" t="str">
        <f>'Budget with Assumptions'!A31</f>
        <v>Fundraising (Student, Parent, &amp; Board fundrasing events/activities)</v>
      </c>
      <c r="B31" s="28"/>
      <c r="C31" s="28"/>
      <c r="D31" s="363">
        <f>'Budget with Assumptions'!J31</f>
        <v>0</v>
      </c>
      <c r="E31" s="892"/>
      <c r="F31" s="363">
        <f>'Budget with Assumptions'!L31</f>
        <v>26000</v>
      </c>
      <c r="G31" s="892"/>
      <c r="H31" s="363">
        <f>'Budget with Assumptions'!N31</f>
        <v>42000</v>
      </c>
      <c r="I31" s="892"/>
      <c r="J31" s="363">
        <f>'Budget with Assumptions'!P31</f>
        <v>58000</v>
      </c>
      <c r="K31" s="893"/>
      <c r="L31" s="363">
        <f>'Budget with Assumptions'!R31</f>
        <v>74000</v>
      </c>
      <c r="M31" s="889"/>
      <c r="N31" s="363">
        <f>'Budget with Assumptions'!T31</f>
        <v>74000</v>
      </c>
      <c r="O31"/>
      <c r="P31" s="915">
        <f t="shared" si="3"/>
        <v>0.013171912985232325</v>
      </c>
      <c r="Q31" s="915">
        <f t="shared" si="4"/>
        <v>0.011824017831934172</v>
      </c>
      <c r="R31" s="914">
        <f t="shared" si="0"/>
        <v>0.011047957624380591</v>
      </c>
      <c r="S31" s="914">
        <f t="shared" si="1"/>
        <v>0.01065111696628535</v>
      </c>
      <c r="T31" s="914">
        <f t="shared" si="2"/>
        <v>0.010873992529588292</v>
      </c>
      <c r="U31"/>
      <c r="V31"/>
      <c r="W31"/>
      <c r="X31"/>
      <c r="Y31"/>
      <c r="Z31"/>
    </row>
    <row r="32" spans="1:26" ht="15">
      <c r="A32" s="453" t="str">
        <f>'Budget with Assumptions'!A32</f>
        <v>Cargill Donation</v>
      </c>
      <c r="B32" s="28"/>
      <c r="C32" s="28"/>
      <c r="D32" s="363">
        <f>'Budget with Assumptions'!J32</f>
        <v>15000</v>
      </c>
      <c r="E32" s="892"/>
      <c r="F32" s="363">
        <f>'Budget with Assumptions'!L32</f>
        <v>0</v>
      </c>
      <c r="G32" s="892"/>
      <c r="H32" s="363">
        <f>'Budget with Assumptions'!N32</f>
        <v>0</v>
      </c>
      <c r="I32" s="892"/>
      <c r="J32" s="363">
        <f>'Budget with Assumptions'!P32</f>
        <v>0</v>
      </c>
      <c r="K32" s="893"/>
      <c r="L32" s="363">
        <f>'Budget with Assumptions'!R32</f>
        <v>0</v>
      </c>
      <c r="M32" s="889"/>
      <c r="N32" s="363">
        <f>'Budget with Assumptions'!T32</f>
        <v>0</v>
      </c>
      <c r="O32"/>
      <c r="P32" s="915">
        <f t="shared" si="3"/>
        <v>0</v>
      </c>
      <c r="Q32" s="915">
        <f t="shared" si="4"/>
        <v>0</v>
      </c>
      <c r="R32" s="914">
        <f t="shared" si="0"/>
        <v>0</v>
      </c>
      <c r="S32" s="914">
        <f t="shared" si="1"/>
        <v>0</v>
      </c>
      <c r="T32" s="914">
        <f t="shared" si="2"/>
        <v>0</v>
      </c>
      <c r="U32"/>
      <c r="V32"/>
      <c r="W32"/>
      <c r="X32"/>
      <c r="Y32"/>
      <c r="Z32"/>
    </row>
    <row r="33" spans="1:26" ht="15">
      <c r="A33" s="453">
        <f>'Budget with Assumptions'!A33</f>
        <v>0</v>
      </c>
      <c r="B33" s="28"/>
      <c r="C33" s="28"/>
      <c r="D33" s="363">
        <f>'Budget with Assumptions'!J33</f>
        <v>0</v>
      </c>
      <c r="E33" s="892"/>
      <c r="F33" s="363">
        <f>'Budget with Assumptions'!L33</f>
        <v>0</v>
      </c>
      <c r="G33" s="892"/>
      <c r="H33" s="363">
        <f>'Budget with Assumptions'!N33</f>
        <v>0</v>
      </c>
      <c r="I33" s="892"/>
      <c r="J33" s="363">
        <f>'Budget with Assumptions'!P33</f>
        <v>0</v>
      </c>
      <c r="K33" s="896"/>
      <c r="L33" s="363">
        <f>'Budget with Assumptions'!R33</f>
        <v>0</v>
      </c>
      <c r="M33" s="889"/>
      <c r="N33" s="363">
        <f>'Budget with Assumptions'!T33</f>
        <v>0</v>
      </c>
      <c r="O33"/>
      <c r="P33" s="915">
        <f t="shared" si="3"/>
        <v>0</v>
      </c>
      <c r="Q33" s="915">
        <f t="shared" si="4"/>
        <v>0</v>
      </c>
      <c r="R33" s="914">
        <f t="shared" si="0"/>
        <v>0</v>
      </c>
      <c r="S33" s="914">
        <f t="shared" si="1"/>
        <v>0</v>
      </c>
      <c r="T33" s="914">
        <f t="shared" si="2"/>
        <v>0</v>
      </c>
      <c r="U33"/>
      <c r="V33"/>
      <c r="W33"/>
      <c r="X33"/>
      <c r="Y33"/>
      <c r="Z33"/>
    </row>
    <row r="34" spans="1:26" ht="15.75" thickBot="1">
      <c r="A34" s="22"/>
      <c r="B34" s="24"/>
      <c r="C34" s="24"/>
      <c r="D34" s="892"/>
      <c r="E34" s="892"/>
      <c r="F34" s="892"/>
      <c r="G34" s="892"/>
      <c r="H34" s="892"/>
      <c r="I34" s="892"/>
      <c r="J34" s="891"/>
      <c r="K34" s="893"/>
      <c r="L34" s="68"/>
      <c r="M34" s="889"/>
      <c r="N34" s="68"/>
      <c r="O34"/>
      <c r="P34" s="916"/>
      <c r="Q34" s="916"/>
      <c r="R34" s="916"/>
      <c r="S34" s="916"/>
      <c r="T34" s="916"/>
      <c r="U34"/>
      <c r="V34"/>
      <c r="W34"/>
      <c r="X34"/>
      <c r="Y34"/>
      <c r="Z34"/>
    </row>
    <row r="35" spans="2:26" ht="15.75" thickBot="1">
      <c r="B35" s="33"/>
      <c r="C35" s="33"/>
      <c r="D35" s="482">
        <f>SUM(D10:D33)</f>
        <v>417000</v>
      </c>
      <c r="E35" s="354"/>
      <c r="F35" s="482">
        <f>SUM(F10:F33)</f>
        <v>1973897.036</v>
      </c>
      <c r="G35" s="354"/>
      <c r="H35" s="482">
        <f>SUM(H10:H33)</f>
        <v>3552092.072</v>
      </c>
      <c r="I35" s="354"/>
      <c r="J35" s="482">
        <f>SUM(J10:J33)</f>
        <v>5249839.108</v>
      </c>
      <c r="K35" s="355"/>
      <c r="L35" s="482">
        <f>SUM(L10:L33)</f>
        <v>6947628.144</v>
      </c>
      <c r="M35" s="874"/>
      <c r="N35" s="483">
        <f>SUM(N10:N33)</f>
        <v>6805228.144</v>
      </c>
      <c r="O35"/>
      <c r="P35" s="917">
        <f>SUM(P10:P34)</f>
        <v>1</v>
      </c>
      <c r="Q35" s="917">
        <f>SUM(Q10:Q34)</f>
        <v>0.9999999999999999</v>
      </c>
      <c r="R35" s="917">
        <f>SUM(R10:R34)</f>
        <v>1</v>
      </c>
      <c r="S35" s="917">
        <f>SUM(S10:S34)</f>
        <v>0.9999999999999999</v>
      </c>
      <c r="T35" s="917">
        <f>SUM(T10:T34)</f>
        <v>1</v>
      </c>
      <c r="U35"/>
      <c r="V35"/>
      <c r="W35"/>
      <c r="X35"/>
      <c r="Y35"/>
      <c r="Z35"/>
    </row>
    <row r="36" spans="1:26" ht="15">
      <c r="A36" s="27"/>
      <c r="B36" s="28"/>
      <c r="C36" s="28"/>
      <c r="D36" s="892"/>
      <c r="E36" s="892"/>
      <c r="F36" s="892"/>
      <c r="G36" s="892"/>
      <c r="H36" s="892"/>
      <c r="I36" s="892"/>
      <c r="J36" s="892"/>
      <c r="K36" s="897"/>
      <c r="L36" s="68"/>
      <c r="M36" s="889"/>
      <c r="N36" s="68"/>
      <c r="O36"/>
      <c r="P36" s="916"/>
      <c r="Q36" s="916"/>
      <c r="R36" s="916"/>
      <c r="S36" s="916"/>
      <c r="T36" s="916"/>
      <c r="U36"/>
      <c r="V36"/>
      <c r="W36"/>
      <c r="X36"/>
      <c r="Y36"/>
      <c r="Z36"/>
    </row>
    <row r="37" spans="1:26" ht="18" customHeight="1" thickBot="1">
      <c r="A37" s="289" t="s">
        <v>28</v>
      </c>
      <c r="B37" s="28"/>
      <c r="C37" s="28"/>
      <c r="D37" s="892"/>
      <c r="E37" s="892"/>
      <c r="F37" s="892"/>
      <c r="G37" s="892"/>
      <c r="H37" s="892"/>
      <c r="I37" s="892"/>
      <c r="J37" s="892"/>
      <c r="K37" s="897"/>
      <c r="L37" s="68"/>
      <c r="M37" s="889"/>
      <c r="N37" s="68"/>
      <c r="O37"/>
      <c r="P37" s="916"/>
      <c r="Q37" s="916"/>
      <c r="R37" s="916"/>
      <c r="S37" s="916"/>
      <c r="T37" s="916"/>
      <c r="U37"/>
      <c r="V37"/>
      <c r="W37"/>
      <c r="X37"/>
      <c r="Y37"/>
      <c r="Z37"/>
    </row>
    <row r="38" spans="1:26" ht="18" customHeight="1" thickBot="1">
      <c r="A38" s="22"/>
      <c r="B38" s="28"/>
      <c r="C38" s="28"/>
      <c r="D38" s="892"/>
      <c r="E38" s="892"/>
      <c r="F38" s="892"/>
      <c r="G38" s="892"/>
      <c r="H38" s="892"/>
      <c r="I38" s="892"/>
      <c r="J38" s="892"/>
      <c r="K38" s="897"/>
      <c r="L38" s="68"/>
      <c r="M38" s="889"/>
      <c r="N38" s="68"/>
      <c r="O38"/>
      <c r="P38" s="916"/>
      <c r="Q38" s="916"/>
      <c r="R38" s="916"/>
      <c r="S38" s="916"/>
      <c r="T38" s="916"/>
      <c r="U38"/>
      <c r="V38" s="1131" t="s">
        <v>343</v>
      </c>
      <c r="W38" s="1132"/>
      <c r="X38" s="1132"/>
      <c r="Y38" s="1132"/>
      <c r="Z38" s="1133"/>
    </row>
    <row r="39" spans="1:26" ht="32.25" customHeight="1" thickBot="1">
      <c r="A39" s="703" t="s">
        <v>9</v>
      </c>
      <c r="B39" s="24"/>
      <c r="C39" s="24"/>
      <c r="D39" s="898"/>
      <c r="E39" s="898"/>
      <c r="F39" s="898"/>
      <c r="G39" s="898"/>
      <c r="H39" s="898"/>
      <c r="I39" s="898"/>
      <c r="J39" s="898"/>
      <c r="K39" s="899"/>
      <c r="L39" s="898"/>
      <c r="M39" s="889"/>
      <c r="N39" s="898"/>
      <c r="O39"/>
      <c r="P39" s="1131" t="s">
        <v>342</v>
      </c>
      <c r="Q39" s="1132"/>
      <c r="R39" s="1132"/>
      <c r="S39" s="1132"/>
      <c r="T39" s="1133"/>
      <c r="U39"/>
      <c r="V39" s="913">
        <f>P9</f>
        <v>2017</v>
      </c>
      <c r="W39" s="913">
        <f>Q9</f>
        <v>2018</v>
      </c>
      <c r="X39" s="913">
        <f>R9</f>
        <v>2019</v>
      </c>
      <c r="Y39" s="913">
        <f>S9</f>
        <v>2020</v>
      </c>
      <c r="Z39" s="913">
        <f>T9</f>
        <v>2021</v>
      </c>
    </row>
    <row r="40" spans="1:26" ht="15">
      <c r="A40" s="710" t="str">
        <f>'Budget with Assumptions'!A40</f>
        <v>Classroom Supplies (consumables)</v>
      </c>
      <c r="B40" s="38"/>
      <c r="C40" s="38"/>
      <c r="D40" s="363">
        <f>'Budget with Assumptions'!J40</f>
        <v>0</v>
      </c>
      <c r="E40" s="900"/>
      <c r="F40" s="363">
        <f>'Budget with Assumptions'!L40</f>
        <v>16000</v>
      </c>
      <c r="G40" s="900"/>
      <c r="H40" s="363">
        <f>'Budget with Assumptions'!N40</f>
        <v>32640</v>
      </c>
      <c r="I40" s="900"/>
      <c r="J40" s="363">
        <f>'Budget with Assumptions'!P40</f>
        <v>49939.2</v>
      </c>
      <c r="K40" s="901"/>
      <c r="L40" s="363">
        <f>'Budget with Assumptions'!R40</f>
        <v>67917.31199999999</v>
      </c>
      <c r="M40" s="889"/>
      <c r="N40" s="363">
        <f>'Budget with Assumptions'!T40</f>
        <v>69275.65824</v>
      </c>
      <c r="O40"/>
      <c r="P40" s="914">
        <f aca="true" t="shared" si="5" ref="P40:P62">F40/$F$159</f>
        <v>0.007535643113318463</v>
      </c>
      <c r="Q40" s="914">
        <f aca="true" t="shared" si="6" ref="Q40:Q62">H40/$H$159</f>
        <v>0.008735079739075882</v>
      </c>
      <c r="R40" s="914">
        <f aca="true" t="shared" si="7" ref="R40:R62">J40/$J$159</f>
        <v>0.010895160309176475</v>
      </c>
      <c r="S40" s="914">
        <f aca="true" t="shared" si="8" ref="S40:S62">L40/$L$159</f>
        <v>0.011882817121200732</v>
      </c>
      <c r="T40" s="914">
        <f aca="true" t="shared" si="9" ref="T40:T62">N40/$N$159</f>
        <v>0.012074903884588262</v>
      </c>
      <c r="U40"/>
      <c r="V40" s="921">
        <f>F40/$F$178</f>
        <v>100</v>
      </c>
      <c r="W40" s="921">
        <f>H40/$H$178</f>
        <v>102</v>
      </c>
      <c r="X40" s="921">
        <f>J40/$J$178</f>
        <v>104.03999999999999</v>
      </c>
      <c r="Y40" s="921">
        <f>L40/$L$178</f>
        <v>106.12079999999999</v>
      </c>
      <c r="Z40" s="921">
        <f>N40/$N$178</f>
        <v>108.243216</v>
      </c>
    </row>
    <row r="41" spans="1:26" ht="15">
      <c r="A41" s="710" t="str">
        <f>'Budget with Assumptions'!A41</f>
        <v>Educational Materials (non-consumables)</v>
      </c>
      <c r="B41" s="42"/>
      <c r="C41" s="42"/>
      <c r="D41" s="363">
        <f>'Budget with Assumptions'!J41</f>
        <v>0</v>
      </c>
      <c r="E41" s="900"/>
      <c r="F41" s="363">
        <f>'Budget with Assumptions'!L41</f>
        <v>8000</v>
      </c>
      <c r="G41" s="900"/>
      <c r="H41" s="363">
        <f>'Budget with Assumptions'!N41</f>
        <v>16320</v>
      </c>
      <c r="I41" s="900"/>
      <c r="J41" s="363">
        <f>'Budget with Assumptions'!P41</f>
        <v>24969.6</v>
      </c>
      <c r="K41" s="901"/>
      <c r="L41" s="363">
        <f>'Budget with Assumptions'!R41</f>
        <v>33958.655999999995</v>
      </c>
      <c r="M41" s="889"/>
      <c r="N41" s="363">
        <f>'Budget with Assumptions'!T41</f>
        <v>34637.82912</v>
      </c>
      <c r="O41"/>
      <c r="P41" s="914">
        <f t="shared" si="5"/>
        <v>0.0037678215566592315</v>
      </c>
      <c r="Q41" s="914">
        <f t="shared" si="6"/>
        <v>0.004367539869537941</v>
      </c>
      <c r="R41" s="914">
        <f t="shared" si="7"/>
        <v>0.005447580154588238</v>
      </c>
      <c r="S41" s="914">
        <f t="shared" si="8"/>
        <v>0.005941408560600366</v>
      </c>
      <c r="T41" s="914">
        <f t="shared" si="9"/>
        <v>0.006037451942294131</v>
      </c>
      <c r="U41"/>
      <c r="V41" s="921">
        <f aca="true" t="shared" si="10" ref="V41:V62">F41/$F$178</f>
        <v>50</v>
      </c>
      <c r="W41" s="921">
        <f aca="true" t="shared" si="11" ref="W41:W62">H41/$H$178</f>
        <v>51</v>
      </c>
      <c r="X41" s="921">
        <f aca="true" t="shared" si="12" ref="X41:X62">J41/$J$178</f>
        <v>52.019999999999996</v>
      </c>
      <c r="Y41" s="921">
        <f aca="true" t="shared" si="13" ref="Y41:Y62">L41/$L$178</f>
        <v>53.060399999999994</v>
      </c>
      <c r="Z41" s="921">
        <f aca="true" t="shared" si="14" ref="Z41:Z62">N41/$N$178</f>
        <v>54.121608</v>
      </c>
    </row>
    <row r="42" spans="1:26" ht="15">
      <c r="A42" s="710" t="str">
        <f>'Budget with Assumptions'!A42</f>
        <v>Student Testing &amp; Assessment</v>
      </c>
      <c r="B42" s="42"/>
      <c r="C42" s="42"/>
      <c r="D42" s="363">
        <f>'Budget with Assumptions'!J42</f>
        <v>0</v>
      </c>
      <c r="E42" s="900"/>
      <c r="F42" s="363">
        <f>'Budget with Assumptions'!L42</f>
        <v>10400</v>
      </c>
      <c r="G42" s="900"/>
      <c r="H42" s="363">
        <f>'Budget with Assumptions'!N42</f>
        <v>20800</v>
      </c>
      <c r="I42" s="900"/>
      <c r="J42" s="363">
        <f>'Budget with Assumptions'!P42</f>
        <v>31200</v>
      </c>
      <c r="K42" s="901"/>
      <c r="L42" s="363">
        <f>'Budget with Assumptions'!R42</f>
        <v>41600</v>
      </c>
      <c r="M42" s="889"/>
      <c r="N42" s="363">
        <f>'Budget with Assumptions'!T42</f>
        <v>41600</v>
      </c>
      <c r="O42"/>
      <c r="P42" s="914">
        <f t="shared" si="5"/>
        <v>0.004898168023657001</v>
      </c>
      <c r="Q42" s="914">
        <f t="shared" si="6"/>
        <v>0.0055664723827444345</v>
      </c>
      <c r="R42" s="914">
        <f t="shared" si="7"/>
        <v>0.006806857171246356</v>
      </c>
      <c r="S42" s="914">
        <f t="shared" si="8"/>
        <v>0.0072783385809195526</v>
      </c>
      <c r="T42" s="914">
        <f t="shared" si="9"/>
        <v>0.007250974070266324</v>
      </c>
      <c r="U42"/>
      <c r="V42" s="921">
        <f t="shared" si="10"/>
        <v>65</v>
      </c>
      <c r="W42" s="921">
        <f t="shared" si="11"/>
        <v>65</v>
      </c>
      <c r="X42" s="921">
        <f t="shared" si="12"/>
        <v>65</v>
      </c>
      <c r="Y42" s="921">
        <f t="shared" si="13"/>
        <v>65</v>
      </c>
      <c r="Z42" s="921">
        <f t="shared" si="14"/>
        <v>65</v>
      </c>
    </row>
    <row r="43" spans="1:26" ht="15">
      <c r="A43" s="710" t="str">
        <f>'Budget with Assumptions'!A43</f>
        <v>Student Recruitment</v>
      </c>
      <c r="B43" s="42"/>
      <c r="C43" s="42"/>
      <c r="D43" s="363">
        <f>'Budget with Assumptions'!J43</f>
        <v>10000</v>
      </c>
      <c r="E43" s="900"/>
      <c r="F43" s="363">
        <f>'Budget with Assumptions'!L43</f>
        <v>8000</v>
      </c>
      <c r="G43" s="900"/>
      <c r="H43" s="363">
        <f>'Budget with Assumptions'!N43</f>
        <v>8000</v>
      </c>
      <c r="I43" s="900"/>
      <c r="J43" s="363">
        <f>'Budget with Assumptions'!P43</f>
        <v>8000</v>
      </c>
      <c r="K43" s="901"/>
      <c r="L43" s="363">
        <f>'Budget with Assumptions'!R43</f>
        <v>8000</v>
      </c>
      <c r="M43" s="889"/>
      <c r="N43" s="363">
        <f>'Budget with Assumptions'!T43</f>
        <v>8000</v>
      </c>
      <c r="O43"/>
      <c r="P43" s="914">
        <f t="shared" si="5"/>
        <v>0.0037678215566592315</v>
      </c>
      <c r="Q43" s="914">
        <f t="shared" si="6"/>
        <v>0.002140950916440167</v>
      </c>
      <c r="R43" s="914">
        <f t="shared" si="7"/>
        <v>0.001745347992627271</v>
      </c>
      <c r="S43" s="914">
        <f t="shared" si="8"/>
        <v>0.001399680496330683</v>
      </c>
      <c r="T43" s="914">
        <f t="shared" si="9"/>
        <v>0.0013944180904358317</v>
      </c>
      <c r="U43"/>
      <c r="V43" s="921">
        <f t="shared" si="10"/>
        <v>50</v>
      </c>
      <c r="W43" s="921">
        <f t="shared" si="11"/>
        <v>25</v>
      </c>
      <c r="X43" s="921">
        <f t="shared" si="12"/>
        <v>16.666666666666668</v>
      </c>
      <c r="Y43" s="921">
        <f t="shared" si="13"/>
        <v>12.5</v>
      </c>
      <c r="Z43" s="921">
        <f t="shared" si="14"/>
        <v>12.5</v>
      </c>
    </row>
    <row r="44" spans="1:26" ht="15">
      <c r="A44" s="710" t="str">
        <f>'Budget with Assumptions'!A44</f>
        <v>Instructional Equipment (non-computer)</v>
      </c>
      <c r="B44" s="42"/>
      <c r="C44" s="42"/>
      <c r="D44" s="363">
        <f>'Budget with Assumptions'!J44</f>
        <v>0</v>
      </c>
      <c r="E44" s="900"/>
      <c r="F44" s="363">
        <f>'Budget with Assumptions'!L44</f>
        <v>22300</v>
      </c>
      <c r="G44" s="900"/>
      <c r="H44" s="363">
        <f>'Budget with Assumptions'!N44</f>
        <v>141740</v>
      </c>
      <c r="I44" s="900"/>
      <c r="J44" s="363">
        <f>'Budget with Assumptions'!P44</f>
        <v>91450</v>
      </c>
      <c r="K44" s="901"/>
      <c r="L44" s="363">
        <f>'Budget with Assumptions'!R44</f>
        <v>102184</v>
      </c>
      <c r="M44" s="889"/>
      <c r="N44" s="363">
        <f>'Budget with Assumptions'!T44</f>
        <v>54000</v>
      </c>
      <c r="O44"/>
      <c r="P44" s="914">
        <f t="shared" si="5"/>
        <v>0.010502802589187609</v>
      </c>
      <c r="Q44" s="914">
        <f t="shared" si="6"/>
        <v>0.03793229786202866</v>
      </c>
      <c r="R44" s="914">
        <f t="shared" si="7"/>
        <v>0.01995150924072049</v>
      </c>
      <c r="S44" s="914">
        <f t="shared" si="8"/>
        <v>0.017878118979631815</v>
      </c>
      <c r="T44" s="914">
        <f t="shared" si="9"/>
        <v>0.009412322110441863</v>
      </c>
      <c r="U44"/>
      <c r="V44" s="921">
        <f t="shared" si="10"/>
        <v>139.375</v>
      </c>
      <c r="W44" s="921">
        <f t="shared" si="11"/>
        <v>442.9375</v>
      </c>
      <c r="X44" s="921">
        <f t="shared" si="12"/>
        <v>190.52083333333334</v>
      </c>
      <c r="Y44" s="921">
        <f t="shared" si="13"/>
        <v>159.6625</v>
      </c>
      <c r="Z44" s="921">
        <f t="shared" si="14"/>
        <v>84.375</v>
      </c>
    </row>
    <row r="45" spans="1:26" ht="15">
      <c r="A45" s="710" t="str">
        <f>'Budget with Assumptions'!A45</f>
        <v>Technology Equipment (e.g., computers, LAN, software, etc.)</v>
      </c>
      <c r="B45" s="42"/>
      <c r="C45" s="42"/>
      <c r="D45" s="363">
        <f>'Budget with Assumptions'!J45</f>
        <v>0</v>
      </c>
      <c r="E45" s="900"/>
      <c r="F45" s="363">
        <f>'Budget with Assumptions'!L45</f>
        <v>34400</v>
      </c>
      <c r="G45" s="900"/>
      <c r="H45" s="363">
        <f>'Budget with Assumptions'!N45</f>
        <v>46450</v>
      </c>
      <c r="I45" s="900"/>
      <c r="J45" s="363">
        <f>'Budget with Assumptions'!P45</f>
        <v>63620</v>
      </c>
      <c r="K45" s="901"/>
      <c r="L45" s="363">
        <f>'Budget with Assumptions'!R45</f>
        <v>59650</v>
      </c>
      <c r="M45" s="889"/>
      <c r="N45" s="363">
        <f>'Budget with Assumptions'!T45</f>
        <v>26040</v>
      </c>
      <c r="O45"/>
      <c r="P45" s="914">
        <f t="shared" si="5"/>
        <v>0.016201632693634695</v>
      </c>
      <c r="Q45" s="914">
        <f t="shared" si="6"/>
        <v>0.012430896258580721</v>
      </c>
      <c r="R45" s="914">
        <f t="shared" si="7"/>
        <v>0.013879879911368371</v>
      </c>
      <c r="S45" s="914">
        <f t="shared" si="8"/>
        <v>0.010436367700765656</v>
      </c>
      <c r="T45" s="914">
        <f t="shared" si="9"/>
        <v>0.004538830884368632</v>
      </c>
      <c r="U45"/>
      <c r="V45" s="921">
        <f t="shared" si="10"/>
        <v>215</v>
      </c>
      <c r="W45" s="921">
        <f t="shared" si="11"/>
        <v>145.15625</v>
      </c>
      <c r="X45" s="921">
        <f t="shared" si="12"/>
        <v>132.54166666666666</v>
      </c>
      <c r="Y45" s="921">
        <f t="shared" si="13"/>
        <v>93.203125</v>
      </c>
      <c r="Z45" s="921">
        <f t="shared" si="14"/>
        <v>40.6875</v>
      </c>
    </row>
    <row r="46" spans="1:26" ht="15">
      <c r="A46" s="710" t="str">
        <f>'Budget with Assumptions'!A46</f>
        <v>Furniture</v>
      </c>
      <c r="B46" s="42"/>
      <c r="C46" s="42"/>
      <c r="D46" s="363">
        <f>'Budget with Assumptions'!J46</f>
        <v>0</v>
      </c>
      <c r="E46" s="900"/>
      <c r="F46" s="363">
        <f>'Budget with Assumptions'!L46</f>
        <v>12000</v>
      </c>
      <c r="G46" s="900"/>
      <c r="H46" s="363">
        <f>'Budget with Assumptions'!N46</f>
        <v>12000</v>
      </c>
      <c r="I46" s="900"/>
      <c r="J46" s="363">
        <f>'Budget with Assumptions'!P46</f>
        <v>12000</v>
      </c>
      <c r="K46" s="901"/>
      <c r="L46" s="363">
        <f>'Budget with Assumptions'!R46</f>
        <v>12000</v>
      </c>
      <c r="M46" s="889"/>
      <c r="N46" s="363">
        <f>'Budget with Assumptions'!T46</f>
        <v>0</v>
      </c>
      <c r="O46"/>
      <c r="P46" s="914">
        <f t="shared" si="5"/>
        <v>0.005651732334988847</v>
      </c>
      <c r="Q46" s="914">
        <f t="shared" si="6"/>
        <v>0.0032114263746602506</v>
      </c>
      <c r="R46" s="914">
        <f t="shared" si="7"/>
        <v>0.0026180219889409065</v>
      </c>
      <c r="S46" s="914">
        <f t="shared" si="8"/>
        <v>0.002099520744496025</v>
      </c>
      <c r="T46" s="914">
        <f t="shared" si="9"/>
        <v>0</v>
      </c>
      <c r="U46"/>
      <c r="V46" s="921">
        <f t="shared" si="10"/>
        <v>75</v>
      </c>
      <c r="W46" s="921">
        <f t="shared" si="11"/>
        <v>37.5</v>
      </c>
      <c r="X46" s="921">
        <f t="shared" si="12"/>
        <v>25</v>
      </c>
      <c r="Y46" s="921">
        <f t="shared" si="13"/>
        <v>18.75</v>
      </c>
      <c r="Z46" s="921">
        <f t="shared" si="14"/>
        <v>0</v>
      </c>
    </row>
    <row r="47" spans="1:26" ht="15">
      <c r="A47" s="710" t="str">
        <f>'Budget with Assumptions'!A47</f>
        <v>Technology Contracted Services</v>
      </c>
      <c r="B47" s="42"/>
      <c r="C47" s="42"/>
      <c r="D47" s="363">
        <f>'Budget with Assumptions'!J47</f>
        <v>0</v>
      </c>
      <c r="E47" s="900"/>
      <c r="F47" s="363">
        <f>'Budget with Assumptions'!L47</f>
        <v>0</v>
      </c>
      <c r="G47" s="900"/>
      <c r="H47" s="363">
        <f>'Budget with Assumptions'!N47</f>
        <v>0</v>
      </c>
      <c r="I47" s="900"/>
      <c r="J47" s="363">
        <f>'Budget with Assumptions'!P47</f>
        <v>0</v>
      </c>
      <c r="K47" s="901"/>
      <c r="L47" s="363">
        <f>'Budget with Assumptions'!R47</f>
        <v>0</v>
      </c>
      <c r="M47" s="889"/>
      <c r="N47" s="363">
        <f>'Budget with Assumptions'!T47</f>
        <v>0</v>
      </c>
      <c r="O47"/>
      <c r="P47" s="914">
        <f t="shared" si="5"/>
        <v>0</v>
      </c>
      <c r="Q47" s="914">
        <f t="shared" si="6"/>
        <v>0</v>
      </c>
      <c r="R47" s="914">
        <f t="shared" si="7"/>
        <v>0</v>
      </c>
      <c r="S47" s="914">
        <f t="shared" si="8"/>
        <v>0</v>
      </c>
      <c r="T47" s="914">
        <f t="shared" si="9"/>
        <v>0</v>
      </c>
      <c r="U47"/>
      <c r="V47" s="921">
        <f t="shared" si="10"/>
        <v>0</v>
      </c>
      <c r="W47" s="921">
        <f t="shared" si="11"/>
        <v>0</v>
      </c>
      <c r="X47" s="921">
        <f t="shared" si="12"/>
        <v>0</v>
      </c>
      <c r="Y47" s="921">
        <f t="shared" si="13"/>
        <v>0</v>
      </c>
      <c r="Z47" s="921">
        <f t="shared" si="14"/>
        <v>0</v>
      </c>
    </row>
    <row r="48" spans="1:26" ht="15">
      <c r="A48" s="710" t="str">
        <f>'Budget with Assumptions'!A48</f>
        <v>Technology Leases</v>
      </c>
      <c r="B48" s="42"/>
      <c r="C48" s="42"/>
      <c r="D48" s="363">
        <f>'Budget with Assumptions'!J48</f>
        <v>0</v>
      </c>
      <c r="E48" s="900"/>
      <c r="F48" s="363">
        <f>'Budget with Assumptions'!L48</f>
        <v>0</v>
      </c>
      <c r="G48" s="900"/>
      <c r="H48" s="363">
        <f>'Budget with Assumptions'!N48</f>
        <v>0</v>
      </c>
      <c r="I48" s="900"/>
      <c r="J48" s="363">
        <f>'Budget with Assumptions'!P48</f>
        <v>0</v>
      </c>
      <c r="K48" s="901"/>
      <c r="L48" s="363">
        <f>'Budget with Assumptions'!R48</f>
        <v>0</v>
      </c>
      <c r="M48" s="889"/>
      <c r="N48" s="363">
        <f>'Budget with Assumptions'!T48</f>
        <v>0</v>
      </c>
      <c r="O48"/>
      <c r="P48" s="914">
        <f t="shared" si="5"/>
        <v>0</v>
      </c>
      <c r="Q48" s="914">
        <f t="shared" si="6"/>
        <v>0</v>
      </c>
      <c r="R48" s="914">
        <f t="shared" si="7"/>
        <v>0</v>
      </c>
      <c r="S48" s="914">
        <f t="shared" si="8"/>
        <v>0</v>
      </c>
      <c r="T48" s="914">
        <f t="shared" si="9"/>
        <v>0</v>
      </c>
      <c r="U48"/>
      <c r="V48" s="921">
        <f t="shared" si="10"/>
        <v>0</v>
      </c>
      <c r="W48" s="921">
        <f t="shared" si="11"/>
        <v>0</v>
      </c>
      <c r="X48" s="921">
        <f t="shared" si="12"/>
        <v>0</v>
      </c>
      <c r="Y48" s="921">
        <f t="shared" si="13"/>
        <v>0</v>
      </c>
      <c r="Z48" s="921">
        <f t="shared" si="14"/>
        <v>0</v>
      </c>
    </row>
    <row r="49" spans="1:26" ht="15">
      <c r="A49" s="710" t="str">
        <f>'Budget with Assumptions'!A49</f>
        <v>Extracurricular Expenses</v>
      </c>
      <c r="B49" s="42"/>
      <c r="C49" s="42"/>
      <c r="D49" s="363">
        <f>'Budget with Assumptions'!J49</f>
        <v>0</v>
      </c>
      <c r="E49" s="900"/>
      <c r="F49" s="363">
        <f>'Budget with Assumptions'!L49</f>
        <v>16000</v>
      </c>
      <c r="G49" s="900"/>
      <c r="H49" s="363">
        <f>'Budget with Assumptions'!N49</f>
        <v>32640</v>
      </c>
      <c r="I49" s="900"/>
      <c r="J49" s="363">
        <f>'Budget with Assumptions'!P49</f>
        <v>49939.2</v>
      </c>
      <c r="K49" s="901"/>
      <c r="L49" s="363">
        <f>'Budget with Assumptions'!R49</f>
        <v>67917.31199999999</v>
      </c>
      <c r="M49" s="889"/>
      <c r="N49" s="363">
        <f>'Budget with Assumptions'!T49</f>
        <v>69275.65824</v>
      </c>
      <c r="O49"/>
      <c r="P49" s="914">
        <f t="shared" si="5"/>
        <v>0.007535643113318463</v>
      </c>
      <c r="Q49" s="914">
        <f t="shared" si="6"/>
        <v>0.008735079739075882</v>
      </c>
      <c r="R49" s="914">
        <f t="shared" si="7"/>
        <v>0.010895160309176475</v>
      </c>
      <c r="S49" s="914">
        <f t="shared" si="8"/>
        <v>0.011882817121200732</v>
      </c>
      <c r="T49" s="914">
        <f t="shared" si="9"/>
        <v>0.012074903884588262</v>
      </c>
      <c r="U49"/>
      <c r="V49" s="921">
        <f t="shared" si="10"/>
        <v>100</v>
      </c>
      <c r="W49" s="921">
        <f t="shared" si="11"/>
        <v>102</v>
      </c>
      <c r="X49" s="921">
        <f t="shared" si="12"/>
        <v>104.03999999999999</v>
      </c>
      <c r="Y49" s="921">
        <f t="shared" si="13"/>
        <v>106.12079999999999</v>
      </c>
      <c r="Z49" s="921">
        <f t="shared" si="14"/>
        <v>108.243216</v>
      </c>
    </row>
    <row r="50" spans="1:26" ht="15">
      <c r="A50" s="710" t="str">
        <f>'Budget with Assumptions'!A50</f>
        <v>Misc. Outside Services (i.e., Consultants, non-employee compensation)</v>
      </c>
      <c r="B50" s="42"/>
      <c r="C50" s="42"/>
      <c r="D50" s="363">
        <f>'Budget with Assumptions'!J50</f>
        <v>0</v>
      </c>
      <c r="E50" s="900"/>
      <c r="F50" s="363">
        <f>'Budget with Assumptions'!L50</f>
        <v>0</v>
      </c>
      <c r="G50" s="900"/>
      <c r="H50" s="363">
        <f>'Budget with Assumptions'!N50</f>
        <v>0</v>
      </c>
      <c r="I50" s="900"/>
      <c r="J50" s="363">
        <f>'Budget with Assumptions'!P50</f>
        <v>0</v>
      </c>
      <c r="K50" s="901"/>
      <c r="L50" s="363">
        <f>'Budget with Assumptions'!R50</f>
        <v>0</v>
      </c>
      <c r="M50" s="889"/>
      <c r="N50" s="363">
        <f>'Budget with Assumptions'!T50</f>
        <v>0</v>
      </c>
      <c r="O50"/>
      <c r="P50" s="914">
        <f t="shared" si="5"/>
        <v>0</v>
      </c>
      <c r="Q50" s="914">
        <f t="shared" si="6"/>
        <v>0</v>
      </c>
      <c r="R50" s="914">
        <f t="shared" si="7"/>
        <v>0</v>
      </c>
      <c r="S50" s="914">
        <f t="shared" si="8"/>
        <v>0</v>
      </c>
      <c r="T50" s="914">
        <f t="shared" si="9"/>
        <v>0</v>
      </c>
      <c r="U50"/>
      <c r="V50" s="921">
        <f t="shared" si="10"/>
        <v>0</v>
      </c>
      <c r="W50" s="921">
        <f t="shared" si="11"/>
        <v>0</v>
      </c>
      <c r="X50" s="921">
        <f t="shared" si="12"/>
        <v>0</v>
      </c>
      <c r="Y50" s="921">
        <f t="shared" si="13"/>
        <v>0</v>
      </c>
      <c r="Z50" s="921">
        <f t="shared" si="14"/>
        <v>0</v>
      </c>
    </row>
    <row r="51" spans="1:26" ht="30">
      <c r="A51" s="871" t="str">
        <f>'Budget with Assumptions'!A51</f>
        <v>Special Education Contracted Clinician Services that are Reimbursable under CPS's policy (from Contractual Clinician Worksheet)</v>
      </c>
      <c r="B51" s="42"/>
      <c r="C51" s="42"/>
      <c r="D51" s="363">
        <f>'Budget with Assumptions'!J51</f>
        <v>0</v>
      </c>
      <c r="E51" s="900"/>
      <c r="F51" s="363">
        <f>'Budget with Assumptions'!L51</f>
        <v>0</v>
      </c>
      <c r="G51" s="900"/>
      <c r="H51" s="363">
        <f>'Budget with Assumptions'!N51</f>
        <v>0</v>
      </c>
      <c r="I51" s="900"/>
      <c r="J51" s="363">
        <f>'Budget with Assumptions'!P51</f>
        <v>0</v>
      </c>
      <c r="K51" s="901"/>
      <c r="L51" s="363">
        <f>'Budget with Assumptions'!R51</f>
        <v>0</v>
      </c>
      <c r="M51" s="889"/>
      <c r="N51" s="363">
        <f>'Budget with Assumptions'!T51</f>
        <v>0</v>
      </c>
      <c r="O51"/>
      <c r="P51" s="914">
        <f t="shared" si="5"/>
        <v>0</v>
      </c>
      <c r="Q51" s="914">
        <f t="shared" si="6"/>
        <v>0</v>
      </c>
      <c r="R51" s="914">
        <f t="shared" si="7"/>
        <v>0</v>
      </c>
      <c r="S51" s="914">
        <f t="shared" si="8"/>
        <v>0</v>
      </c>
      <c r="T51" s="914">
        <f t="shared" si="9"/>
        <v>0</v>
      </c>
      <c r="U51"/>
      <c r="V51" s="921">
        <f t="shared" si="10"/>
        <v>0</v>
      </c>
      <c r="W51" s="921">
        <f t="shared" si="11"/>
        <v>0</v>
      </c>
      <c r="X51" s="921">
        <f t="shared" si="12"/>
        <v>0</v>
      </c>
      <c r="Y51" s="921">
        <f t="shared" si="13"/>
        <v>0</v>
      </c>
      <c r="Z51" s="921">
        <f t="shared" si="14"/>
        <v>0</v>
      </c>
    </row>
    <row r="52" spans="1:26" ht="15">
      <c r="A52" s="710" t="str">
        <f>'Budget with Assumptions'!A52</f>
        <v>Special Education Expenses that will NOT be reimbursed by CPS</v>
      </c>
      <c r="B52" s="42"/>
      <c r="C52" s="42"/>
      <c r="D52" s="363">
        <f>'Budget with Assumptions'!J52</f>
        <v>0</v>
      </c>
      <c r="E52" s="900"/>
      <c r="F52" s="363">
        <f>'Budget with Assumptions'!L52</f>
        <v>0</v>
      </c>
      <c r="G52" s="900"/>
      <c r="H52" s="363">
        <f>'Budget with Assumptions'!N52</f>
        <v>0</v>
      </c>
      <c r="I52" s="900"/>
      <c r="J52" s="363">
        <f>'Budget with Assumptions'!P52</f>
        <v>0</v>
      </c>
      <c r="K52" s="901"/>
      <c r="L52" s="363">
        <f>'Budget with Assumptions'!R52</f>
        <v>0</v>
      </c>
      <c r="M52" s="889"/>
      <c r="N52" s="363">
        <f>'Budget with Assumptions'!T52</f>
        <v>0</v>
      </c>
      <c r="O52"/>
      <c r="P52" s="914">
        <f t="shared" si="5"/>
        <v>0</v>
      </c>
      <c r="Q52" s="914">
        <f t="shared" si="6"/>
        <v>0</v>
      </c>
      <c r="R52" s="914">
        <f t="shared" si="7"/>
        <v>0</v>
      </c>
      <c r="S52" s="914">
        <f t="shared" si="8"/>
        <v>0</v>
      </c>
      <c r="T52" s="914">
        <f t="shared" si="9"/>
        <v>0</v>
      </c>
      <c r="U52"/>
      <c r="V52" s="921">
        <f t="shared" si="10"/>
        <v>0</v>
      </c>
      <c r="W52" s="921">
        <f t="shared" si="11"/>
        <v>0</v>
      </c>
      <c r="X52" s="921">
        <f t="shared" si="12"/>
        <v>0</v>
      </c>
      <c r="Y52" s="921">
        <f t="shared" si="13"/>
        <v>0</v>
      </c>
      <c r="Z52" s="921">
        <f t="shared" si="14"/>
        <v>0</v>
      </c>
    </row>
    <row r="53" spans="1:26" ht="15">
      <c r="A53" s="710" t="str">
        <f>'Budget with Assumptions'!A53</f>
        <v>Contracted Substitute Teachers</v>
      </c>
      <c r="B53" s="42"/>
      <c r="C53" s="42"/>
      <c r="D53" s="363">
        <f>'Budget with Assumptions'!J53</f>
        <v>0</v>
      </c>
      <c r="E53" s="900"/>
      <c r="F53" s="363">
        <f>'Budget with Assumptions'!L53</f>
        <v>0</v>
      </c>
      <c r="G53" s="900"/>
      <c r="H53" s="363">
        <f>'Budget with Assumptions'!N53</f>
        <v>0</v>
      </c>
      <c r="I53" s="900"/>
      <c r="J53" s="363">
        <f>'Budget with Assumptions'!P53</f>
        <v>0</v>
      </c>
      <c r="K53" s="901"/>
      <c r="L53" s="363">
        <f>'Budget with Assumptions'!R53</f>
        <v>0</v>
      </c>
      <c r="M53" s="889"/>
      <c r="N53" s="363">
        <f>'Budget with Assumptions'!T53</f>
        <v>0</v>
      </c>
      <c r="O53"/>
      <c r="P53" s="914">
        <f t="shared" si="5"/>
        <v>0</v>
      </c>
      <c r="Q53" s="914">
        <f t="shared" si="6"/>
        <v>0</v>
      </c>
      <c r="R53" s="914">
        <f t="shared" si="7"/>
        <v>0</v>
      </c>
      <c r="S53" s="914">
        <f t="shared" si="8"/>
        <v>0</v>
      </c>
      <c r="T53" s="914">
        <f t="shared" si="9"/>
        <v>0</v>
      </c>
      <c r="U53"/>
      <c r="V53" s="921">
        <f t="shared" si="10"/>
        <v>0</v>
      </c>
      <c r="W53" s="921">
        <f t="shared" si="11"/>
        <v>0</v>
      </c>
      <c r="X53" s="921">
        <f t="shared" si="12"/>
        <v>0</v>
      </c>
      <c r="Y53" s="921">
        <f t="shared" si="13"/>
        <v>0</v>
      </c>
      <c r="Z53" s="921">
        <f t="shared" si="14"/>
        <v>0</v>
      </c>
    </row>
    <row r="54" spans="1:26" ht="15">
      <c r="A54" s="710" t="str">
        <f>'Budget with Assumptions'!A54</f>
        <v>Food Service</v>
      </c>
      <c r="B54" s="42"/>
      <c r="C54" s="42"/>
      <c r="D54" s="363">
        <f>'Budget with Assumptions'!J54</f>
        <v>0</v>
      </c>
      <c r="E54" s="900"/>
      <c r="F54" s="363">
        <f>'Budget with Assumptions'!L54</f>
        <v>134400</v>
      </c>
      <c r="G54" s="900"/>
      <c r="H54" s="363">
        <f>'Budget with Assumptions'!N54</f>
        <v>268800</v>
      </c>
      <c r="I54" s="900"/>
      <c r="J54" s="363">
        <f>'Budget with Assumptions'!P54</f>
        <v>403200</v>
      </c>
      <c r="K54" s="901"/>
      <c r="L54" s="363">
        <f>'Budget with Assumptions'!R54</f>
        <v>537600</v>
      </c>
      <c r="M54" s="889"/>
      <c r="N54" s="363">
        <f>'Budget with Assumptions'!T54</f>
        <v>537600</v>
      </c>
      <c r="O54"/>
      <c r="P54" s="914">
        <f t="shared" si="5"/>
        <v>0.06329940215187509</v>
      </c>
      <c r="Q54" s="914">
        <f t="shared" si="6"/>
        <v>0.07193595079238962</v>
      </c>
      <c r="R54" s="914">
        <f t="shared" si="7"/>
        <v>0.08796553882841446</v>
      </c>
      <c r="S54" s="914">
        <f t="shared" si="8"/>
        <v>0.0940585293534219</v>
      </c>
      <c r="T54" s="914">
        <f t="shared" si="9"/>
        <v>0.09370489567728789</v>
      </c>
      <c r="U54"/>
      <c r="V54" s="921">
        <f t="shared" si="10"/>
        <v>840</v>
      </c>
      <c r="W54" s="921">
        <f t="shared" si="11"/>
        <v>840</v>
      </c>
      <c r="X54" s="921">
        <f t="shared" si="12"/>
        <v>840</v>
      </c>
      <c r="Y54" s="921">
        <f t="shared" si="13"/>
        <v>840</v>
      </c>
      <c r="Z54" s="921">
        <f t="shared" si="14"/>
        <v>840</v>
      </c>
    </row>
    <row r="55" spans="1:26" ht="15">
      <c r="A55" s="710" t="str">
        <f>'Budget with Assumptions'!A55</f>
        <v>Summer School (Assumes 10% of students need summer school).</v>
      </c>
      <c r="B55" s="42"/>
      <c r="C55" s="42"/>
      <c r="D55" s="363">
        <f>'Budget with Assumptions'!J55</f>
        <v>0</v>
      </c>
      <c r="E55" s="900"/>
      <c r="F55" s="363">
        <f>'Budget with Assumptions'!L55</f>
        <v>0</v>
      </c>
      <c r="G55" s="900"/>
      <c r="H55" s="363">
        <f>'Budget with Assumptions'!N55</f>
        <v>2400</v>
      </c>
      <c r="I55" s="900"/>
      <c r="J55" s="363">
        <f>'Budget with Assumptions'!P55</f>
        <v>4800</v>
      </c>
      <c r="K55" s="901"/>
      <c r="L55" s="363">
        <f>'Budget with Assumptions'!R55</f>
        <v>7200</v>
      </c>
      <c r="M55" s="889"/>
      <c r="N55" s="363">
        <f>'Budget with Assumptions'!T55</f>
        <v>9600</v>
      </c>
      <c r="O55"/>
      <c r="P55" s="914">
        <f t="shared" si="5"/>
        <v>0</v>
      </c>
      <c r="Q55" s="914">
        <f t="shared" si="6"/>
        <v>0.0006422852749320501</v>
      </c>
      <c r="R55" s="914">
        <f t="shared" si="7"/>
        <v>0.0010472087955763626</v>
      </c>
      <c r="S55" s="914">
        <f t="shared" si="8"/>
        <v>0.001259712446697615</v>
      </c>
      <c r="T55" s="914">
        <f t="shared" si="9"/>
        <v>0.001673301708522998</v>
      </c>
      <c r="U55"/>
      <c r="V55" s="921">
        <f t="shared" si="10"/>
        <v>0</v>
      </c>
      <c r="W55" s="921">
        <f t="shared" si="11"/>
        <v>7.5</v>
      </c>
      <c r="X55" s="921">
        <f t="shared" si="12"/>
        <v>10</v>
      </c>
      <c r="Y55" s="921">
        <f t="shared" si="13"/>
        <v>11.25</v>
      </c>
      <c r="Z55" s="921">
        <f t="shared" si="14"/>
        <v>15</v>
      </c>
    </row>
    <row r="56" spans="1:26" ht="15">
      <c r="A56" s="710" t="str">
        <f>'Budget with Assumptions'!A56</f>
        <v>STEP-UP Program</v>
      </c>
      <c r="B56" s="42"/>
      <c r="C56" s="42"/>
      <c r="D56" s="363">
        <f>'Budget with Assumptions'!J56</f>
        <v>0</v>
      </c>
      <c r="E56" s="900"/>
      <c r="F56" s="363">
        <f>'Budget with Assumptions'!L56</f>
        <v>20000</v>
      </c>
      <c r="G56" s="900"/>
      <c r="H56" s="363">
        <f>'Budget with Assumptions'!N56</f>
        <v>20000</v>
      </c>
      <c r="I56" s="900"/>
      <c r="J56" s="363">
        <f>'Budget with Assumptions'!P56</f>
        <v>20000</v>
      </c>
      <c r="K56" s="901"/>
      <c r="L56" s="363">
        <f>'Budget with Assumptions'!R56</f>
        <v>20000</v>
      </c>
      <c r="M56" s="889"/>
      <c r="N56" s="363">
        <f>'Budget with Assumptions'!T56</f>
        <v>20000</v>
      </c>
      <c r="O56"/>
      <c r="P56" s="914">
        <f t="shared" si="5"/>
        <v>0.009419553891648079</v>
      </c>
      <c r="Q56" s="914">
        <f t="shared" si="6"/>
        <v>0.005352377291100418</v>
      </c>
      <c r="R56" s="914">
        <f t="shared" si="7"/>
        <v>0.004363369981568177</v>
      </c>
      <c r="S56" s="914">
        <f t="shared" si="8"/>
        <v>0.003499201240826708</v>
      </c>
      <c r="T56" s="914">
        <f t="shared" si="9"/>
        <v>0.003486045226089579</v>
      </c>
      <c r="U56"/>
      <c r="V56" s="921">
        <f t="shared" si="10"/>
        <v>125</v>
      </c>
      <c r="W56" s="921">
        <f t="shared" si="11"/>
        <v>62.5</v>
      </c>
      <c r="X56" s="921">
        <f t="shared" si="12"/>
        <v>41.666666666666664</v>
      </c>
      <c r="Y56" s="921">
        <f t="shared" si="13"/>
        <v>31.25</v>
      </c>
      <c r="Z56" s="921">
        <f t="shared" si="14"/>
        <v>31.25</v>
      </c>
    </row>
    <row r="57" spans="1:26" ht="15">
      <c r="A57" s="710" t="str">
        <f>'Budget with Assumptions'!A57</f>
        <v>PLTW (Project Lead The Way)</v>
      </c>
      <c r="B57" s="42"/>
      <c r="C57" s="42"/>
      <c r="D57" s="363">
        <f>'Budget with Assumptions'!J57</f>
        <v>0</v>
      </c>
      <c r="E57" s="900"/>
      <c r="F57" s="363">
        <f>'Budget with Assumptions'!L57</f>
        <v>46467</v>
      </c>
      <c r="G57" s="900"/>
      <c r="H57" s="363">
        <f>'Budget with Assumptions'!N57</f>
        <v>61672</v>
      </c>
      <c r="I57" s="900"/>
      <c r="J57" s="363">
        <f>'Budget with Assumptions'!P57</f>
        <v>60480</v>
      </c>
      <c r="K57" s="901"/>
      <c r="L57" s="363">
        <f>'Budget with Assumptions'!R57</f>
        <v>56347</v>
      </c>
      <c r="M57" s="889"/>
      <c r="N57" s="363">
        <f>'Budget with Assumptions'!T57</f>
        <v>35770</v>
      </c>
      <c r="O57"/>
      <c r="P57" s="914">
        <f t="shared" si="5"/>
        <v>0.021884920534160565</v>
      </c>
      <c r="Q57" s="914">
        <f t="shared" si="6"/>
        <v>0.01650459061483725</v>
      </c>
      <c r="R57" s="914">
        <f t="shared" si="7"/>
        <v>0.013194830824262168</v>
      </c>
      <c r="S57" s="914">
        <f t="shared" si="8"/>
        <v>0.009858474615843126</v>
      </c>
      <c r="T57" s="914">
        <f t="shared" si="9"/>
        <v>0.006234791886861212</v>
      </c>
      <c r="U57"/>
      <c r="V57" s="921">
        <f t="shared" si="10"/>
        <v>290.41875</v>
      </c>
      <c r="W57" s="921">
        <f t="shared" si="11"/>
        <v>192.725</v>
      </c>
      <c r="X57" s="921">
        <f t="shared" si="12"/>
        <v>126</v>
      </c>
      <c r="Y57" s="921">
        <f t="shared" si="13"/>
        <v>88.0421875</v>
      </c>
      <c r="Z57" s="921">
        <f t="shared" si="14"/>
        <v>55.890625</v>
      </c>
    </row>
    <row r="58" spans="1:26" ht="15">
      <c r="A58" s="710" t="str">
        <f>'Budget with Assumptions'!A58</f>
        <v>Transportation</v>
      </c>
      <c r="B58" s="42"/>
      <c r="C58" s="42"/>
      <c r="D58" s="363">
        <f>'Budget with Assumptions'!J58</f>
        <v>0</v>
      </c>
      <c r="E58" s="900"/>
      <c r="F58" s="363">
        <f>'Budget with Assumptions'!L58</f>
        <v>4800</v>
      </c>
      <c r="G58" s="900"/>
      <c r="H58" s="363">
        <f>'Budget with Assumptions'!N58</f>
        <v>9600</v>
      </c>
      <c r="I58" s="900"/>
      <c r="J58" s="363">
        <f>'Budget with Assumptions'!P58</f>
        <v>14400</v>
      </c>
      <c r="K58" s="901"/>
      <c r="L58" s="363">
        <f>'Budget with Assumptions'!R58</f>
        <v>19200</v>
      </c>
      <c r="M58" s="889"/>
      <c r="N58" s="363">
        <f>'Budget with Assumptions'!T58</f>
        <v>19200</v>
      </c>
      <c r="O58"/>
      <c r="P58" s="914">
        <f t="shared" si="5"/>
        <v>0.002260692933995539</v>
      </c>
      <c r="Q58" s="914">
        <f t="shared" si="6"/>
        <v>0.0025691410997282006</v>
      </c>
      <c r="R58" s="914">
        <f t="shared" si="7"/>
        <v>0.0031416263867290873</v>
      </c>
      <c r="S58" s="914">
        <f t="shared" si="8"/>
        <v>0.0033592331911936396</v>
      </c>
      <c r="T58" s="914">
        <f t="shared" si="9"/>
        <v>0.003346603417045996</v>
      </c>
      <c r="U58"/>
      <c r="V58" s="921">
        <f t="shared" si="10"/>
        <v>30</v>
      </c>
      <c r="W58" s="921">
        <f t="shared" si="11"/>
        <v>30</v>
      </c>
      <c r="X58" s="921">
        <f t="shared" si="12"/>
        <v>30</v>
      </c>
      <c r="Y58" s="921">
        <f t="shared" si="13"/>
        <v>30</v>
      </c>
      <c r="Z58" s="921">
        <f t="shared" si="14"/>
        <v>30</v>
      </c>
    </row>
    <row r="59" spans="1:26" ht="15">
      <c r="A59" s="710" t="str">
        <f>'Budget with Assumptions'!A59</f>
        <v>Library</v>
      </c>
      <c r="B59" s="42"/>
      <c r="C59" s="42"/>
      <c r="D59" s="363">
        <f>'Budget with Assumptions'!J59</f>
        <v>0</v>
      </c>
      <c r="E59" s="900"/>
      <c r="F59" s="363">
        <f>'Budget with Assumptions'!L59</f>
        <v>0</v>
      </c>
      <c r="G59" s="900"/>
      <c r="H59" s="363">
        <f>'Budget with Assumptions'!N59</f>
        <v>30000</v>
      </c>
      <c r="I59" s="900"/>
      <c r="J59" s="363">
        <f>'Budget with Assumptions'!P59</f>
        <v>0</v>
      </c>
      <c r="K59" s="901"/>
      <c r="L59" s="363">
        <f>'Budget with Assumptions'!R59</f>
        <v>0</v>
      </c>
      <c r="M59" s="889"/>
      <c r="N59" s="363">
        <f>'Budget with Assumptions'!T59</f>
        <v>0</v>
      </c>
      <c r="O59"/>
      <c r="P59" s="914">
        <f t="shared" si="5"/>
        <v>0</v>
      </c>
      <c r="Q59" s="914">
        <f t="shared" si="6"/>
        <v>0.008028565936650627</v>
      </c>
      <c r="R59" s="914">
        <f t="shared" si="7"/>
        <v>0</v>
      </c>
      <c r="S59" s="914">
        <f t="shared" si="8"/>
        <v>0</v>
      </c>
      <c r="T59" s="914">
        <f t="shared" si="9"/>
        <v>0</v>
      </c>
      <c r="U59"/>
      <c r="V59" s="921">
        <f t="shared" si="10"/>
        <v>0</v>
      </c>
      <c r="W59" s="921">
        <f t="shared" si="11"/>
        <v>93.75</v>
      </c>
      <c r="X59" s="921">
        <f t="shared" si="12"/>
        <v>0</v>
      </c>
      <c r="Y59" s="921">
        <f t="shared" si="13"/>
        <v>0</v>
      </c>
      <c r="Z59" s="921">
        <f t="shared" si="14"/>
        <v>0</v>
      </c>
    </row>
    <row r="60" spans="1:26" ht="15">
      <c r="A60" s="710">
        <f>'Budget with Assumptions'!A60</f>
        <v>0</v>
      </c>
      <c r="B60" s="42"/>
      <c r="C60" s="42"/>
      <c r="D60" s="363">
        <f>'Budget with Assumptions'!J60</f>
        <v>0</v>
      </c>
      <c r="E60" s="900"/>
      <c r="F60" s="363">
        <f>'Budget with Assumptions'!L60</f>
        <v>0</v>
      </c>
      <c r="G60" s="900"/>
      <c r="H60" s="363">
        <f>'Budget with Assumptions'!N60</f>
        <v>0</v>
      </c>
      <c r="I60" s="900"/>
      <c r="J60" s="363">
        <f>'Budget with Assumptions'!P60</f>
        <v>0</v>
      </c>
      <c r="K60" s="901"/>
      <c r="L60" s="363">
        <f>'Budget with Assumptions'!R60</f>
        <v>0</v>
      </c>
      <c r="M60" s="889"/>
      <c r="N60" s="363">
        <f>'Budget with Assumptions'!T60</f>
        <v>0</v>
      </c>
      <c r="O60"/>
      <c r="P60" s="914">
        <f t="shared" si="5"/>
        <v>0</v>
      </c>
      <c r="Q60" s="914">
        <f t="shared" si="6"/>
        <v>0</v>
      </c>
      <c r="R60" s="914">
        <f t="shared" si="7"/>
        <v>0</v>
      </c>
      <c r="S60" s="914">
        <f t="shared" si="8"/>
        <v>0</v>
      </c>
      <c r="T60" s="914">
        <f t="shared" si="9"/>
        <v>0</v>
      </c>
      <c r="U60"/>
      <c r="V60" s="921">
        <f t="shared" si="10"/>
        <v>0</v>
      </c>
      <c r="W60" s="921">
        <f t="shared" si="11"/>
        <v>0</v>
      </c>
      <c r="X60" s="921">
        <f t="shared" si="12"/>
        <v>0</v>
      </c>
      <c r="Y60" s="921">
        <f t="shared" si="13"/>
        <v>0</v>
      </c>
      <c r="Z60" s="921">
        <f t="shared" si="14"/>
        <v>0</v>
      </c>
    </row>
    <row r="61" spans="1:26" ht="15">
      <c r="A61" s="710">
        <f>'Budget with Assumptions'!A61</f>
        <v>0</v>
      </c>
      <c r="B61" s="42"/>
      <c r="C61" s="42"/>
      <c r="D61" s="363">
        <f>'Budget with Assumptions'!J61</f>
        <v>0</v>
      </c>
      <c r="E61" s="900"/>
      <c r="F61" s="363">
        <f>'Budget with Assumptions'!L61</f>
        <v>0</v>
      </c>
      <c r="G61" s="900"/>
      <c r="H61" s="363">
        <f>'Budget with Assumptions'!N61</f>
        <v>0</v>
      </c>
      <c r="I61" s="900"/>
      <c r="J61" s="363">
        <f>'Budget with Assumptions'!P61</f>
        <v>0</v>
      </c>
      <c r="K61" s="901"/>
      <c r="L61" s="363">
        <f>'Budget with Assumptions'!R61</f>
        <v>0</v>
      </c>
      <c r="M61" s="889"/>
      <c r="N61" s="363">
        <f>'Budget with Assumptions'!T61</f>
        <v>0</v>
      </c>
      <c r="O61"/>
      <c r="P61" s="914">
        <f t="shared" si="5"/>
        <v>0</v>
      </c>
      <c r="Q61" s="914">
        <f t="shared" si="6"/>
        <v>0</v>
      </c>
      <c r="R61" s="914">
        <f t="shared" si="7"/>
        <v>0</v>
      </c>
      <c r="S61" s="914">
        <f t="shared" si="8"/>
        <v>0</v>
      </c>
      <c r="T61" s="914">
        <f t="shared" si="9"/>
        <v>0</v>
      </c>
      <c r="U61"/>
      <c r="V61" s="921">
        <f t="shared" si="10"/>
        <v>0</v>
      </c>
      <c r="W61" s="921">
        <f t="shared" si="11"/>
        <v>0</v>
      </c>
      <c r="X61" s="921">
        <f t="shared" si="12"/>
        <v>0</v>
      </c>
      <c r="Y61" s="921">
        <f t="shared" si="13"/>
        <v>0</v>
      </c>
      <c r="Z61" s="921">
        <f t="shared" si="14"/>
        <v>0</v>
      </c>
    </row>
    <row r="62" spans="1:26" ht="15">
      <c r="A62" s="710">
        <f>'Budget with Assumptions'!A62</f>
        <v>0</v>
      </c>
      <c r="B62" s="42"/>
      <c r="C62" s="42"/>
      <c r="D62" s="363">
        <f>'Budget with Assumptions'!J62</f>
        <v>0</v>
      </c>
      <c r="E62" s="900"/>
      <c r="F62" s="363">
        <f>'Budget with Assumptions'!L62</f>
        <v>0</v>
      </c>
      <c r="G62" s="900"/>
      <c r="H62" s="363">
        <f>'Budget with Assumptions'!N62</f>
        <v>0</v>
      </c>
      <c r="I62" s="900"/>
      <c r="J62" s="363">
        <f>'Budget with Assumptions'!P62</f>
        <v>0</v>
      </c>
      <c r="K62" s="901"/>
      <c r="L62" s="363">
        <f>'Budget with Assumptions'!R62</f>
        <v>0</v>
      </c>
      <c r="M62" s="889"/>
      <c r="N62" s="363">
        <f>'Budget with Assumptions'!T62</f>
        <v>0</v>
      </c>
      <c r="O62"/>
      <c r="P62" s="914">
        <f t="shared" si="5"/>
        <v>0</v>
      </c>
      <c r="Q62" s="914">
        <f t="shared" si="6"/>
        <v>0</v>
      </c>
      <c r="R62" s="914">
        <f t="shared" si="7"/>
        <v>0</v>
      </c>
      <c r="S62" s="914">
        <f t="shared" si="8"/>
        <v>0</v>
      </c>
      <c r="T62" s="914">
        <f t="shared" si="9"/>
        <v>0</v>
      </c>
      <c r="U62"/>
      <c r="V62" s="921">
        <f t="shared" si="10"/>
        <v>0</v>
      </c>
      <c r="W62" s="921">
        <f t="shared" si="11"/>
        <v>0</v>
      </c>
      <c r="X62" s="921">
        <f t="shared" si="12"/>
        <v>0</v>
      </c>
      <c r="Y62" s="921">
        <f t="shared" si="13"/>
        <v>0</v>
      </c>
      <c r="Z62" s="921">
        <f t="shared" si="14"/>
        <v>0</v>
      </c>
    </row>
    <row r="63" spans="1:26" ht="15.75" thickBot="1">
      <c r="A63" s="40"/>
      <c r="B63" s="42"/>
      <c r="C63" s="42"/>
      <c r="D63" s="741"/>
      <c r="E63" s="741"/>
      <c r="F63" s="741"/>
      <c r="G63" s="741"/>
      <c r="H63" s="741"/>
      <c r="I63" s="741"/>
      <c r="J63" s="741"/>
      <c r="K63" s="875"/>
      <c r="L63" s="741"/>
      <c r="M63" s="875"/>
      <c r="N63" s="741"/>
      <c r="P63" s="916"/>
      <c r="Q63" s="916"/>
      <c r="R63" s="916"/>
      <c r="S63" s="916"/>
      <c r="T63" s="916"/>
      <c r="V63" s="741"/>
      <c r="W63" s="741"/>
      <c r="X63" s="741"/>
      <c r="Y63" s="741"/>
      <c r="Z63" s="741"/>
    </row>
    <row r="64" spans="1:26" ht="15.75" thickBot="1">
      <c r="A64" s="872" t="str">
        <f>'Budget with Assumptions'!H64</f>
        <v>Total Direct Student Costs</v>
      </c>
      <c r="B64" s="42"/>
      <c r="C64" s="42"/>
      <c r="D64" s="485">
        <f>SUM(D40:D62)</f>
        <v>10000</v>
      </c>
      <c r="E64" s="359"/>
      <c r="F64" s="485">
        <f>SUM(F40:F62)</f>
        <v>332767</v>
      </c>
      <c r="G64" s="359"/>
      <c r="H64" s="485">
        <f>SUM(H40:H62)</f>
        <v>703062</v>
      </c>
      <c r="I64" s="359"/>
      <c r="J64" s="485">
        <f>SUM(J40:J62)</f>
        <v>833998</v>
      </c>
      <c r="K64" s="360"/>
      <c r="L64" s="485">
        <f>SUM(L40:L62)</f>
        <v>1033574.28</v>
      </c>
      <c r="M64" s="874"/>
      <c r="N64" s="485">
        <f>SUM(N40:N62)</f>
        <v>924999.1455999999</v>
      </c>
      <c r="O64"/>
      <c r="P64" s="917">
        <f>SUM(P40:P62)</f>
        <v>0.15672583449310282</v>
      </c>
      <c r="Q64" s="917">
        <f>SUM(Q40:Q62)</f>
        <v>0.1881526541517821</v>
      </c>
      <c r="R64" s="917">
        <f>SUM(R40:R62)</f>
        <v>0.18195209189439482</v>
      </c>
      <c r="S64" s="917">
        <f>SUM(S40:S62)</f>
        <v>0.18083422015312856</v>
      </c>
      <c r="T64" s="917">
        <f>SUM(T40:T62)</f>
        <v>0.161229442782791</v>
      </c>
      <c r="U64"/>
      <c r="V64" s="922">
        <f>SUM(V40:V62)</f>
        <v>2079.79375</v>
      </c>
      <c r="W64" s="922">
        <f>SUM(W40:W62)</f>
        <v>2197.06875</v>
      </c>
      <c r="X64" s="922">
        <f>SUM(X40:X62)</f>
        <v>1737.4958333333334</v>
      </c>
      <c r="Y64" s="922">
        <f>SUM(Y40:Y62)</f>
        <v>1614.9598125</v>
      </c>
      <c r="Z64" s="922">
        <f>SUM(Z40:Z62)</f>
        <v>1445.311165</v>
      </c>
    </row>
    <row r="65" spans="1:26" ht="15">
      <c r="A65" s="49"/>
      <c r="B65" s="38"/>
      <c r="C65" s="38"/>
      <c r="D65" s="741"/>
      <c r="E65" s="741"/>
      <c r="F65" s="741"/>
      <c r="G65" s="741"/>
      <c r="H65" s="741"/>
      <c r="I65" s="741"/>
      <c r="J65" s="741"/>
      <c r="K65" s="875"/>
      <c r="L65" s="741"/>
      <c r="M65" s="875"/>
      <c r="N65" s="741"/>
      <c r="P65" s="916"/>
      <c r="Q65" s="916"/>
      <c r="R65" s="916"/>
      <c r="S65" s="916"/>
      <c r="T65" s="916"/>
      <c r="V65" s="741"/>
      <c r="W65" s="741"/>
      <c r="X65" s="741"/>
      <c r="Y65" s="741"/>
      <c r="Z65" s="741"/>
    </row>
    <row r="66" spans="1:26" ht="15">
      <c r="A66" s="49"/>
      <c r="B66" s="38"/>
      <c r="C66" s="38"/>
      <c r="D66" s="902"/>
      <c r="E66" s="903"/>
      <c r="F66" s="902"/>
      <c r="G66" s="903"/>
      <c r="H66" s="902"/>
      <c r="I66" s="903"/>
      <c r="J66" s="902"/>
      <c r="K66" s="360"/>
      <c r="L66" s="902"/>
      <c r="M66" s="874"/>
      <c r="N66" s="902"/>
      <c r="O66" s="335"/>
      <c r="P66" s="918"/>
      <c r="Q66" s="918"/>
      <c r="R66" s="918"/>
      <c r="S66" s="918"/>
      <c r="T66" s="918"/>
      <c r="U66" s="335"/>
      <c r="V66" s="923"/>
      <c r="W66" s="923"/>
      <c r="X66" s="923"/>
      <c r="Y66" s="923"/>
      <c r="Z66" s="923"/>
    </row>
    <row r="67" spans="1:26" ht="15.75" thickBot="1">
      <c r="A67" s="49"/>
      <c r="B67" s="50"/>
      <c r="C67" s="50"/>
      <c r="D67" s="901"/>
      <c r="E67" s="904"/>
      <c r="F67" s="901"/>
      <c r="G67" s="904"/>
      <c r="H67" s="901"/>
      <c r="I67" s="904"/>
      <c r="J67" s="901"/>
      <c r="K67" s="901"/>
      <c r="L67" s="905"/>
      <c r="M67" s="889"/>
      <c r="N67" s="905"/>
      <c r="O67" s="335"/>
      <c r="P67" s="919"/>
      <c r="Q67" s="919"/>
      <c r="R67" s="919"/>
      <c r="S67" s="919"/>
      <c r="T67" s="919"/>
      <c r="U67" s="335"/>
      <c r="V67" s="875"/>
      <c r="W67" s="875"/>
      <c r="X67" s="875"/>
      <c r="Y67" s="875"/>
      <c r="Z67" s="875"/>
    </row>
    <row r="68" spans="1:26" ht="18" thickBot="1">
      <c r="A68" s="703" t="s">
        <v>172</v>
      </c>
      <c r="B68" s="50"/>
      <c r="C68" s="50"/>
      <c r="D68" s="906"/>
      <c r="E68" s="900"/>
      <c r="F68" s="906"/>
      <c r="G68" s="900"/>
      <c r="H68" s="906"/>
      <c r="I68" s="900"/>
      <c r="J68" s="906"/>
      <c r="K68" s="901"/>
      <c r="L68" s="68"/>
      <c r="M68" s="889"/>
      <c r="N68" s="68"/>
      <c r="O68"/>
      <c r="P68" s="916"/>
      <c r="Q68" s="916"/>
      <c r="R68" s="916"/>
      <c r="S68" s="916"/>
      <c r="T68" s="916"/>
      <c r="U68"/>
      <c r="V68" s="741"/>
      <c r="W68" s="741"/>
      <c r="X68" s="741"/>
      <c r="Y68" s="741"/>
      <c r="Z68" s="741"/>
    </row>
    <row r="69" spans="1:26" ht="15">
      <c r="A69" s="710" t="str">
        <f>'Budget with Assumptions'!A69</f>
        <v>Salaries</v>
      </c>
      <c r="B69" s="38"/>
      <c r="C69" s="38"/>
      <c r="D69" s="363">
        <f>'Budget with Assumptions'!J69</f>
        <v>150500</v>
      </c>
      <c r="E69" s="900"/>
      <c r="F69" s="363">
        <f>'Budget with Assumptions'!L69</f>
        <v>1295000</v>
      </c>
      <c r="G69" s="904"/>
      <c r="H69" s="363">
        <f>'Budget with Assumptions'!N69</f>
        <v>2193000</v>
      </c>
      <c r="I69" s="904"/>
      <c r="J69" s="363">
        <f>'Budget with Assumptions'!P69</f>
        <v>2694636</v>
      </c>
      <c r="K69" s="901"/>
      <c r="L69" s="363">
        <f>'Budget with Assumptions'!R69</f>
        <v>3348111.24</v>
      </c>
      <c r="M69" s="889"/>
      <c r="N69" s="363">
        <f>'Budget with Assumptions'!T69</f>
        <v>3458370.7512000003</v>
      </c>
      <c r="O69"/>
      <c r="P69" s="915">
        <f aca="true" t="shared" si="15" ref="P69:P90">F69/$F$159</f>
        <v>0.6099161144842131</v>
      </c>
      <c r="Q69" s="915">
        <f aca="true" t="shared" si="16" ref="Q69:Q90">H69/$H$159</f>
        <v>0.5868881699691608</v>
      </c>
      <c r="R69" s="915">
        <f aca="true" t="shared" si="17" ref="R69:R90">J69/$J$159</f>
        <v>0.5878846916826473</v>
      </c>
      <c r="S69" s="915">
        <f aca="true" t="shared" si="18" ref="S69:S90">L69/$L$159</f>
        <v>0.5857857502716924</v>
      </c>
      <c r="T69" s="915">
        <f aca="true" t="shared" si="19" ref="T69:T90">N69/$N$159</f>
        <v>0.6028018423634296</v>
      </c>
      <c r="U69"/>
      <c r="V69" s="924">
        <f>F69/$F$178</f>
        <v>8093.75</v>
      </c>
      <c r="W69" s="924">
        <f>H69/$H$178</f>
        <v>6853.125</v>
      </c>
      <c r="X69" s="924">
        <f>J69/$J$178</f>
        <v>5613.825</v>
      </c>
      <c r="Y69" s="924">
        <f>L69/$L$178</f>
        <v>5231.4238125</v>
      </c>
      <c r="Z69" s="924">
        <f>N69/$N$178</f>
        <v>5403.704298750001</v>
      </c>
    </row>
    <row r="70" spans="1:26" ht="15">
      <c r="A70" s="710" t="str">
        <f>'Budget with Assumptions'!A70</f>
        <v>School's Share of Employer Contribution (normal cost) to the CTPF</v>
      </c>
      <c r="B70" s="52"/>
      <c r="C70" s="52"/>
      <c r="D70" s="363">
        <f>'Budget with Assumptions'!J70</f>
        <v>0</v>
      </c>
      <c r="E70" s="900"/>
      <c r="F70" s="363">
        <f>'Budget with Assumptions'!L70</f>
        <v>73656</v>
      </c>
      <c r="G70" s="904"/>
      <c r="H70" s="363">
        <f>'Budget with Assumptions'!N70</f>
        <v>131475.96</v>
      </c>
      <c r="I70" s="904"/>
      <c r="J70" s="363">
        <f>'Budget with Assumptions'!P70</f>
        <v>146877.4296</v>
      </c>
      <c r="K70" s="901"/>
      <c r="L70" s="363">
        <f>'Budget with Assumptions'!R70</f>
        <v>195410.84112000003</v>
      </c>
      <c r="M70" s="889"/>
      <c r="N70" s="363">
        <f>'Budget with Assumptions'!T70</f>
        <v>199319.05794240005</v>
      </c>
      <c r="O70"/>
      <c r="P70" s="915">
        <f t="shared" si="15"/>
        <v>0.034690333072161544</v>
      </c>
      <c r="Q70" s="915">
        <f t="shared" si="16"/>
        <v>0.03518544713148134</v>
      </c>
      <c r="R70" s="915">
        <f t="shared" si="17"/>
        <v>0.03204402836432666</v>
      </c>
      <c r="S70" s="915">
        <f t="shared" si="18"/>
        <v>0.034189092885904736</v>
      </c>
      <c r="T70" s="915">
        <f t="shared" si="19"/>
        <v>0.0347417625204388</v>
      </c>
      <c r="U70"/>
      <c r="V70" s="924">
        <f aca="true" t="shared" si="20" ref="V70:V90">F70/$F$178</f>
        <v>460.35</v>
      </c>
      <c r="W70" s="924">
        <f aca="true" t="shared" si="21" ref="W70:W90">H70/$H$178</f>
        <v>410.862375</v>
      </c>
      <c r="X70" s="924">
        <f aca="true" t="shared" si="22" ref="X70:X90">J70/$J$178</f>
        <v>305.994645</v>
      </c>
      <c r="Y70" s="924">
        <f aca="true" t="shared" si="23" ref="Y70:Y90">L70/$L$178</f>
        <v>305.32943925000006</v>
      </c>
      <c r="Z70" s="924">
        <f aca="true" t="shared" si="24" ref="Z70:Z90">N70/$N$178</f>
        <v>311.43602803500005</v>
      </c>
    </row>
    <row r="71" spans="1:26" ht="15">
      <c r="A71" s="710" t="str">
        <f>'Budget with Assumptions'!A71</f>
        <v>Pension-CTPF(Charter School's Share of 9% of Employee w/h)</v>
      </c>
      <c r="B71" s="52"/>
      <c r="C71" s="52"/>
      <c r="D71" s="363">
        <f>'Budget with Assumptions'!J71</f>
        <v>0</v>
      </c>
      <c r="E71" s="900"/>
      <c r="F71" s="363">
        <f>'Budget with Assumptions'!L71</f>
        <v>29700</v>
      </c>
      <c r="G71" s="904"/>
      <c r="H71" s="363">
        <f>'Budget with Assumptions'!N71</f>
        <v>53014.5</v>
      </c>
      <c r="I71" s="904"/>
      <c r="J71" s="363">
        <f>'Budget with Assumptions'!P71</f>
        <v>59224.77</v>
      </c>
      <c r="K71" s="901"/>
      <c r="L71" s="363">
        <f>'Budget with Assumptions'!R71</f>
        <v>78794.694</v>
      </c>
      <c r="M71" s="889"/>
      <c r="N71" s="363">
        <f>'Budget with Assumptions'!T71</f>
        <v>80370.58788</v>
      </c>
      <c r="O71"/>
      <c r="P71" s="915">
        <f t="shared" si="15"/>
        <v>0.013988037529097398</v>
      </c>
      <c r="Q71" s="915">
        <f t="shared" si="16"/>
        <v>0.014187680294952156</v>
      </c>
      <c r="R71" s="915">
        <f t="shared" si="17"/>
        <v>0.012920979179163976</v>
      </c>
      <c r="S71" s="915">
        <f t="shared" si="18"/>
        <v>0.013785924550768039</v>
      </c>
      <c r="T71" s="915">
        <f t="shared" si="19"/>
        <v>0.01400877520985435</v>
      </c>
      <c r="U71"/>
      <c r="V71" s="924">
        <f t="shared" si="20"/>
        <v>185.625</v>
      </c>
      <c r="W71" s="924">
        <f t="shared" si="21"/>
        <v>165.6703125</v>
      </c>
      <c r="X71" s="924">
        <f t="shared" si="22"/>
        <v>123.38493749999999</v>
      </c>
      <c r="Y71" s="924">
        <f t="shared" si="23"/>
        <v>123.116709375</v>
      </c>
      <c r="Z71" s="924">
        <f t="shared" si="24"/>
        <v>125.5790435625</v>
      </c>
    </row>
    <row r="72" spans="1:26" ht="15">
      <c r="A72" s="710" t="str">
        <f>'Budget with Assumptions'!A72</f>
        <v>403b</v>
      </c>
      <c r="B72" s="52"/>
      <c r="C72" s="52"/>
      <c r="D72" s="363">
        <f>'Budget with Assumptions'!J72</f>
        <v>0</v>
      </c>
      <c r="E72" s="900"/>
      <c r="F72" s="363">
        <f>'Budget with Assumptions'!L72</f>
        <v>0</v>
      </c>
      <c r="G72" s="904"/>
      <c r="H72" s="363">
        <f>'Budget with Assumptions'!N72</f>
        <v>0</v>
      </c>
      <c r="I72" s="904"/>
      <c r="J72" s="363">
        <f>'Budget with Assumptions'!P72</f>
        <v>0</v>
      </c>
      <c r="K72" s="901"/>
      <c r="L72" s="363">
        <f>'Budget with Assumptions'!R72</f>
        <v>0</v>
      </c>
      <c r="M72" s="889"/>
      <c r="N72" s="363">
        <f>'Budget with Assumptions'!T72</f>
        <v>0</v>
      </c>
      <c r="O72"/>
      <c r="P72" s="915">
        <f t="shared" si="15"/>
        <v>0</v>
      </c>
      <c r="Q72" s="915">
        <f t="shared" si="16"/>
        <v>0</v>
      </c>
      <c r="R72" s="915">
        <f t="shared" si="17"/>
        <v>0</v>
      </c>
      <c r="S72" s="915">
        <f t="shared" si="18"/>
        <v>0</v>
      </c>
      <c r="T72" s="915">
        <f t="shared" si="19"/>
        <v>0</v>
      </c>
      <c r="U72"/>
      <c r="V72" s="924">
        <f t="shared" si="20"/>
        <v>0</v>
      </c>
      <c r="W72" s="924">
        <f t="shared" si="21"/>
        <v>0</v>
      </c>
      <c r="X72" s="924">
        <f t="shared" si="22"/>
        <v>0</v>
      </c>
      <c r="Y72" s="924">
        <f t="shared" si="23"/>
        <v>0</v>
      </c>
      <c r="Z72" s="924">
        <f t="shared" si="24"/>
        <v>0</v>
      </c>
    </row>
    <row r="73" spans="1:26" ht="15">
      <c r="A73" s="710" t="str">
        <f>'Budget with Assumptions'!A73</f>
        <v>FICA (employer's share)</v>
      </c>
      <c r="B73" s="52"/>
      <c r="C73" s="52"/>
      <c r="D73" s="363">
        <f>'Budget with Assumptions'!J73</f>
        <v>9331</v>
      </c>
      <c r="E73" s="900"/>
      <c r="F73" s="363">
        <f>'Budget with Assumptions'!L73</f>
        <v>39370</v>
      </c>
      <c r="G73" s="904"/>
      <c r="H73" s="363">
        <f>'Budget with Assumptions'!N73</f>
        <v>62923.8</v>
      </c>
      <c r="I73" s="904"/>
      <c r="J73" s="363">
        <f>'Budget with Assumptions'!P73</f>
        <v>85468.86</v>
      </c>
      <c r="K73" s="901"/>
      <c r="L73" s="363">
        <f>'Budget with Assumptions'!R73</f>
        <v>99021.31848</v>
      </c>
      <c r="M73" s="889"/>
      <c r="N73" s="363">
        <f>'Budget with Assumptions'!T73</f>
        <v>103686.1766064</v>
      </c>
      <c r="O73"/>
      <c r="P73" s="915">
        <f t="shared" si="15"/>
        <v>0.018542391835709243</v>
      </c>
      <c r="Q73" s="915">
        <f t="shared" si="16"/>
        <v>0.016839595909487224</v>
      </c>
      <c r="R73" s="915">
        <f t="shared" si="17"/>
        <v>0.018646612904142656</v>
      </c>
      <c r="S73" s="915">
        <f t="shared" si="18"/>
        <v>0.017324776024675633</v>
      </c>
      <c r="T73" s="915">
        <f t="shared" si="19"/>
        <v>0.018072735048511087</v>
      </c>
      <c r="U73"/>
      <c r="V73" s="924">
        <f t="shared" si="20"/>
        <v>246.0625</v>
      </c>
      <c r="W73" s="924">
        <f t="shared" si="21"/>
        <v>196.636875</v>
      </c>
      <c r="X73" s="924">
        <f t="shared" si="22"/>
        <v>178.060125</v>
      </c>
      <c r="Y73" s="924">
        <f t="shared" si="23"/>
        <v>154.720810125</v>
      </c>
      <c r="Z73" s="924">
        <f t="shared" si="24"/>
        <v>162.0096509475</v>
      </c>
    </row>
    <row r="74" spans="1:26" ht="15">
      <c r="A74" s="710" t="str">
        <f>'Budget with Assumptions'!A74</f>
        <v>Medicare (employer's share)</v>
      </c>
      <c r="B74" s="52"/>
      <c r="C74" s="52"/>
      <c r="D74" s="363">
        <f>'Budget with Assumptions'!J74</f>
        <v>2182.25</v>
      </c>
      <c r="E74" s="900"/>
      <c r="F74" s="363">
        <f>'Budget with Assumptions'!L74</f>
        <v>18777.5</v>
      </c>
      <c r="G74" s="904"/>
      <c r="H74" s="363">
        <f>'Budget with Assumptions'!N74</f>
        <v>31798.5</v>
      </c>
      <c r="I74" s="904"/>
      <c r="J74" s="363">
        <f>'Budget with Assumptions'!P74</f>
        <v>39072.222</v>
      </c>
      <c r="K74" s="901"/>
      <c r="L74" s="363">
        <f>'Budget with Assumptions'!R74</f>
        <v>48547.612980000005</v>
      </c>
      <c r="M74" s="889"/>
      <c r="N74" s="363">
        <f>'Budget with Assumptions'!T74</f>
        <v>50146.37589240001</v>
      </c>
      <c r="O74"/>
      <c r="P74" s="915">
        <f t="shared" si="15"/>
        <v>0.00884378366002109</v>
      </c>
      <c r="Q74" s="915">
        <f t="shared" si="16"/>
        <v>0.008509878464552832</v>
      </c>
      <c r="R74" s="915">
        <f t="shared" si="17"/>
        <v>0.008524328029398386</v>
      </c>
      <c r="S74" s="915">
        <f t="shared" si="18"/>
        <v>0.00849389337893954</v>
      </c>
      <c r="T74" s="915">
        <f t="shared" si="19"/>
        <v>0.00874062671426973</v>
      </c>
      <c r="U74"/>
      <c r="V74" s="924">
        <f t="shared" si="20"/>
        <v>117.359375</v>
      </c>
      <c r="W74" s="924">
        <f t="shared" si="21"/>
        <v>99.3703125</v>
      </c>
      <c r="X74" s="924">
        <f t="shared" si="22"/>
        <v>81.4004625</v>
      </c>
      <c r="Y74" s="924">
        <f t="shared" si="23"/>
        <v>75.85564528125</v>
      </c>
      <c r="Z74" s="924">
        <f t="shared" si="24"/>
        <v>78.35371233187502</v>
      </c>
    </row>
    <row r="75" spans="1:26" ht="15">
      <c r="A75" s="710" t="str">
        <f>'Budget with Assumptions'!A75</f>
        <v>Health/Dental/Life Insurance</v>
      </c>
      <c r="B75" s="52"/>
      <c r="C75" s="52"/>
      <c r="D75" s="363">
        <f>'Budget with Assumptions'!J75</f>
        <v>0</v>
      </c>
      <c r="E75" s="900"/>
      <c r="F75" s="363">
        <f>'Budget with Assumptions'!L75</f>
        <v>116550</v>
      </c>
      <c r="G75" s="904"/>
      <c r="H75" s="363">
        <f>'Budget with Assumptions'!N75</f>
        <v>197370</v>
      </c>
      <c r="I75" s="904"/>
      <c r="J75" s="363">
        <f>'Budget with Assumptions'!P75</f>
        <v>242517.24</v>
      </c>
      <c r="K75" s="901"/>
      <c r="L75" s="363">
        <f>'Budget with Assumptions'!R75</f>
        <v>301330.0116</v>
      </c>
      <c r="M75" s="889"/>
      <c r="N75" s="363">
        <f>'Budget with Assumptions'!T75</f>
        <v>311253.367608</v>
      </c>
      <c r="O75"/>
      <c r="P75" s="915">
        <f t="shared" si="15"/>
        <v>0.05489245030357918</v>
      </c>
      <c r="Q75" s="915">
        <f t="shared" si="16"/>
        <v>0.05281993529722447</v>
      </c>
      <c r="R75" s="915">
        <f t="shared" si="17"/>
        <v>0.052909622251438256</v>
      </c>
      <c r="S75" s="915">
        <f t="shared" si="18"/>
        <v>0.05272071752445232</v>
      </c>
      <c r="T75" s="915">
        <f t="shared" si="19"/>
        <v>0.05425216581270866</v>
      </c>
      <c r="U75"/>
      <c r="V75" s="924">
        <f t="shared" si="20"/>
        <v>728.4375</v>
      </c>
      <c r="W75" s="924">
        <f t="shared" si="21"/>
        <v>616.78125</v>
      </c>
      <c r="X75" s="924">
        <f t="shared" si="22"/>
        <v>505.24424999999997</v>
      </c>
      <c r="Y75" s="924">
        <f t="shared" si="23"/>
        <v>470.82814312500005</v>
      </c>
      <c r="Z75" s="924">
        <f t="shared" si="24"/>
        <v>486.3333868875</v>
      </c>
    </row>
    <row r="76" spans="1:26" ht="15">
      <c r="A76" s="710" t="str">
        <f>'Budget with Assumptions'!A76</f>
        <v>Workers Compensation</v>
      </c>
      <c r="B76" s="52"/>
      <c r="C76" s="52"/>
      <c r="D76" s="363">
        <f>'Budget with Assumptions'!J76</f>
        <v>0</v>
      </c>
      <c r="E76" s="900"/>
      <c r="F76" s="363">
        <f>'Budget with Assumptions'!L76</f>
        <v>11655</v>
      </c>
      <c r="G76" s="900"/>
      <c r="H76" s="363">
        <f>'Budget with Assumptions'!N76</f>
        <v>19737</v>
      </c>
      <c r="I76" s="904"/>
      <c r="J76" s="363">
        <f>'Budget with Assumptions'!P76</f>
        <v>24251.724</v>
      </c>
      <c r="K76" s="901"/>
      <c r="L76" s="363">
        <f>'Budget with Assumptions'!R76</f>
        <v>30133.00116</v>
      </c>
      <c r="M76" s="889"/>
      <c r="N76" s="363">
        <f>'Budget with Assumptions'!T76</f>
        <v>31125.3367608</v>
      </c>
      <c r="O76"/>
      <c r="P76" s="915">
        <f t="shared" si="15"/>
        <v>0.005489245030357918</v>
      </c>
      <c r="Q76" s="915">
        <f t="shared" si="16"/>
        <v>0.005281993529722448</v>
      </c>
      <c r="R76" s="915">
        <f t="shared" si="17"/>
        <v>0.005290962225143825</v>
      </c>
      <c r="S76" s="915">
        <f t="shared" si="18"/>
        <v>0.005272071752445232</v>
      </c>
      <c r="T76" s="915">
        <f t="shared" si="19"/>
        <v>0.005425216581270867</v>
      </c>
      <c r="U76"/>
      <c r="V76" s="924">
        <f t="shared" si="20"/>
        <v>72.84375</v>
      </c>
      <c r="W76" s="924">
        <f t="shared" si="21"/>
        <v>61.678125</v>
      </c>
      <c r="X76" s="924">
        <f t="shared" si="22"/>
        <v>50.524424999999994</v>
      </c>
      <c r="Y76" s="924">
        <f t="shared" si="23"/>
        <v>47.0828143125</v>
      </c>
      <c r="Z76" s="924">
        <f t="shared" si="24"/>
        <v>48.63333868875</v>
      </c>
    </row>
    <row r="77" spans="1:26" ht="15">
      <c r="A77" s="710" t="str">
        <f>'Budget with Assumptions'!A77</f>
        <v>State Unemployment Taxes</v>
      </c>
      <c r="B77" s="52"/>
      <c r="C77" s="52"/>
      <c r="D77" s="363">
        <f>'Budget with Assumptions'!J77</f>
        <v>0</v>
      </c>
      <c r="E77" s="900"/>
      <c r="F77" s="363">
        <f>'Budget with Assumptions'!L77</f>
        <v>19425</v>
      </c>
      <c r="G77" s="900"/>
      <c r="H77" s="363">
        <f>'Budget with Assumptions'!N77</f>
        <v>32895</v>
      </c>
      <c r="I77" s="900"/>
      <c r="J77" s="363">
        <f>'Budget with Assumptions'!P77</f>
        <v>40419.54</v>
      </c>
      <c r="K77" s="901"/>
      <c r="L77" s="363">
        <f>'Budget with Assumptions'!R77</f>
        <v>50221.668600000005</v>
      </c>
      <c r="M77" s="889"/>
      <c r="N77" s="363">
        <f>'Budget with Assumptions'!T77</f>
        <v>51875.561268000005</v>
      </c>
      <c r="O77"/>
      <c r="P77" s="915">
        <f t="shared" si="15"/>
        <v>0.009148741717263197</v>
      </c>
      <c r="Q77" s="915">
        <f t="shared" si="16"/>
        <v>0.008803322549537413</v>
      </c>
      <c r="R77" s="915">
        <f t="shared" si="17"/>
        <v>0.00881827037523971</v>
      </c>
      <c r="S77" s="915">
        <f t="shared" si="18"/>
        <v>0.008786786254075387</v>
      </c>
      <c r="T77" s="915">
        <f t="shared" si="19"/>
        <v>0.009042027635451444</v>
      </c>
      <c r="U77"/>
      <c r="V77" s="924">
        <f t="shared" si="20"/>
        <v>121.40625</v>
      </c>
      <c r="W77" s="924">
        <f t="shared" si="21"/>
        <v>102.796875</v>
      </c>
      <c r="X77" s="924">
        <f t="shared" si="22"/>
        <v>84.207375</v>
      </c>
      <c r="Y77" s="924">
        <f t="shared" si="23"/>
        <v>78.4713571875</v>
      </c>
      <c r="Z77" s="924">
        <f t="shared" si="24"/>
        <v>81.05556448125</v>
      </c>
    </row>
    <row r="78" spans="1:26" ht="15">
      <c r="A78" s="710">
        <f>'Budget with Assumptions'!A78</f>
        <v>0</v>
      </c>
      <c r="B78" s="52"/>
      <c r="C78" s="52"/>
      <c r="D78" s="363">
        <f>'Budget with Assumptions'!J78</f>
        <v>0</v>
      </c>
      <c r="E78" s="900"/>
      <c r="F78" s="363">
        <f>'Budget with Assumptions'!L78</f>
        <v>0</v>
      </c>
      <c r="G78" s="900"/>
      <c r="H78" s="363">
        <f>'Budget with Assumptions'!N78</f>
        <v>0</v>
      </c>
      <c r="I78" s="900"/>
      <c r="J78" s="363">
        <f>'Budget with Assumptions'!P78</f>
        <v>0</v>
      </c>
      <c r="K78" s="901"/>
      <c r="L78" s="363">
        <f>'Budget with Assumptions'!R78</f>
        <v>0</v>
      </c>
      <c r="M78" s="889"/>
      <c r="N78" s="363">
        <f>'Budget with Assumptions'!T78</f>
        <v>0</v>
      </c>
      <c r="O78"/>
      <c r="P78" s="915">
        <f t="shared" si="15"/>
        <v>0</v>
      </c>
      <c r="Q78" s="915">
        <f t="shared" si="16"/>
        <v>0</v>
      </c>
      <c r="R78" s="915">
        <f t="shared" si="17"/>
        <v>0</v>
      </c>
      <c r="S78" s="915">
        <f t="shared" si="18"/>
        <v>0</v>
      </c>
      <c r="T78" s="915">
        <f t="shared" si="19"/>
        <v>0</v>
      </c>
      <c r="U78"/>
      <c r="V78" s="924">
        <f t="shared" si="20"/>
        <v>0</v>
      </c>
      <c r="W78" s="924">
        <f t="shared" si="21"/>
        <v>0</v>
      </c>
      <c r="X78" s="924">
        <f t="shared" si="22"/>
        <v>0</v>
      </c>
      <c r="Y78" s="924">
        <f t="shared" si="23"/>
        <v>0</v>
      </c>
      <c r="Z78" s="924">
        <f t="shared" si="24"/>
        <v>0</v>
      </c>
    </row>
    <row r="79" spans="1:26" ht="15">
      <c r="A79" s="710">
        <f>'Budget with Assumptions'!A79</f>
        <v>0</v>
      </c>
      <c r="B79" s="52"/>
      <c r="C79" s="52"/>
      <c r="D79" s="363">
        <f>'Budget with Assumptions'!J79</f>
        <v>0</v>
      </c>
      <c r="E79" s="900"/>
      <c r="F79" s="363">
        <f>'Budget with Assumptions'!L79</f>
        <v>0</v>
      </c>
      <c r="G79" s="900"/>
      <c r="H79" s="363">
        <f>'Budget with Assumptions'!N79</f>
        <v>0</v>
      </c>
      <c r="I79" s="900"/>
      <c r="J79" s="363">
        <f>'Budget with Assumptions'!P79</f>
        <v>0</v>
      </c>
      <c r="K79" s="901"/>
      <c r="L79" s="363">
        <f>'Budget with Assumptions'!R79</f>
        <v>0</v>
      </c>
      <c r="M79" s="889"/>
      <c r="N79" s="363">
        <f>'Budget with Assumptions'!T79</f>
        <v>0</v>
      </c>
      <c r="O79"/>
      <c r="P79" s="915">
        <f t="shared" si="15"/>
        <v>0</v>
      </c>
      <c r="Q79" s="915">
        <f t="shared" si="16"/>
        <v>0</v>
      </c>
      <c r="R79" s="915">
        <f t="shared" si="17"/>
        <v>0</v>
      </c>
      <c r="S79" s="915">
        <f t="shared" si="18"/>
        <v>0</v>
      </c>
      <c r="T79" s="915">
        <f t="shared" si="19"/>
        <v>0</v>
      </c>
      <c r="U79"/>
      <c r="V79" s="924">
        <f t="shared" si="20"/>
        <v>0</v>
      </c>
      <c r="W79" s="924">
        <f t="shared" si="21"/>
        <v>0</v>
      </c>
      <c r="X79" s="924">
        <f t="shared" si="22"/>
        <v>0</v>
      </c>
      <c r="Y79" s="924">
        <f t="shared" si="23"/>
        <v>0</v>
      </c>
      <c r="Z79" s="924">
        <f t="shared" si="24"/>
        <v>0</v>
      </c>
    </row>
    <row r="80" spans="1:26" ht="15">
      <c r="A80" s="710">
        <f>'Budget with Assumptions'!A80</f>
        <v>0</v>
      </c>
      <c r="B80" s="52"/>
      <c r="C80" s="52"/>
      <c r="D80" s="363">
        <f>'Budget with Assumptions'!J80</f>
        <v>0</v>
      </c>
      <c r="E80" s="741"/>
      <c r="F80" s="363">
        <f>'Budget with Assumptions'!L80</f>
        <v>0</v>
      </c>
      <c r="G80" s="741"/>
      <c r="H80" s="363">
        <f>'Budget with Assumptions'!N80</f>
        <v>0</v>
      </c>
      <c r="I80" s="741"/>
      <c r="J80" s="363">
        <f>'Budget with Assumptions'!P80</f>
        <v>0</v>
      </c>
      <c r="K80" s="875"/>
      <c r="L80" s="363">
        <f>'Budget with Assumptions'!R80</f>
        <v>0</v>
      </c>
      <c r="M80" s="875"/>
      <c r="N80" s="363">
        <f>'Budget with Assumptions'!T80</f>
        <v>0</v>
      </c>
      <c r="P80" s="915">
        <f t="shared" si="15"/>
        <v>0</v>
      </c>
      <c r="Q80" s="915">
        <f t="shared" si="16"/>
        <v>0</v>
      </c>
      <c r="R80" s="915">
        <f t="shared" si="17"/>
        <v>0</v>
      </c>
      <c r="S80" s="915">
        <f t="shared" si="18"/>
        <v>0</v>
      </c>
      <c r="T80" s="915">
        <f t="shared" si="19"/>
        <v>0</v>
      </c>
      <c r="V80" s="924">
        <f t="shared" si="20"/>
        <v>0</v>
      </c>
      <c r="W80" s="924">
        <f t="shared" si="21"/>
        <v>0</v>
      </c>
      <c r="X80" s="924">
        <f t="shared" si="22"/>
        <v>0</v>
      </c>
      <c r="Y80" s="924">
        <f t="shared" si="23"/>
        <v>0</v>
      </c>
      <c r="Z80" s="924">
        <f t="shared" si="24"/>
        <v>0</v>
      </c>
    </row>
    <row r="81" spans="1:26" ht="15">
      <c r="A81" s="710">
        <f>'Budget with Assumptions'!A81</f>
        <v>0</v>
      </c>
      <c r="D81" s="363">
        <f>'Budget with Assumptions'!J81</f>
        <v>0</v>
      </c>
      <c r="E81" s="900"/>
      <c r="F81" s="363">
        <f>'Budget with Assumptions'!L81</f>
        <v>0</v>
      </c>
      <c r="G81" s="900"/>
      <c r="H81" s="363">
        <f>'Budget with Assumptions'!N81</f>
        <v>0</v>
      </c>
      <c r="I81" s="900"/>
      <c r="J81" s="363">
        <f>'Budget with Assumptions'!P81</f>
        <v>0</v>
      </c>
      <c r="K81" s="901"/>
      <c r="L81" s="363">
        <f>'Budget with Assumptions'!R81</f>
        <v>0</v>
      </c>
      <c r="M81" s="889"/>
      <c r="N81" s="363">
        <f>'Budget with Assumptions'!T81</f>
        <v>0</v>
      </c>
      <c r="O81"/>
      <c r="P81" s="915">
        <f t="shared" si="15"/>
        <v>0</v>
      </c>
      <c r="Q81" s="915">
        <f t="shared" si="16"/>
        <v>0</v>
      </c>
      <c r="R81" s="915">
        <f t="shared" si="17"/>
        <v>0</v>
      </c>
      <c r="S81" s="915">
        <f t="shared" si="18"/>
        <v>0</v>
      </c>
      <c r="T81" s="915">
        <f t="shared" si="19"/>
        <v>0</v>
      </c>
      <c r="U81"/>
      <c r="V81" s="924">
        <f t="shared" si="20"/>
        <v>0</v>
      </c>
      <c r="W81" s="924">
        <f t="shared" si="21"/>
        <v>0</v>
      </c>
      <c r="X81" s="924">
        <f t="shared" si="22"/>
        <v>0</v>
      </c>
      <c r="Y81" s="924">
        <f t="shared" si="23"/>
        <v>0</v>
      </c>
      <c r="Z81" s="924">
        <f t="shared" si="24"/>
        <v>0</v>
      </c>
    </row>
    <row r="82" spans="1:26" ht="15">
      <c r="A82" s="873" t="str">
        <f>'Budget with Assumptions'!A82</f>
        <v>Employee Related Expenses (non-wage and non-benefit)</v>
      </c>
      <c r="B82" s="52"/>
      <c r="C82" s="52"/>
      <c r="D82" s="363">
        <f>'Budget with Assumptions'!J82</f>
        <v>0</v>
      </c>
      <c r="E82" s="900"/>
      <c r="F82" s="363">
        <f>'Budget with Assumptions'!L82</f>
        <v>0</v>
      </c>
      <c r="G82" s="900"/>
      <c r="H82" s="363">
        <f>'Budget with Assumptions'!N82</f>
        <v>0</v>
      </c>
      <c r="I82" s="900"/>
      <c r="J82" s="363">
        <f>'Budget with Assumptions'!P82</f>
        <v>0</v>
      </c>
      <c r="K82" s="901"/>
      <c r="L82" s="363">
        <f>'Budget with Assumptions'!R82</f>
        <v>0</v>
      </c>
      <c r="M82" s="889"/>
      <c r="N82" s="363">
        <f>'Budget with Assumptions'!T82</f>
        <v>0</v>
      </c>
      <c r="O82"/>
      <c r="P82" s="915">
        <f t="shared" si="15"/>
        <v>0</v>
      </c>
      <c r="Q82" s="915">
        <f t="shared" si="16"/>
        <v>0</v>
      </c>
      <c r="R82" s="915">
        <f t="shared" si="17"/>
        <v>0</v>
      </c>
      <c r="S82" s="915">
        <f t="shared" si="18"/>
        <v>0</v>
      </c>
      <c r="T82" s="915">
        <f t="shared" si="19"/>
        <v>0</v>
      </c>
      <c r="U82"/>
      <c r="V82" s="924">
        <f t="shared" si="20"/>
        <v>0</v>
      </c>
      <c r="W82" s="924">
        <f t="shared" si="21"/>
        <v>0</v>
      </c>
      <c r="X82" s="924">
        <f t="shared" si="22"/>
        <v>0</v>
      </c>
      <c r="Y82" s="924">
        <f t="shared" si="23"/>
        <v>0</v>
      </c>
      <c r="Z82" s="924">
        <f t="shared" si="24"/>
        <v>0</v>
      </c>
    </row>
    <row r="83" spans="1:26" ht="15">
      <c r="A83" s="710" t="str">
        <f>'Budget with Assumptions'!A83</f>
        <v>Staff Recruitment</v>
      </c>
      <c r="B83" s="52"/>
      <c r="C83" s="52"/>
      <c r="D83" s="363">
        <f>'Budget with Assumptions'!J83</f>
        <v>0</v>
      </c>
      <c r="E83" s="900"/>
      <c r="F83" s="363">
        <f>'Budget with Assumptions'!L83</f>
        <v>7000</v>
      </c>
      <c r="G83" s="900"/>
      <c r="H83" s="363">
        <f>'Budget with Assumptions'!N83</f>
        <v>7000</v>
      </c>
      <c r="I83" s="900"/>
      <c r="J83" s="363">
        <f>'Budget with Assumptions'!P83</f>
        <v>7000</v>
      </c>
      <c r="K83" s="901"/>
      <c r="L83" s="363">
        <f>'Budget with Assumptions'!R83</f>
        <v>7000</v>
      </c>
      <c r="M83" s="889"/>
      <c r="N83" s="363">
        <f>'Budget with Assumptions'!T83</f>
        <v>7000</v>
      </c>
      <c r="O83"/>
      <c r="P83" s="915">
        <f t="shared" si="15"/>
        <v>0.0032968438620768277</v>
      </c>
      <c r="Q83" s="915">
        <f t="shared" si="16"/>
        <v>0.0018733320518851463</v>
      </c>
      <c r="R83" s="915">
        <f t="shared" si="17"/>
        <v>0.001527179493548862</v>
      </c>
      <c r="S83" s="915">
        <f t="shared" si="18"/>
        <v>0.0012247204342893479</v>
      </c>
      <c r="T83" s="915">
        <f t="shared" si="19"/>
        <v>0.0012201158291313527</v>
      </c>
      <c r="U83"/>
      <c r="V83" s="924">
        <f t="shared" si="20"/>
        <v>43.75</v>
      </c>
      <c r="W83" s="924">
        <f t="shared" si="21"/>
        <v>21.875</v>
      </c>
      <c r="X83" s="924">
        <f t="shared" si="22"/>
        <v>14.583333333333334</v>
      </c>
      <c r="Y83" s="924">
        <f t="shared" si="23"/>
        <v>10.9375</v>
      </c>
      <c r="Z83" s="924">
        <f t="shared" si="24"/>
        <v>10.9375</v>
      </c>
    </row>
    <row r="84" spans="1:26" ht="15">
      <c r="A84" s="710" t="str">
        <f>'Budget with Assumptions'!A84</f>
        <v>Professional Development</v>
      </c>
      <c r="B84" s="52"/>
      <c r="C84" s="52"/>
      <c r="D84" s="363">
        <f>'Budget with Assumptions'!J84</f>
        <v>0</v>
      </c>
      <c r="E84" s="900"/>
      <c r="F84" s="363">
        <f>'Budget with Assumptions'!L84</f>
        <v>28035</v>
      </c>
      <c r="G84" s="900"/>
      <c r="H84" s="363">
        <f>'Budget with Assumptions'!N84</f>
        <v>45390</v>
      </c>
      <c r="I84" s="900"/>
      <c r="J84" s="363">
        <f>'Budget with Assumptions'!P84</f>
        <v>55180</v>
      </c>
      <c r="K84" s="901"/>
      <c r="L84" s="363">
        <f>'Budget with Assumptions'!R84</f>
        <v>66750</v>
      </c>
      <c r="M84" s="889"/>
      <c r="N84" s="363">
        <f>'Budget with Assumptions'!T84</f>
        <v>67640</v>
      </c>
      <c r="O84"/>
      <c r="P84" s="915">
        <f t="shared" si="15"/>
        <v>0.013203859667617696</v>
      </c>
      <c r="Q84" s="915">
        <f t="shared" si="16"/>
        <v>0.012147220262152399</v>
      </c>
      <c r="R84" s="915">
        <f t="shared" si="17"/>
        <v>0.0120385377791466</v>
      </c>
      <c r="S84" s="915">
        <f t="shared" si="18"/>
        <v>0.011678584141259137</v>
      </c>
      <c r="T84" s="915">
        <f t="shared" si="19"/>
        <v>0.011789804954634957</v>
      </c>
      <c r="U84"/>
      <c r="V84" s="924">
        <f t="shared" si="20"/>
        <v>175.21875</v>
      </c>
      <c r="W84" s="924">
        <f t="shared" si="21"/>
        <v>141.84375</v>
      </c>
      <c r="X84" s="924">
        <f t="shared" si="22"/>
        <v>114.95833333333333</v>
      </c>
      <c r="Y84" s="924">
        <f t="shared" si="23"/>
        <v>104.296875</v>
      </c>
      <c r="Z84" s="924">
        <f t="shared" si="24"/>
        <v>105.6875</v>
      </c>
    </row>
    <row r="85" spans="1:26" ht="15">
      <c r="A85" s="710" t="str">
        <f>'Budget with Assumptions'!A85</f>
        <v>Staff Appreciation</v>
      </c>
      <c r="B85" s="52"/>
      <c r="C85" s="52"/>
      <c r="D85" s="363">
        <f>'Budget with Assumptions'!J85</f>
        <v>0</v>
      </c>
      <c r="E85" s="900"/>
      <c r="F85" s="363">
        <f>'Budget with Assumptions'!L85</f>
        <v>0</v>
      </c>
      <c r="G85" s="900"/>
      <c r="H85" s="363">
        <f>'Budget with Assumptions'!N85</f>
        <v>0</v>
      </c>
      <c r="I85" s="900"/>
      <c r="J85" s="363">
        <f>'Budget with Assumptions'!P85</f>
        <v>0</v>
      </c>
      <c r="K85" s="901"/>
      <c r="L85" s="363">
        <f>'Budget with Assumptions'!R85</f>
        <v>0</v>
      </c>
      <c r="M85" s="889"/>
      <c r="N85" s="363">
        <f>'Budget with Assumptions'!T85</f>
        <v>0</v>
      </c>
      <c r="O85"/>
      <c r="P85" s="915">
        <f t="shared" si="15"/>
        <v>0</v>
      </c>
      <c r="Q85" s="915">
        <f t="shared" si="16"/>
        <v>0</v>
      </c>
      <c r="R85" s="915">
        <f t="shared" si="17"/>
        <v>0</v>
      </c>
      <c r="S85" s="915">
        <f t="shared" si="18"/>
        <v>0</v>
      </c>
      <c r="T85" s="915">
        <f t="shared" si="19"/>
        <v>0</v>
      </c>
      <c r="U85"/>
      <c r="V85" s="924">
        <f t="shared" si="20"/>
        <v>0</v>
      </c>
      <c r="W85" s="924">
        <f t="shared" si="21"/>
        <v>0</v>
      </c>
      <c r="X85" s="924">
        <f t="shared" si="22"/>
        <v>0</v>
      </c>
      <c r="Y85" s="924">
        <f t="shared" si="23"/>
        <v>0</v>
      </c>
      <c r="Z85" s="924">
        <f t="shared" si="24"/>
        <v>0</v>
      </c>
    </row>
    <row r="86" spans="1:26" ht="15">
      <c r="A86" s="710" t="str">
        <f>'Budget with Assumptions'!A86</f>
        <v>Substitute Teachers (Contractual)</v>
      </c>
      <c r="B86" s="52"/>
      <c r="C86" s="52"/>
      <c r="D86" s="363">
        <f>'Budget with Assumptions'!J86</f>
        <v>0</v>
      </c>
      <c r="E86" s="900"/>
      <c r="F86" s="363">
        <f>'Budget with Assumptions'!L86</f>
        <v>0</v>
      </c>
      <c r="G86" s="900"/>
      <c r="H86" s="363">
        <f>'Budget with Assumptions'!N86</f>
        <v>0</v>
      </c>
      <c r="I86" s="900"/>
      <c r="J86" s="363">
        <f>'Budget with Assumptions'!P86</f>
        <v>0</v>
      </c>
      <c r="K86" s="901"/>
      <c r="L86" s="363">
        <f>'Budget with Assumptions'!R86</f>
        <v>0</v>
      </c>
      <c r="M86" s="889"/>
      <c r="N86" s="363">
        <f>'Budget with Assumptions'!T86</f>
        <v>0</v>
      </c>
      <c r="O86"/>
      <c r="P86" s="915">
        <f t="shared" si="15"/>
        <v>0</v>
      </c>
      <c r="Q86" s="915">
        <f t="shared" si="16"/>
        <v>0</v>
      </c>
      <c r="R86" s="915">
        <f t="shared" si="17"/>
        <v>0</v>
      </c>
      <c r="S86" s="915">
        <f t="shared" si="18"/>
        <v>0</v>
      </c>
      <c r="T86" s="915">
        <f t="shared" si="19"/>
        <v>0</v>
      </c>
      <c r="U86"/>
      <c r="V86" s="924">
        <f t="shared" si="20"/>
        <v>0</v>
      </c>
      <c r="W86" s="924">
        <f t="shared" si="21"/>
        <v>0</v>
      </c>
      <c r="X86" s="924">
        <f t="shared" si="22"/>
        <v>0</v>
      </c>
      <c r="Y86" s="924">
        <f t="shared" si="23"/>
        <v>0</v>
      </c>
      <c r="Z86" s="924">
        <f t="shared" si="24"/>
        <v>0</v>
      </c>
    </row>
    <row r="87" spans="1:26" ht="15">
      <c r="A87" s="710" t="str">
        <f>'Budget with Assumptions'!A87</f>
        <v>Staff Technology</v>
      </c>
      <c r="B87" s="52"/>
      <c r="C87" s="52"/>
      <c r="D87" s="363">
        <f>'Budget with Assumptions'!J87</f>
        <v>0</v>
      </c>
      <c r="E87" s="900"/>
      <c r="F87" s="363">
        <f>'Budget with Assumptions'!L87</f>
        <v>15717</v>
      </c>
      <c r="G87" s="900"/>
      <c r="H87" s="363">
        <f>'Budget with Assumptions'!N87</f>
        <v>17833</v>
      </c>
      <c r="I87" s="900"/>
      <c r="J87" s="363">
        <f>'Budget with Assumptions'!P87</f>
        <v>12554</v>
      </c>
      <c r="K87" s="901"/>
      <c r="L87" s="363">
        <f>'Budget with Assumptions'!R87</f>
        <v>14599</v>
      </c>
      <c r="M87" s="889"/>
      <c r="N87" s="363">
        <f>'Budget with Assumptions'!T87</f>
        <v>7523</v>
      </c>
      <c r="O87"/>
      <c r="P87" s="915">
        <f t="shared" si="15"/>
        <v>0.007402356425751643</v>
      </c>
      <c r="Q87" s="915">
        <f t="shared" si="16"/>
        <v>0.004772447211609688</v>
      </c>
      <c r="R87" s="915">
        <f t="shared" si="17"/>
        <v>0.0027388873374303447</v>
      </c>
      <c r="S87" s="915">
        <f t="shared" si="18"/>
        <v>0.0025542419457414553</v>
      </c>
      <c r="T87" s="915">
        <f t="shared" si="19"/>
        <v>0.0013112759117935953</v>
      </c>
      <c r="U87"/>
      <c r="V87" s="924">
        <f t="shared" si="20"/>
        <v>98.23125</v>
      </c>
      <c r="W87" s="924">
        <f t="shared" si="21"/>
        <v>55.728125</v>
      </c>
      <c r="X87" s="924">
        <f t="shared" si="22"/>
        <v>26.154166666666665</v>
      </c>
      <c r="Y87" s="924">
        <f t="shared" si="23"/>
        <v>22.8109375</v>
      </c>
      <c r="Z87" s="924">
        <f t="shared" si="24"/>
        <v>11.7546875</v>
      </c>
    </row>
    <row r="88" spans="1:26" ht="15">
      <c r="A88" s="710" t="str">
        <f>'Budget with Assumptions'!A88</f>
        <v>Teacher Furniture</v>
      </c>
      <c r="B88" s="52"/>
      <c r="C88" s="52"/>
      <c r="D88" s="363">
        <f>'Budget with Assumptions'!J88</f>
        <v>0</v>
      </c>
      <c r="E88" s="900"/>
      <c r="F88" s="363">
        <f>'Budget with Assumptions'!L88</f>
        <v>4200</v>
      </c>
      <c r="G88" s="900"/>
      <c r="H88" s="363">
        <f>'Budget with Assumptions'!N88</f>
        <v>4200</v>
      </c>
      <c r="I88" s="900"/>
      <c r="J88" s="363">
        <f>'Budget with Assumptions'!P88</f>
        <v>4200</v>
      </c>
      <c r="K88" s="901"/>
      <c r="L88" s="363">
        <f>'Budget with Assumptions'!R88</f>
        <v>4200</v>
      </c>
      <c r="M88" s="889"/>
      <c r="N88" s="363">
        <f>'Budget with Assumptions'!T88</f>
        <v>4200</v>
      </c>
      <c r="O88"/>
      <c r="P88" s="915">
        <f t="shared" si="15"/>
        <v>0.0019781063172460965</v>
      </c>
      <c r="Q88" s="915">
        <f t="shared" si="16"/>
        <v>0.0011239992311310879</v>
      </c>
      <c r="R88" s="915">
        <f t="shared" si="17"/>
        <v>0.0009163076961293172</v>
      </c>
      <c r="S88" s="915">
        <f t="shared" si="18"/>
        <v>0.0007348322605736086</v>
      </c>
      <c r="T88" s="915">
        <f t="shared" si="19"/>
        <v>0.0007320694974788116</v>
      </c>
      <c r="U88"/>
      <c r="V88" s="924">
        <f t="shared" si="20"/>
        <v>26.25</v>
      </c>
      <c r="W88" s="924">
        <f t="shared" si="21"/>
        <v>13.125</v>
      </c>
      <c r="X88" s="924">
        <f t="shared" si="22"/>
        <v>8.75</v>
      </c>
      <c r="Y88" s="924">
        <f t="shared" si="23"/>
        <v>6.5625</v>
      </c>
      <c r="Z88" s="924">
        <f t="shared" si="24"/>
        <v>6.5625</v>
      </c>
    </row>
    <row r="89" spans="1:26" ht="15">
      <c r="A89" s="710">
        <f>'Budget with Assumptions'!A89</f>
        <v>0</v>
      </c>
      <c r="B89" s="52"/>
      <c r="C89" s="52"/>
      <c r="D89" s="363">
        <f>'Budget with Assumptions'!J89</f>
        <v>0</v>
      </c>
      <c r="E89" s="900"/>
      <c r="F89" s="363">
        <f>'Budget with Assumptions'!L89</f>
        <v>0</v>
      </c>
      <c r="G89" s="900"/>
      <c r="H89" s="363">
        <f>'Budget with Assumptions'!N89</f>
        <v>0</v>
      </c>
      <c r="I89" s="900"/>
      <c r="J89" s="363">
        <f>'Budget with Assumptions'!P89</f>
        <v>0</v>
      </c>
      <c r="K89" s="901"/>
      <c r="L89" s="363">
        <f>'Budget with Assumptions'!R89</f>
        <v>0</v>
      </c>
      <c r="M89" s="889"/>
      <c r="N89" s="363">
        <f>'Budget with Assumptions'!T89</f>
        <v>0</v>
      </c>
      <c r="O89"/>
      <c r="P89" s="915">
        <f t="shared" si="15"/>
        <v>0</v>
      </c>
      <c r="Q89" s="915">
        <f t="shared" si="16"/>
        <v>0</v>
      </c>
      <c r="R89" s="915">
        <f t="shared" si="17"/>
        <v>0</v>
      </c>
      <c r="S89" s="915">
        <f t="shared" si="18"/>
        <v>0</v>
      </c>
      <c r="T89" s="915">
        <f t="shared" si="19"/>
        <v>0</v>
      </c>
      <c r="U89"/>
      <c r="V89" s="924">
        <f t="shared" si="20"/>
        <v>0</v>
      </c>
      <c r="W89" s="924">
        <f t="shared" si="21"/>
        <v>0</v>
      </c>
      <c r="X89" s="924">
        <f t="shared" si="22"/>
        <v>0</v>
      </c>
      <c r="Y89" s="924">
        <f t="shared" si="23"/>
        <v>0</v>
      </c>
      <c r="Z89" s="924">
        <f t="shared" si="24"/>
        <v>0</v>
      </c>
    </row>
    <row r="90" spans="1:26" ht="15">
      <c r="A90" s="710">
        <f>'Budget with Assumptions'!A90</f>
        <v>0</v>
      </c>
      <c r="B90" s="52"/>
      <c r="C90" s="52"/>
      <c r="D90" s="363">
        <f>'Budget with Assumptions'!J90</f>
        <v>0</v>
      </c>
      <c r="E90" s="900"/>
      <c r="F90" s="363">
        <f>'Budget with Assumptions'!L90</f>
        <v>0</v>
      </c>
      <c r="G90" s="900"/>
      <c r="H90" s="363">
        <f>'Budget with Assumptions'!N90</f>
        <v>0</v>
      </c>
      <c r="I90" s="900"/>
      <c r="J90" s="363">
        <f>'Budget with Assumptions'!P90</f>
        <v>0</v>
      </c>
      <c r="K90" s="901"/>
      <c r="L90" s="363">
        <f>'Budget with Assumptions'!R90</f>
        <v>0</v>
      </c>
      <c r="M90" s="889"/>
      <c r="N90" s="363">
        <f>'Budget with Assumptions'!T90</f>
        <v>0</v>
      </c>
      <c r="O90"/>
      <c r="P90" s="915">
        <f t="shared" si="15"/>
        <v>0</v>
      </c>
      <c r="Q90" s="915">
        <f t="shared" si="16"/>
        <v>0</v>
      </c>
      <c r="R90" s="915">
        <f t="shared" si="17"/>
        <v>0</v>
      </c>
      <c r="S90" s="915">
        <f t="shared" si="18"/>
        <v>0</v>
      </c>
      <c r="T90" s="915">
        <f t="shared" si="19"/>
        <v>0</v>
      </c>
      <c r="U90"/>
      <c r="V90" s="924">
        <f t="shared" si="20"/>
        <v>0</v>
      </c>
      <c r="W90" s="924">
        <f t="shared" si="21"/>
        <v>0</v>
      </c>
      <c r="X90" s="924">
        <f t="shared" si="22"/>
        <v>0</v>
      </c>
      <c r="Y90" s="924">
        <f t="shared" si="23"/>
        <v>0</v>
      </c>
      <c r="Z90" s="924">
        <f t="shared" si="24"/>
        <v>0</v>
      </c>
    </row>
    <row r="91" spans="2:26" ht="15.75" thickBot="1">
      <c r="B91" s="52"/>
      <c r="C91" s="52"/>
      <c r="D91" s="907"/>
      <c r="E91" s="900"/>
      <c r="F91" s="907"/>
      <c r="G91" s="900"/>
      <c r="H91" s="907"/>
      <c r="I91" s="900"/>
      <c r="J91" s="907"/>
      <c r="K91" s="901"/>
      <c r="L91" s="881"/>
      <c r="M91" s="889"/>
      <c r="N91" s="881"/>
      <c r="O91"/>
      <c r="P91" s="916"/>
      <c r="Q91" s="916"/>
      <c r="R91" s="916"/>
      <c r="S91" s="916"/>
      <c r="T91" s="916"/>
      <c r="U91"/>
      <c r="V91" s="741"/>
      <c r="W91" s="741"/>
      <c r="X91" s="741"/>
      <c r="Y91" s="741"/>
      <c r="Z91" s="741"/>
    </row>
    <row r="92" spans="1:26" ht="15.75" thickBot="1">
      <c r="A92" s="382" t="str">
        <f>'Budget with Assumptions'!H92</f>
        <v>Total Personnel Costs</v>
      </c>
      <c r="B92" s="42"/>
      <c r="C92" s="42"/>
      <c r="D92" s="485">
        <f>SUM(D69:D90)</f>
        <v>162013.25</v>
      </c>
      <c r="E92" s="359"/>
      <c r="F92" s="485">
        <f>SUM(F69:F90)</f>
        <v>1659085.5</v>
      </c>
      <c r="G92" s="359"/>
      <c r="H92" s="485">
        <f>SUM(H69:H90)</f>
        <v>2796637.76</v>
      </c>
      <c r="I92" s="359"/>
      <c r="J92" s="485">
        <f>SUM(J69:J90)</f>
        <v>3411401.7855999996</v>
      </c>
      <c r="K92" s="360"/>
      <c r="L92" s="485">
        <f>SUM(L69:L90)</f>
        <v>4244119.387940001</v>
      </c>
      <c r="M92" s="874"/>
      <c r="N92" s="485">
        <f>SUM(N69:N90)</f>
        <v>4372510.215158001</v>
      </c>
      <c r="O92"/>
      <c r="P92" s="704">
        <f>SUM(P69:P90)</f>
        <v>0.781392263905095</v>
      </c>
      <c r="Q92" s="704">
        <f>SUM(Q69:Q90)</f>
        <v>0.7484330219028972</v>
      </c>
      <c r="R92" s="704">
        <f>SUM(R69:R90)</f>
        <v>0.7442604073177559</v>
      </c>
      <c r="S92" s="704">
        <f>SUM(S69:S90)</f>
        <v>0.7425513914248169</v>
      </c>
      <c r="T92" s="704">
        <f>SUM(T69:T90)</f>
        <v>0.7621384180789733</v>
      </c>
      <c r="U92"/>
      <c r="V92" s="706">
        <f>SUM(V69:V90)</f>
        <v>10369.284375000001</v>
      </c>
      <c r="W92" s="706">
        <f>SUM(W69:W90)</f>
        <v>8739.493</v>
      </c>
      <c r="X92" s="706">
        <f>SUM(X69:X90)</f>
        <v>7107.087053333331</v>
      </c>
      <c r="Y92" s="706">
        <f>SUM(Y69:Y90)</f>
        <v>6631.43654365625</v>
      </c>
      <c r="Z92" s="706">
        <f>SUM(Z69:Z90)</f>
        <v>6832.047211184376</v>
      </c>
    </row>
    <row r="93" spans="1:26" ht="15.75" thickBot="1">
      <c r="A93" s="49"/>
      <c r="B93" s="38"/>
      <c r="C93" s="38"/>
      <c r="D93" s="741"/>
      <c r="E93" s="741"/>
      <c r="F93" s="741"/>
      <c r="G93" s="741"/>
      <c r="H93" s="741"/>
      <c r="I93" s="741"/>
      <c r="J93" s="741"/>
      <c r="K93" s="875"/>
      <c r="L93" s="741"/>
      <c r="M93" s="875"/>
      <c r="N93" s="741"/>
      <c r="P93" s="916"/>
      <c r="Q93" s="916"/>
      <c r="R93" s="916"/>
      <c r="S93" s="916"/>
      <c r="T93" s="916"/>
      <c r="V93" s="741"/>
      <c r="W93" s="741"/>
      <c r="X93" s="741"/>
      <c r="Y93" s="741"/>
      <c r="Z93" s="741"/>
    </row>
    <row r="94" spans="1:26" ht="18" thickBot="1">
      <c r="A94" s="703" t="s">
        <v>171</v>
      </c>
      <c r="B94" s="50"/>
      <c r="C94" s="50"/>
      <c r="D94" s="906"/>
      <c r="E94" s="900"/>
      <c r="F94" s="906"/>
      <c r="G94" s="900"/>
      <c r="H94" s="906"/>
      <c r="I94" s="900"/>
      <c r="J94" s="906"/>
      <c r="K94" s="901"/>
      <c r="L94" s="68"/>
      <c r="M94" s="889"/>
      <c r="N94" s="68"/>
      <c r="O94"/>
      <c r="P94" s="916"/>
      <c r="Q94" s="916"/>
      <c r="R94" s="916"/>
      <c r="S94" s="916"/>
      <c r="T94" s="916"/>
      <c r="U94"/>
      <c r="V94" s="741"/>
      <c r="W94" s="741"/>
      <c r="X94" s="741"/>
      <c r="Y94" s="741"/>
      <c r="Z94" s="741"/>
    </row>
    <row r="95" spans="1:26" ht="15">
      <c r="A95" s="710" t="str">
        <f>'Budget with Assumptions'!A95</f>
        <v>Office Supplies</v>
      </c>
      <c r="B95" s="38"/>
      <c r="C95" s="38"/>
      <c r="D95" s="363">
        <f>'Budget with Assumptions'!J95</f>
        <v>2000</v>
      </c>
      <c r="E95" s="900"/>
      <c r="F95" s="363">
        <f>'Budget with Assumptions'!L95</f>
        <v>10000</v>
      </c>
      <c r="G95" s="900"/>
      <c r="H95" s="363">
        <f>'Budget with Assumptions'!N95</f>
        <v>10200</v>
      </c>
      <c r="I95" s="900"/>
      <c r="J95" s="363">
        <f>'Budget with Assumptions'!P95</f>
        <v>10404</v>
      </c>
      <c r="K95" s="901"/>
      <c r="L95" s="363">
        <f>'Budget with Assumptions'!R95</f>
        <v>10612.08</v>
      </c>
      <c r="M95" s="889"/>
      <c r="N95" s="363">
        <f>'Budget with Assumptions'!T95</f>
        <v>10824.3216</v>
      </c>
      <c r="O95"/>
      <c r="P95" s="915">
        <f aca="true" t="shared" si="25" ref="P95:P114">F95/$F$159</f>
        <v>0.0047097769458240395</v>
      </c>
      <c r="Q95" s="915">
        <f aca="true" t="shared" si="26" ref="Q95:Q114">H95/$H$159</f>
        <v>0.002729712418461213</v>
      </c>
      <c r="R95" s="915">
        <f aca="true" t="shared" si="27" ref="R95:R114">J95/$J$159</f>
        <v>0.002269825064411766</v>
      </c>
      <c r="S95" s="915">
        <f aca="true" t="shared" si="28" ref="S95:S114">L95/$L$159</f>
        <v>0.0018566901751876144</v>
      </c>
      <c r="T95" s="915">
        <f aca="true" t="shared" si="29" ref="T95:T114">N95/$N$159</f>
        <v>0.0018867037319669157</v>
      </c>
      <c r="U95"/>
      <c r="V95" s="924">
        <f>F95/$F$178</f>
        <v>62.5</v>
      </c>
      <c r="W95" s="924">
        <f>H95/$H$178</f>
        <v>31.875</v>
      </c>
      <c r="X95" s="924">
        <f>J95/$J$178</f>
        <v>21.675</v>
      </c>
      <c r="Y95" s="924">
        <f>L95/$L$178</f>
        <v>16.581375</v>
      </c>
      <c r="Z95" s="924">
        <f>N95/$N$178</f>
        <v>16.913002499999997</v>
      </c>
    </row>
    <row r="96" spans="1:26" ht="15">
      <c r="A96" s="710" t="str">
        <f>'Budget with Assumptions'!A96</f>
        <v>Furniture</v>
      </c>
      <c r="B96" s="42"/>
      <c r="C96" s="42"/>
      <c r="D96" s="363">
        <f>'Budget with Assumptions'!J96</f>
        <v>0</v>
      </c>
      <c r="E96" s="900"/>
      <c r="F96" s="363">
        <f>'Budget with Assumptions'!L96</f>
        <v>0</v>
      </c>
      <c r="G96" s="900"/>
      <c r="H96" s="363">
        <f>'Budget with Assumptions'!N96</f>
        <v>0</v>
      </c>
      <c r="I96" s="900"/>
      <c r="J96" s="363">
        <f>'Budget with Assumptions'!P96</f>
        <v>0</v>
      </c>
      <c r="K96" s="901"/>
      <c r="L96" s="363">
        <f>'Budget with Assumptions'!R96</f>
        <v>0</v>
      </c>
      <c r="M96" s="889"/>
      <c r="N96" s="363">
        <f>'Budget with Assumptions'!T96</f>
        <v>0</v>
      </c>
      <c r="O96"/>
      <c r="P96" s="915">
        <f t="shared" si="25"/>
        <v>0</v>
      </c>
      <c r="Q96" s="915">
        <f t="shared" si="26"/>
        <v>0</v>
      </c>
      <c r="R96" s="915">
        <f t="shared" si="27"/>
        <v>0</v>
      </c>
      <c r="S96" s="915">
        <f t="shared" si="28"/>
        <v>0</v>
      </c>
      <c r="T96" s="915">
        <f t="shared" si="29"/>
        <v>0</v>
      </c>
      <c r="U96"/>
      <c r="V96" s="924">
        <f aca="true" t="shared" si="30" ref="V96:V114">F96/$F$178</f>
        <v>0</v>
      </c>
      <c r="W96" s="924">
        <f aca="true" t="shared" si="31" ref="W96:W114">H96/$H$178</f>
        <v>0</v>
      </c>
      <c r="X96" s="924">
        <f aca="true" t="shared" si="32" ref="X96:X114">J96/$J$178</f>
        <v>0</v>
      </c>
      <c r="Y96" s="924">
        <f aca="true" t="shared" si="33" ref="Y96:Y114">L96/$L$178</f>
        <v>0</v>
      </c>
      <c r="Z96" s="924">
        <f aca="true" t="shared" si="34" ref="Z96:Z114">N96/$N$178</f>
        <v>0</v>
      </c>
    </row>
    <row r="97" spans="1:26" ht="15">
      <c r="A97" s="710" t="str">
        <f>'Budget with Assumptions'!A97</f>
        <v>Telecommunications and Internet</v>
      </c>
      <c r="B97" s="42"/>
      <c r="C97" s="42"/>
      <c r="D97" s="363">
        <f>'Budget with Assumptions'!J97</f>
        <v>800</v>
      </c>
      <c r="E97" s="900"/>
      <c r="F97" s="363">
        <f>'Budget with Assumptions'!L97</f>
        <v>1200</v>
      </c>
      <c r="G97" s="900"/>
      <c r="H97" s="363">
        <f>'Budget with Assumptions'!N97</f>
        <v>2016</v>
      </c>
      <c r="I97" s="900"/>
      <c r="J97" s="363">
        <f>'Budget with Assumptions'!P97</f>
        <v>2792</v>
      </c>
      <c r="K97" s="901"/>
      <c r="L97" s="363">
        <f>'Budget with Assumptions'!R97</f>
        <v>1200</v>
      </c>
      <c r="M97" s="889"/>
      <c r="N97" s="363">
        <f>'Budget with Assumptions'!T97</f>
        <v>1200</v>
      </c>
      <c r="O97"/>
      <c r="P97" s="915">
        <f t="shared" si="25"/>
        <v>0.0005651732334988847</v>
      </c>
      <c r="Q97" s="915">
        <f t="shared" si="26"/>
        <v>0.0005395196309429222</v>
      </c>
      <c r="R97" s="915">
        <f t="shared" si="27"/>
        <v>0.0006091264494269175</v>
      </c>
      <c r="S97" s="915">
        <f t="shared" si="28"/>
        <v>0.00020995207444960247</v>
      </c>
      <c r="T97" s="915">
        <f t="shared" si="29"/>
        <v>0.00020916271356537474</v>
      </c>
      <c r="U97"/>
      <c r="V97" s="924">
        <f t="shared" si="30"/>
        <v>7.5</v>
      </c>
      <c r="W97" s="924">
        <f t="shared" si="31"/>
        <v>6.3</v>
      </c>
      <c r="X97" s="924">
        <f t="shared" si="32"/>
        <v>5.816666666666666</v>
      </c>
      <c r="Y97" s="924">
        <f t="shared" si="33"/>
        <v>1.875</v>
      </c>
      <c r="Z97" s="924">
        <f t="shared" si="34"/>
        <v>1.875</v>
      </c>
    </row>
    <row r="98" spans="1:26" ht="15">
      <c r="A98" s="710" t="str">
        <f>'Budget with Assumptions'!A98</f>
        <v>Administrative Equipment</v>
      </c>
      <c r="B98" s="42"/>
      <c r="C98" s="42"/>
      <c r="D98" s="363">
        <f>'Budget with Assumptions'!J98</f>
        <v>4200</v>
      </c>
      <c r="E98" s="900"/>
      <c r="F98" s="363">
        <f>'Budget with Assumptions'!L98</f>
        <v>300</v>
      </c>
      <c r="G98" s="900"/>
      <c r="H98" s="363">
        <f>'Budget with Assumptions'!N98</f>
        <v>9000</v>
      </c>
      <c r="I98" s="900"/>
      <c r="J98" s="363">
        <f>'Budget with Assumptions'!P98</f>
        <v>12900</v>
      </c>
      <c r="K98" s="901"/>
      <c r="L98" s="363">
        <f>'Budget with Assumptions'!R98</f>
        <v>17100</v>
      </c>
      <c r="M98" s="889"/>
      <c r="N98" s="363">
        <f>'Budget with Assumptions'!T98</f>
        <v>17100</v>
      </c>
      <c r="O98"/>
      <c r="P98" s="915">
        <f t="shared" si="25"/>
        <v>0.00014129330837472118</v>
      </c>
      <c r="Q98" s="915">
        <f t="shared" si="26"/>
        <v>0.002408569780995188</v>
      </c>
      <c r="R98" s="915">
        <f t="shared" si="27"/>
        <v>0.0028143736381114745</v>
      </c>
      <c r="S98" s="915">
        <f t="shared" si="28"/>
        <v>0.0029918170609068355</v>
      </c>
      <c r="T98" s="915">
        <f t="shared" si="29"/>
        <v>0.00298056866830659</v>
      </c>
      <c r="U98"/>
      <c r="V98" s="924">
        <f t="shared" si="30"/>
        <v>1.875</v>
      </c>
      <c r="W98" s="924">
        <f t="shared" si="31"/>
        <v>28.125</v>
      </c>
      <c r="X98" s="924">
        <f t="shared" si="32"/>
        <v>26.875</v>
      </c>
      <c r="Y98" s="924">
        <f t="shared" si="33"/>
        <v>26.71875</v>
      </c>
      <c r="Z98" s="924">
        <f t="shared" si="34"/>
        <v>26.71875</v>
      </c>
    </row>
    <row r="99" spans="1:26" ht="15">
      <c r="A99" s="710" t="str">
        <f>'Budget with Assumptions'!A99</f>
        <v>Accounting &amp; Audit (Contractual)</v>
      </c>
      <c r="B99" s="42"/>
      <c r="C99" s="42"/>
      <c r="D99" s="363">
        <f>'Budget with Assumptions'!J99</f>
        <v>0</v>
      </c>
      <c r="E99" s="900"/>
      <c r="F99" s="363">
        <f>'Budget with Assumptions'!L99</f>
        <v>13000</v>
      </c>
      <c r="G99" s="900"/>
      <c r="H99" s="363">
        <f>'Budget with Assumptions'!N99</f>
        <v>13260</v>
      </c>
      <c r="I99" s="900"/>
      <c r="J99" s="363">
        <f>'Budget with Assumptions'!P99</f>
        <v>13525.2</v>
      </c>
      <c r="K99" s="901"/>
      <c r="L99" s="363">
        <f>'Budget with Assumptions'!R99</f>
        <v>13795.704</v>
      </c>
      <c r="M99" s="889"/>
      <c r="N99" s="363">
        <f>'Budget with Assumptions'!T99</f>
        <v>14071.61808</v>
      </c>
      <c r="O99"/>
      <c r="P99" s="915">
        <f t="shared" si="25"/>
        <v>0.006122710029571252</v>
      </c>
      <c r="Q99" s="915">
        <f t="shared" si="26"/>
        <v>0.003548626143999577</v>
      </c>
      <c r="R99" s="915">
        <f t="shared" si="27"/>
        <v>0.0029507725837352957</v>
      </c>
      <c r="S99" s="915">
        <f t="shared" si="28"/>
        <v>0.0024136972277438986</v>
      </c>
      <c r="T99" s="915">
        <f t="shared" si="29"/>
        <v>0.0024527148515569907</v>
      </c>
      <c r="U99"/>
      <c r="V99" s="924">
        <f t="shared" si="30"/>
        <v>81.25</v>
      </c>
      <c r="W99" s="924">
        <f t="shared" si="31"/>
        <v>41.4375</v>
      </c>
      <c r="X99" s="924">
        <f t="shared" si="32"/>
        <v>28.177500000000002</v>
      </c>
      <c r="Y99" s="924">
        <f t="shared" si="33"/>
        <v>21.5557875</v>
      </c>
      <c r="Z99" s="924">
        <f t="shared" si="34"/>
        <v>21.98690325</v>
      </c>
    </row>
    <row r="100" spans="1:26" ht="15">
      <c r="A100" s="710" t="str">
        <f>'Budget with Assumptions'!A100</f>
        <v>Legal (Contractual)</v>
      </c>
      <c r="B100" s="42"/>
      <c r="C100" s="42"/>
      <c r="D100" s="363">
        <f>'Budget with Assumptions'!J100</f>
        <v>3000</v>
      </c>
      <c r="E100" s="900"/>
      <c r="F100" s="363">
        <f>'Budget with Assumptions'!L100</f>
        <v>10000</v>
      </c>
      <c r="G100" s="900"/>
      <c r="H100" s="363">
        <f>'Budget with Assumptions'!N100</f>
        <v>10000</v>
      </c>
      <c r="I100" s="900"/>
      <c r="J100" s="363">
        <f>'Budget with Assumptions'!P100</f>
        <v>10000</v>
      </c>
      <c r="K100" s="901"/>
      <c r="L100" s="363">
        <f>'Budget with Assumptions'!R100</f>
        <v>10000</v>
      </c>
      <c r="M100" s="889"/>
      <c r="N100" s="363">
        <f>'Budget with Assumptions'!T100</f>
        <v>10000</v>
      </c>
      <c r="O100"/>
      <c r="P100" s="915">
        <f t="shared" si="25"/>
        <v>0.0047097769458240395</v>
      </c>
      <c r="Q100" s="915">
        <f t="shared" si="26"/>
        <v>0.002676188645550209</v>
      </c>
      <c r="R100" s="915">
        <f t="shared" si="27"/>
        <v>0.0021816849907840886</v>
      </c>
      <c r="S100" s="915">
        <f t="shared" si="28"/>
        <v>0.001749600620413354</v>
      </c>
      <c r="T100" s="915">
        <f t="shared" si="29"/>
        <v>0.0017430226130447895</v>
      </c>
      <c r="U100"/>
      <c r="V100" s="924">
        <f t="shared" si="30"/>
        <v>62.5</v>
      </c>
      <c r="W100" s="924">
        <f t="shared" si="31"/>
        <v>31.25</v>
      </c>
      <c r="X100" s="924">
        <f t="shared" si="32"/>
        <v>20.833333333333332</v>
      </c>
      <c r="Y100" s="924">
        <f t="shared" si="33"/>
        <v>15.625</v>
      </c>
      <c r="Z100" s="924">
        <f t="shared" si="34"/>
        <v>15.625</v>
      </c>
    </row>
    <row r="101" spans="1:26" ht="15">
      <c r="A101" s="710" t="str">
        <f>'Budget with Assumptions'!A101</f>
        <v>Payroll Services (Contractual)</v>
      </c>
      <c r="B101" s="42"/>
      <c r="C101" s="42"/>
      <c r="D101" s="363">
        <f>'Budget with Assumptions'!J101</f>
        <v>0</v>
      </c>
      <c r="E101" s="900"/>
      <c r="F101" s="363">
        <f>'Budget with Assumptions'!L101</f>
        <v>0</v>
      </c>
      <c r="G101" s="900"/>
      <c r="H101" s="363">
        <f>'Budget with Assumptions'!N101</f>
        <v>0</v>
      </c>
      <c r="I101" s="900"/>
      <c r="J101" s="363">
        <f>'Budget with Assumptions'!P101</f>
        <v>0</v>
      </c>
      <c r="K101" s="901"/>
      <c r="L101" s="363">
        <f>'Budget with Assumptions'!R101</f>
        <v>0</v>
      </c>
      <c r="M101" s="889"/>
      <c r="N101" s="363">
        <f>'Budget with Assumptions'!T101</f>
        <v>0</v>
      </c>
      <c r="O101"/>
      <c r="P101" s="915">
        <f t="shared" si="25"/>
        <v>0</v>
      </c>
      <c r="Q101" s="915">
        <f t="shared" si="26"/>
        <v>0</v>
      </c>
      <c r="R101" s="915">
        <f t="shared" si="27"/>
        <v>0</v>
      </c>
      <c r="S101" s="915">
        <f t="shared" si="28"/>
        <v>0</v>
      </c>
      <c r="T101" s="915">
        <f t="shared" si="29"/>
        <v>0</v>
      </c>
      <c r="U101"/>
      <c r="V101" s="924">
        <f t="shared" si="30"/>
        <v>0</v>
      </c>
      <c r="W101" s="924">
        <f t="shared" si="31"/>
        <v>0</v>
      </c>
      <c r="X101" s="924">
        <f t="shared" si="32"/>
        <v>0</v>
      </c>
      <c r="Y101" s="924">
        <f t="shared" si="33"/>
        <v>0</v>
      </c>
      <c r="Z101" s="924">
        <f t="shared" si="34"/>
        <v>0</v>
      </c>
    </row>
    <row r="102" spans="1:26" ht="15">
      <c r="A102" s="710" t="str">
        <f>'Budget with Assumptions'!A102</f>
        <v>Printing &amp; Copying</v>
      </c>
      <c r="B102" s="42"/>
      <c r="C102" s="42"/>
      <c r="D102" s="363">
        <f>'Budget with Assumptions'!J102</f>
        <v>5000</v>
      </c>
      <c r="E102" s="900"/>
      <c r="F102" s="363">
        <f>'Budget with Assumptions'!L102</f>
        <v>8000</v>
      </c>
      <c r="G102" s="900"/>
      <c r="H102" s="363">
        <f>'Budget with Assumptions'!N102</f>
        <v>16320</v>
      </c>
      <c r="I102" s="900"/>
      <c r="J102" s="363">
        <f>'Budget with Assumptions'!P102</f>
        <v>24969.6</v>
      </c>
      <c r="K102" s="901"/>
      <c r="L102" s="363">
        <f>'Budget with Assumptions'!R102</f>
        <v>33958.655999999995</v>
      </c>
      <c r="M102" s="889"/>
      <c r="N102" s="363">
        <f>'Budget with Assumptions'!T102</f>
        <v>34637.82912</v>
      </c>
      <c r="O102"/>
      <c r="P102" s="915">
        <f t="shared" si="25"/>
        <v>0.0037678215566592315</v>
      </c>
      <c r="Q102" s="915">
        <f t="shared" si="26"/>
        <v>0.004367539869537941</v>
      </c>
      <c r="R102" s="915">
        <f t="shared" si="27"/>
        <v>0.005447580154588238</v>
      </c>
      <c r="S102" s="915">
        <f t="shared" si="28"/>
        <v>0.005941408560600366</v>
      </c>
      <c r="T102" s="915">
        <f t="shared" si="29"/>
        <v>0.006037451942294131</v>
      </c>
      <c r="U102"/>
      <c r="V102" s="924">
        <f t="shared" si="30"/>
        <v>50</v>
      </c>
      <c r="W102" s="924">
        <f t="shared" si="31"/>
        <v>51</v>
      </c>
      <c r="X102" s="924">
        <f t="shared" si="32"/>
        <v>52.019999999999996</v>
      </c>
      <c r="Y102" s="924">
        <f t="shared" si="33"/>
        <v>53.060399999999994</v>
      </c>
      <c r="Z102" s="924">
        <f t="shared" si="34"/>
        <v>54.121608</v>
      </c>
    </row>
    <row r="103" spans="1:26" ht="15">
      <c r="A103" s="710" t="str">
        <f>'Budget with Assumptions'!A103</f>
        <v>Postage &amp; Shipping</v>
      </c>
      <c r="B103" s="42"/>
      <c r="C103" s="42"/>
      <c r="D103" s="363">
        <f>'Budget with Assumptions'!J103</f>
        <v>0</v>
      </c>
      <c r="E103" s="900"/>
      <c r="F103" s="363">
        <f>'Budget with Assumptions'!L103</f>
        <v>4000</v>
      </c>
      <c r="G103" s="900"/>
      <c r="H103" s="363">
        <f>'Budget with Assumptions'!N103</f>
        <v>8160</v>
      </c>
      <c r="I103" s="900"/>
      <c r="J103" s="363">
        <f>'Budget with Assumptions'!P103</f>
        <v>12484.8</v>
      </c>
      <c r="K103" s="901"/>
      <c r="L103" s="363">
        <f>'Budget with Assumptions'!R103</f>
        <v>16979.327999999998</v>
      </c>
      <c r="M103" s="889"/>
      <c r="N103" s="363">
        <f>'Budget with Assumptions'!T103</f>
        <v>17318.91456</v>
      </c>
      <c r="O103"/>
      <c r="P103" s="915">
        <f t="shared" si="25"/>
        <v>0.0018839107783296157</v>
      </c>
      <c r="Q103" s="915">
        <f t="shared" si="26"/>
        <v>0.0021837699347689705</v>
      </c>
      <c r="R103" s="915">
        <f t="shared" si="27"/>
        <v>0.002723790077294119</v>
      </c>
      <c r="S103" s="915">
        <f t="shared" si="28"/>
        <v>0.002970704280300183</v>
      </c>
      <c r="T103" s="915">
        <f t="shared" si="29"/>
        <v>0.0030187259711470654</v>
      </c>
      <c r="U103"/>
      <c r="V103" s="924">
        <f t="shared" si="30"/>
        <v>25</v>
      </c>
      <c r="W103" s="924">
        <f t="shared" si="31"/>
        <v>25.5</v>
      </c>
      <c r="X103" s="924">
        <f t="shared" si="32"/>
        <v>26.009999999999998</v>
      </c>
      <c r="Y103" s="924">
        <f t="shared" si="33"/>
        <v>26.530199999999997</v>
      </c>
      <c r="Z103" s="924">
        <f t="shared" si="34"/>
        <v>27.060804</v>
      </c>
    </row>
    <row r="104" spans="1:26" ht="15">
      <c r="A104" s="710" t="str">
        <f>'Budget with Assumptions'!A104</f>
        <v>Other Contractual Services</v>
      </c>
      <c r="B104" s="42"/>
      <c r="C104" s="42"/>
      <c r="D104" s="363">
        <f>'Budget with Assumptions'!J104</f>
        <v>0</v>
      </c>
      <c r="E104" s="900"/>
      <c r="F104" s="363">
        <f>'Budget with Assumptions'!L104</f>
        <v>0</v>
      </c>
      <c r="G104" s="900"/>
      <c r="H104" s="363">
        <f>'Budget with Assumptions'!N104</f>
        <v>0</v>
      </c>
      <c r="I104" s="900"/>
      <c r="J104" s="363">
        <f>'Budget with Assumptions'!P104</f>
        <v>0</v>
      </c>
      <c r="K104" s="901"/>
      <c r="L104" s="363">
        <f>'Budget with Assumptions'!R104</f>
        <v>0</v>
      </c>
      <c r="M104" s="889"/>
      <c r="N104" s="363">
        <f>'Budget with Assumptions'!T104</f>
        <v>0</v>
      </c>
      <c r="O104"/>
      <c r="P104" s="915">
        <f t="shared" si="25"/>
        <v>0</v>
      </c>
      <c r="Q104" s="915">
        <f t="shared" si="26"/>
        <v>0</v>
      </c>
      <c r="R104" s="915">
        <f t="shared" si="27"/>
        <v>0</v>
      </c>
      <c r="S104" s="915">
        <f t="shared" si="28"/>
        <v>0</v>
      </c>
      <c r="T104" s="915">
        <f t="shared" si="29"/>
        <v>0</v>
      </c>
      <c r="U104"/>
      <c r="V104" s="924">
        <f t="shared" si="30"/>
        <v>0</v>
      </c>
      <c r="W104" s="924">
        <f t="shared" si="31"/>
        <v>0</v>
      </c>
      <c r="X104" s="924">
        <f t="shared" si="32"/>
        <v>0</v>
      </c>
      <c r="Y104" s="924">
        <f t="shared" si="33"/>
        <v>0</v>
      </c>
      <c r="Z104" s="924">
        <f t="shared" si="34"/>
        <v>0</v>
      </c>
    </row>
    <row r="105" spans="1:26" ht="15">
      <c r="A105" s="710" t="str">
        <f>'Budget with Assumptions'!A105</f>
        <v>Travel</v>
      </c>
      <c r="B105" s="42"/>
      <c r="C105" s="42"/>
      <c r="D105" s="363">
        <f>'Budget with Assumptions'!J105</f>
        <v>0</v>
      </c>
      <c r="E105" s="900"/>
      <c r="F105" s="363">
        <f>'Budget with Assumptions'!L105</f>
        <v>2000</v>
      </c>
      <c r="G105" s="900"/>
      <c r="H105" s="363">
        <f>'Budget with Assumptions'!N105</f>
        <v>2040</v>
      </c>
      <c r="I105" s="900"/>
      <c r="J105" s="363">
        <f>'Budget with Assumptions'!P105</f>
        <v>2080.8</v>
      </c>
      <c r="K105" s="901"/>
      <c r="L105" s="363">
        <f>'Budget with Assumptions'!R105</f>
        <v>2122.4159999999997</v>
      </c>
      <c r="M105" s="889"/>
      <c r="N105" s="363">
        <f>'Budget with Assumptions'!T105</f>
        <v>2164.86432</v>
      </c>
      <c r="O105"/>
      <c r="P105" s="915">
        <f t="shared" si="25"/>
        <v>0.0009419553891648079</v>
      </c>
      <c r="Q105" s="915">
        <f t="shared" si="26"/>
        <v>0.0005459424836922426</v>
      </c>
      <c r="R105" s="915">
        <f t="shared" si="27"/>
        <v>0.0004539650128823532</v>
      </c>
      <c r="S105" s="915">
        <f t="shared" si="28"/>
        <v>0.0003713380350375229</v>
      </c>
      <c r="T105" s="915">
        <f t="shared" si="29"/>
        <v>0.0003773407463933832</v>
      </c>
      <c r="U105"/>
      <c r="V105" s="924">
        <f t="shared" si="30"/>
        <v>12.5</v>
      </c>
      <c r="W105" s="924">
        <f t="shared" si="31"/>
        <v>6.375</v>
      </c>
      <c r="X105" s="924">
        <f t="shared" si="32"/>
        <v>4.335</v>
      </c>
      <c r="Y105" s="924">
        <f t="shared" si="33"/>
        <v>3.3162749999999996</v>
      </c>
      <c r="Z105" s="924">
        <f t="shared" si="34"/>
        <v>3.3826005</v>
      </c>
    </row>
    <row r="106" spans="1:26" ht="15">
      <c r="A106" s="710" t="str">
        <f>'Budget with Assumptions'!A106</f>
        <v>CPS Administrative Fee</v>
      </c>
      <c r="B106" s="42"/>
      <c r="C106" s="42"/>
      <c r="D106" s="363">
        <f>'Budget with Assumptions'!J106</f>
        <v>0</v>
      </c>
      <c r="E106" s="900"/>
      <c r="F106" s="363">
        <f>'Budget with Assumptions'!L106</f>
        <v>43297.77108</v>
      </c>
      <c r="G106" s="900"/>
      <c r="H106" s="363">
        <f>'Budget with Assumptions'!N106</f>
        <v>86776.53816</v>
      </c>
      <c r="I106" s="900"/>
      <c r="J106" s="363">
        <f>'Budget with Assumptions'!P106</f>
        <v>130279.36523999998</v>
      </c>
      <c r="K106" s="901"/>
      <c r="L106" s="363">
        <f>'Budget with Assumptions'!R106</f>
        <v>173758.13232</v>
      </c>
      <c r="M106" s="889"/>
      <c r="N106" s="363">
        <f>'Budget with Assumptions'!T106</f>
        <v>173963.18832</v>
      </c>
      <c r="O106"/>
      <c r="P106" s="915">
        <f t="shared" si="25"/>
        <v>0.020392284403815082</v>
      </c>
      <c r="Q106" s="915">
        <f t="shared" si="26"/>
        <v>0.02322303861239464</v>
      </c>
      <c r="R106" s="915">
        <f t="shared" si="27"/>
        <v>0.028422853575298626</v>
      </c>
      <c r="S106" s="915">
        <f t="shared" si="28"/>
        <v>0.030400733610893765</v>
      </c>
      <c r="T106" s="915">
        <f t="shared" si="29"/>
        <v>0.03032217710791292</v>
      </c>
      <c r="U106"/>
      <c r="V106" s="924">
        <f t="shared" si="30"/>
        <v>270.61106925</v>
      </c>
      <c r="W106" s="924">
        <f t="shared" si="31"/>
        <v>271.17668175</v>
      </c>
      <c r="X106" s="924">
        <f t="shared" si="32"/>
        <v>271.41534425</v>
      </c>
      <c r="Y106" s="924">
        <f t="shared" si="33"/>
        <v>271.49708175</v>
      </c>
      <c r="Z106" s="924">
        <f t="shared" si="34"/>
        <v>271.81748174999996</v>
      </c>
    </row>
    <row r="107" spans="1:26" ht="15">
      <c r="A107" s="710">
        <f>'Budget with Assumptions'!A107</f>
        <v>0</v>
      </c>
      <c r="B107" s="42"/>
      <c r="C107" s="42"/>
      <c r="D107" s="363">
        <f>'Budget with Assumptions'!J107</f>
        <v>0</v>
      </c>
      <c r="E107" s="900"/>
      <c r="F107" s="363">
        <f>'Budget with Assumptions'!L107</f>
        <v>0</v>
      </c>
      <c r="G107" s="900"/>
      <c r="H107" s="363">
        <f>'Budget with Assumptions'!N107</f>
        <v>0</v>
      </c>
      <c r="I107" s="900"/>
      <c r="J107" s="363">
        <f>'Budget with Assumptions'!P107</f>
        <v>0</v>
      </c>
      <c r="K107" s="901"/>
      <c r="L107" s="363">
        <f>'Budget with Assumptions'!R107</f>
        <v>0</v>
      </c>
      <c r="M107" s="889"/>
      <c r="N107" s="363">
        <f>'Budget with Assumptions'!T107</f>
        <v>0</v>
      </c>
      <c r="O107"/>
      <c r="P107" s="915">
        <f t="shared" si="25"/>
        <v>0</v>
      </c>
      <c r="Q107" s="915">
        <f t="shared" si="26"/>
        <v>0</v>
      </c>
      <c r="R107" s="915">
        <f t="shared" si="27"/>
        <v>0</v>
      </c>
      <c r="S107" s="915">
        <f t="shared" si="28"/>
        <v>0</v>
      </c>
      <c r="T107" s="915">
        <f t="shared" si="29"/>
        <v>0</v>
      </c>
      <c r="U107"/>
      <c r="V107" s="924">
        <f t="shared" si="30"/>
        <v>0</v>
      </c>
      <c r="W107" s="924">
        <f t="shared" si="31"/>
        <v>0</v>
      </c>
      <c r="X107" s="924">
        <f t="shared" si="32"/>
        <v>0</v>
      </c>
      <c r="Y107" s="924">
        <f t="shared" si="33"/>
        <v>0</v>
      </c>
      <c r="Z107" s="924">
        <f t="shared" si="34"/>
        <v>0</v>
      </c>
    </row>
    <row r="108" spans="1:26" ht="15">
      <c r="A108" s="710">
        <f>'Budget with Assumptions'!A108</f>
        <v>0</v>
      </c>
      <c r="B108" s="46"/>
      <c r="C108" s="46"/>
      <c r="D108" s="363">
        <f>'Budget with Assumptions'!J108</f>
        <v>0</v>
      </c>
      <c r="E108" s="900"/>
      <c r="F108" s="363">
        <f>'Budget with Assumptions'!L108</f>
        <v>0</v>
      </c>
      <c r="G108" s="900"/>
      <c r="H108" s="363">
        <f>'Budget with Assumptions'!N108</f>
        <v>0</v>
      </c>
      <c r="I108" s="900"/>
      <c r="J108" s="363">
        <f>'Budget with Assumptions'!P108</f>
        <v>0</v>
      </c>
      <c r="K108" s="901"/>
      <c r="L108" s="363">
        <f>'Budget with Assumptions'!R108</f>
        <v>0</v>
      </c>
      <c r="M108" s="889"/>
      <c r="N108" s="363">
        <f>'Budget with Assumptions'!T108</f>
        <v>0</v>
      </c>
      <c r="O108"/>
      <c r="P108" s="915">
        <f t="shared" si="25"/>
        <v>0</v>
      </c>
      <c r="Q108" s="915">
        <f t="shared" si="26"/>
        <v>0</v>
      </c>
      <c r="R108" s="915">
        <f t="shared" si="27"/>
        <v>0</v>
      </c>
      <c r="S108" s="915">
        <f t="shared" si="28"/>
        <v>0</v>
      </c>
      <c r="T108" s="915">
        <f t="shared" si="29"/>
        <v>0</v>
      </c>
      <c r="U108"/>
      <c r="V108" s="924">
        <f t="shared" si="30"/>
        <v>0</v>
      </c>
      <c r="W108" s="924">
        <f t="shared" si="31"/>
        <v>0</v>
      </c>
      <c r="X108" s="924">
        <f t="shared" si="32"/>
        <v>0</v>
      </c>
      <c r="Y108" s="924">
        <f t="shared" si="33"/>
        <v>0</v>
      </c>
      <c r="Z108" s="924">
        <f t="shared" si="34"/>
        <v>0</v>
      </c>
    </row>
    <row r="109" spans="1:26" ht="15">
      <c r="A109" s="710">
        <f>'Budget with Assumptions'!A109</f>
        <v>0</v>
      </c>
      <c r="B109" s="46"/>
      <c r="C109" s="46"/>
      <c r="D109" s="363">
        <f>'Budget with Assumptions'!J109</f>
        <v>0</v>
      </c>
      <c r="E109" s="900"/>
      <c r="F109" s="363">
        <f>'Budget with Assumptions'!L109</f>
        <v>0</v>
      </c>
      <c r="G109" s="900"/>
      <c r="H109" s="363">
        <f>'Budget with Assumptions'!N109</f>
        <v>0</v>
      </c>
      <c r="I109" s="900"/>
      <c r="J109" s="363">
        <f>'Budget with Assumptions'!P109</f>
        <v>0</v>
      </c>
      <c r="K109" s="901"/>
      <c r="L109" s="363">
        <f>'Budget with Assumptions'!R109</f>
        <v>0</v>
      </c>
      <c r="M109" s="889"/>
      <c r="N109" s="363">
        <f>'Budget with Assumptions'!T109</f>
        <v>0</v>
      </c>
      <c r="O109"/>
      <c r="P109" s="915">
        <f t="shared" si="25"/>
        <v>0</v>
      </c>
      <c r="Q109" s="915">
        <f t="shared" si="26"/>
        <v>0</v>
      </c>
      <c r="R109" s="915">
        <f t="shared" si="27"/>
        <v>0</v>
      </c>
      <c r="S109" s="915">
        <f t="shared" si="28"/>
        <v>0</v>
      </c>
      <c r="T109" s="915">
        <f t="shared" si="29"/>
        <v>0</v>
      </c>
      <c r="U109"/>
      <c r="V109" s="924">
        <f t="shared" si="30"/>
        <v>0</v>
      </c>
      <c r="W109" s="924">
        <f t="shared" si="31"/>
        <v>0</v>
      </c>
      <c r="X109" s="924">
        <f t="shared" si="32"/>
        <v>0</v>
      </c>
      <c r="Y109" s="924">
        <f t="shared" si="33"/>
        <v>0</v>
      </c>
      <c r="Z109" s="924">
        <f t="shared" si="34"/>
        <v>0</v>
      </c>
    </row>
    <row r="110" spans="1:26" ht="15">
      <c r="A110" s="710">
        <f>'Budget with Assumptions'!A110</f>
        <v>0</v>
      </c>
      <c r="B110" s="46"/>
      <c r="C110" s="46"/>
      <c r="D110" s="363">
        <f>'Budget with Assumptions'!J110</f>
        <v>0</v>
      </c>
      <c r="E110" s="900"/>
      <c r="F110" s="363">
        <f>'Budget with Assumptions'!L110</f>
        <v>0</v>
      </c>
      <c r="G110" s="900"/>
      <c r="H110" s="363">
        <f>'Budget with Assumptions'!N110</f>
        <v>0</v>
      </c>
      <c r="I110" s="900"/>
      <c r="J110" s="363">
        <f>'Budget with Assumptions'!P110</f>
        <v>0</v>
      </c>
      <c r="K110" s="901"/>
      <c r="L110" s="363">
        <f>'Budget with Assumptions'!R110</f>
        <v>0</v>
      </c>
      <c r="M110" s="889"/>
      <c r="N110" s="363">
        <f>'Budget with Assumptions'!T110</f>
        <v>0</v>
      </c>
      <c r="O110"/>
      <c r="P110" s="915">
        <f t="shared" si="25"/>
        <v>0</v>
      </c>
      <c r="Q110" s="915">
        <f t="shared" si="26"/>
        <v>0</v>
      </c>
      <c r="R110" s="915">
        <f t="shared" si="27"/>
        <v>0</v>
      </c>
      <c r="S110" s="915">
        <f t="shared" si="28"/>
        <v>0</v>
      </c>
      <c r="T110" s="915">
        <f t="shared" si="29"/>
        <v>0</v>
      </c>
      <c r="U110"/>
      <c r="V110" s="924">
        <f t="shared" si="30"/>
        <v>0</v>
      </c>
      <c r="W110" s="924">
        <f t="shared" si="31"/>
        <v>0</v>
      </c>
      <c r="X110" s="924">
        <f t="shared" si="32"/>
        <v>0</v>
      </c>
      <c r="Y110" s="924">
        <f t="shared" si="33"/>
        <v>0</v>
      </c>
      <c r="Z110" s="924">
        <f t="shared" si="34"/>
        <v>0</v>
      </c>
    </row>
    <row r="111" spans="1:26" ht="15">
      <c r="A111" s="710">
        <f>'Budget with Assumptions'!A111</f>
        <v>0</v>
      </c>
      <c r="B111" s="46"/>
      <c r="C111" s="46"/>
      <c r="D111" s="363">
        <f>'Budget with Assumptions'!J111</f>
        <v>0</v>
      </c>
      <c r="E111" s="900"/>
      <c r="F111" s="363">
        <f>'Budget with Assumptions'!L111</f>
        <v>0</v>
      </c>
      <c r="G111" s="900"/>
      <c r="H111" s="363">
        <f>'Budget with Assumptions'!N111</f>
        <v>0</v>
      </c>
      <c r="I111" s="900"/>
      <c r="J111" s="363">
        <f>'Budget with Assumptions'!P111</f>
        <v>0</v>
      </c>
      <c r="K111" s="901"/>
      <c r="L111" s="363">
        <f>'Budget with Assumptions'!R111</f>
        <v>0</v>
      </c>
      <c r="M111" s="889"/>
      <c r="N111" s="363">
        <f>'Budget with Assumptions'!T111</f>
        <v>0</v>
      </c>
      <c r="O111"/>
      <c r="P111" s="915">
        <f t="shared" si="25"/>
        <v>0</v>
      </c>
      <c r="Q111" s="915">
        <f t="shared" si="26"/>
        <v>0</v>
      </c>
      <c r="R111" s="915">
        <f t="shared" si="27"/>
        <v>0</v>
      </c>
      <c r="S111" s="915">
        <f t="shared" si="28"/>
        <v>0</v>
      </c>
      <c r="T111" s="915">
        <f t="shared" si="29"/>
        <v>0</v>
      </c>
      <c r="U111"/>
      <c r="V111" s="924">
        <f t="shared" si="30"/>
        <v>0</v>
      </c>
      <c r="W111" s="924">
        <f t="shared" si="31"/>
        <v>0</v>
      </c>
      <c r="X111" s="924">
        <f t="shared" si="32"/>
        <v>0</v>
      </c>
      <c r="Y111" s="924">
        <f t="shared" si="33"/>
        <v>0</v>
      </c>
      <c r="Z111" s="924">
        <f t="shared" si="34"/>
        <v>0</v>
      </c>
    </row>
    <row r="112" spans="1:26" ht="15">
      <c r="A112" s="710">
        <f>'Budget with Assumptions'!A112</f>
        <v>0</v>
      </c>
      <c r="B112" s="46"/>
      <c r="C112" s="46"/>
      <c r="D112" s="363">
        <f>'Budget with Assumptions'!J112</f>
        <v>0</v>
      </c>
      <c r="E112" s="900"/>
      <c r="F112" s="363">
        <f>'Budget with Assumptions'!L112</f>
        <v>0</v>
      </c>
      <c r="G112" s="900"/>
      <c r="H112" s="363">
        <f>'Budget with Assumptions'!N112</f>
        <v>0</v>
      </c>
      <c r="I112" s="900"/>
      <c r="J112" s="363">
        <f>'Budget with Assumptions'!P112</f>
        <v>0</v>
      </c>
      <c r="K112" s="901"/>
      <c r="L112" s="363">
        <f>'Budget with Assumptions'!R112</f>
        <v>0</v>
      </c>
      <c r="M112" s="889"/>
      <c r="N112" s="363">
        <f>'Budget with Assumptions'!T112</f>
        <v>0</v>
      </c>
      <c r="O112"/>
      <c r="P112" s="915">
        <f t="shared" si="25"/>
        <v>0</v>
      </c>
      <c r="Q112" s="915">
        <f t="shared" si="26"/>
        <v>0</v>
      </c>
      <c r="R112" s="915">
        <f t="shared" si="27"/>
        <v>0</v>
      </c>
      <c r="S112" s="915">
        <f t="shared" si="28"/>
        <v>0</v>
      </c>
      <c r="T112" s="915">
        <f t="shared" si="29"/>
        <v>0</v>
      </c>
      <c r="U112"/>
      <c r="V112" s="924">
        <f t="shared" si="30"/>
        <v>0</v>
      </c>
      <c r="W112" s="924">
        <f t="shared" si="31"/>
        <v>0</v>
      </c>
      <c r="X112" s="924">
        <f t="shared" si="32"/>
        <v>0</v>
      </c>
      <c r="Y112" s="924">
        <f t="shared" si="33"/>
        <v>0</v>
      </c>
      <c r="Z112" s="924">
        <f t="shared" si="34"/>
        <v>0</v>
      </c>
    </row>
    <row r="113" spans="1:26" ht="15">
      <c r="A113" s="710">
        <f>'Budget with Assumptions'!A113</f>
        <v>0</v>
      </c>
      <c r="B113" s="46"/>
      <c r="C113" s="46"/>
      <c r="D113" s="363">
        <f>'Budget with Assumptions'!J113</f>
        <v>0</v>
      </c>
      <c r="E113" s="900"/>
      <c r="F113" s="363">
        <f>'Budget with Assumptions'!L113</f>
        <v>0</v>
      </c>
      <c r="G113" s="900"/>
      <c r="H113" s="363">
        <f>'Budget with Assumptions'!N113</f>
        <v>0</v>
      </c>
      <c r="I113" s="900"/>
      <c r="J113" s="363">
        <f>'Budget with Assumptions'!P113</f>
        <v>0</v>
      </c>
      <c r="K113" s="901"/>
      <c r="L113" s="363">
        <f>'Budget with Assumptions'!R113</f>
        <v>0</v>
      </c>
      <c r="M113" s="889"/>
      <c r="N113" s="363">
        <f>'Budget with Assumptions'!T113</f>
        <v>0</v>
      </c>
      <c r="O113"/>
      <c r="P113" s="915">
        <f t="shared" si="25"/>
        <v>0</v>
      </c>
      <c r="Q113" s="915">
        <f t="shared" si="26"/>
        <v>0</v>
      </c>
      <c r="R113" s="915">
        <f t="shared" si="27"/>
        <v>0</v>
      </c>
      <c r="S113" s="915">
        <f t="shared" si="28"/>
        <v>0</v>
      </c>
      <c r="T113" s="915">
        <f t="shared" si="29"/>
        <v>0</v>
      </c>
      <c r="U113"/>
      <c r="V113" s="924">
        <f t="shared" si="30"/>
        <v>0</v>
      </c>
      <c r="W113" s="924">
        <f t="shared" si="31"/>
        <v>0</v>
      </c>
      <c r="X113" s="924">
        <f t="shared" si="32"/>
        <v>0</v>
      </c>
      <c r="Y113" s="924">
        <f t="shared" si="33"/>
        <v>0</v>
      </c>
      <c r="Z113" s="924">
        <f t="shared" si="34"/>
        <v>0</v>
      </c>
    </row>
    <row r="114" spans="1:26" ht="15">
      <c r="A114" s="702">
        <f>'Budget with Assumptions'!A114</f>
        <v>0</v>
      </c>
      <c r="B114" s="46"/>
      <c r="C114" s="46"/>
      <c r="D114" s="363">
        <f>'Budget with Assumptions'!J114</f>
        <v>0</v>
      </c>
      <c r="E114" s="900"/>
      <c r="F114" s="363">
        <f>'Budget with Assumptions'!L114</f>
        <v>0</v>
      </c>
      <c r="G114" s="900"/>
      <c r="H114" s="363">
        <f>'Budget with Assumptions'!N114</f>
        <v>0</v>
      </c>
      <c r="I114" s="900"/>
      <c r="J114" s="363">
        <f>'Budget with Assumptions'!P114</f>
        <v>0</v>
      </c>
      <c r="K114" s="901"/>
      <c r="L114" s="363">
        <f>'Budget with Assumptions'!R114</f>
        <v>0</v>
      </c>
      <c r="M114" s="889"/>
      <c r="N114" s="363">
        <f>'Budget with Assumptions'!T114</f>
        <v>0</v>
      </c>
      <c r="O114"/>
      <c r="P114" s="915">
        <f t="shared" si="25"/>
        <v>0</v>
      </c>
      <c r="Q114" s="915">
        <f t="shared" si="26"/>
        <v>0</v>
      </c>
      <c r="R114" s="915">
        <f t="shared" si="27"/>
        <v>0</v>
      </c>
      <c r="S114" s="915">
        <f t="shared" si="28"/>
        <v>0</v>
      </c>
      <c r="T114" s="915">
        <f t="shared" si="29"/>
        <v>0</v>
      </c>
      <c r="U114"/>
      <c r="V114" s="924">
        <f t="shared" si="30"/>
        <v>0</v>
      </c>
      <c r="W114" s="924">
        <f t="shared" si="31"/>
        <v>0</v>
      </c>
      <c r="X114" s="924">
        <f t="shared" si="32"/>
        <v>0</v>
      </c>
      <c r="Y114" s="924">
        <f t="shared" si="33"/>
        <v>0</v>
      </c>
      <c r="Z114" s="924">
        <f t="shared" si="34"/>
        <v>0</v>
      </c>
    </row>
    <row r="115" spans="1:26" ht="15.75" thickBot="1">
      <c r="A115" s="40"/>
      <c r="B115" s="46"/>
      <c r="C115" s="46"/>
      <c r="D115" s="907"/>
      <c r="E115" s="900"/>
      <c r="F115" s="907"/>
      <c r="G115" s="900"/>
      <c r="H115" s="907"/>
      <c r="I115" s="900"/>
      <c r="J115" s="907"/>
      <c r="K115" s="901"/>
      <c r="L115" s="881"/>
      <c r="M115" s="889"/>
      <c r="N115" s="881"/>
      <c r="O115"/>
      <c r="P115" s="916"/>
      <c r="Q115" s="916"/>
      <c r="R115" s="916"/>
      <c r="S115" s="916"/>
      <c r="T115" s="916"/>
      <c r="U115"/>
      <c r="V115" s="741"/>
      <c r="W115" s="741"/>
      <c r="X115" s="741"/>
      <c r="Y115" s="741"/>
      <c r="Z115" s="741"/>
    </row>
    <row r="116" spans="1:26" ht="15.75" thickBot="1">
      <c r="A116" s="382" t="str">
        <f>'Budget with Assumptions'!H116</f>
        <v>Total Office Administration</v>
      </c>
      <c r="B116" s="42"/>
      <c r="C116" s="42"/>
      <c r="D116" s="485">
        <f>SUM(D95:D114)</f>
        <v>15000</v>
      </c>
      <c r="E116" s="359"/>
      <c r="F116" s="485">
        <f>SUM(F95:F114)</f>
        <v>91797.77108</v>
      </c>
      <c r="G116" s="359"/>
      <c r="H116" s="485">
        <f>SUM(H95:H114)</f>
        <v>157772.53816</v>
      </c>
      <c r="I116" s="359"/>
      <c r="J116" s="485">
        <f>SUM(J95:J114)</f>
        <v>219435.76523999998</v>
      </c>
      <c r="K116" s="360"/>
      <c r="L116" s="485">
        <f>SUM(L95:L114)</f>
        <v>279526.31632</v>
      </c>
      <c r="M116" s="874"/>
      <c r="N116" s="485">
        <f>SUM(N95:N114)</f>
        <v>281280.736</v>
      </c>
      <c r="O116"/>
      <c r="P116" s="704">
        <f>SUM(P95:P114)</f>
        <v>0.04323470259106167</v>
      </c>
      <c r="Q116" s="704">
        <f>SUM(Q95:Q114)</f>
        <v>0.042222907520342905</v>
      </c>
      <c r="R116" s="704">
        <f>SUM(R95:R114)</f>
        <v>0.047873971546532876</v>
      </c>
      <c r="S116" s="704">
        <f>SUM(S95:S114)</f>
        <v>0.04890594164553314</v>
      </c>
      <c r="T116" s="704">
        <f>SUM(T95:T114)</f>
        <v>0.04902786834618816</v>
      </c>
      <c r="U116"/>
      <c r="V116" s="706">
        <f>SUM(V95:V114)</f>
        <v>573.73606925</v>
      </c>
      <c r="W116" s="706">
        <f>SUM(W95:W114)</f>
        <v>493.03918175</v>
      </c>
      <c r="X116" s="706">
        <f>SUM(X95:X114)</f>
        <v>457.1578442499999</v>
      </c>
      <c r="Y116" s="706">
        <f>SUM(Y95:Y114)</f>
        <v>436.75986925</v>
      </c>
      <c r="Z116" s="706">
        <f>SUM(Z95:Z114)</f>
        <v>439.50114999999994</v>
      </c>
    </row>
    <row r="117" spans="1:26" ht="15.75" thickBot="1">
      <c r="A117" s="53"/>
      <c r="B117" s="38"/>
      <c r="C117" s="38"/>
      <c r="D117" s="741"/>
      <c r="E117" s="741"/>
      <c r="F117" s="741"/>
      <c r="G117" s="741"/>
      <c r="H117" s="741"/>
      <c r="I117" s="741"/>
      <c r="J117" s="741"/>
      <c r="K117" s="875"/>
      <c r="L117" s="741"/>
      <c r="M117" s="875"/>
      <c r="N117" s="741"/>
      <c r="P117" s="916"/>
      <c r="Q117" s="916"/>
      <c r="R117" s="916"/>
      <c r="S117" s="916"/>
      <c r="T117" s="916"/>
      <c r="V117" s="741"/>
      <c r="W117" s="741"/>
      <c r="X117" s="741"/>
      <c r="Y117" s="741"/>
      <c r="Z117" s="741"/>
    </row>
    <row r="118" spans="1:26" ht="18" thickBot="1">
      <c r="A118" s="703" t="s">
        <v>238</v>
      </c>
      <c r="B118" s="55"/>
      <c r="C118" s="55"/>
      <c r="D118" s="907"/>
      <c r="E118" s="900"/>
      <c r="F118" s="907"/>
      <c r="G118" s="900"/>
      <c r="H118" s="907"/>
      <c r="I118" s="900"/>
      <c r="J118" s="907"/>
      <c r="K118" s="901"/>
      <c r="L118" s="907"/>
      <c r="M118" s="889"/>
      <c r="N118" s="907"/>
      <c r="O118"/>
      <c r="P118" s="916"/>
      <c r="Q118" s="916"/>
      <c r="R118" s="916"/>
      <c r="S118" s="916"/>
      <c r="T118" s="916"/>
      <c r="U118"/>
      <c r="V118" s="741"/>
      <c r="W118" s="741"/>
      <c r="X118" s="741"/>
      <c r="Y118" s="741"/>
      <c r="Z118" s="741"/>
    </row>
    <row r="119" spans="1:26" ht="18.75" customHeight="1">
      <c r="A119" s="710" t="str">
        <f>'Budget with Assumptions'!A119</f>
        <v>Rent</v>
      </c>
      <c r="B119" s="38"/>
      <c r="C119" s="38"/>
      <c r="D119" s="363">
        <f>'Budget with Assumptions'!J119</f>
        <v>0</v>
      </c>
      <c r="E119" s="900"/>
      <c r="F119" s="363">
        <f>'Budget with Assumptions'!L119</f>
        <v>0</v>
      </c>
      <c r="G119" s="900"/>
      <c r="H119" s="363">
        <f>'Budget with Assumptions'!N119</f>
        <v>0</v>
      </c>
      <c r="I119" s="900"/>
      <c r="J119" s="363">
        <f>'Budget with Assumptions'!P119</f>
        <v>0</v>
      </c>
      <c r="K119" s="901"/>
      <c r="L119" s="363">
        <f>'Budget with Assumptions'!R119</f>
        <v>0</v>
      </c>
      <c r="M119" s="889"/>
      <c r="N119" s="363">
        <f>'Budget with Assumptions'!T119</f>
        <v>0</v>
      </c>
      <c r="O119"/>
      <c r="P119" s="915">
        <f aca="true" t="shared" si="35" ref="P119:P136">F119/$F$159</f>
        <v>0</v>
      </c>
      <c r="Q119" s="915">
        <f aca="true" t="shared" si="36" ref="Q119:Q136">H119/$H$159</f>
        <v>0</v>
      </c>
      <c r="R119" s="915">
        <f aca="true" t="shared" si="37" ref="R119:R136">J119/$J$159</f>
        <v>0</v>
      </c>
      <c r="S119" s="915">
        <f aca="true" t="shared" si="38" ref="S119:S136">L119/$L$159</f>
        <v>0</v>
      </c>
      <c r="T119" s="915">
        <f aca="true" t="shared" si="39" ref="T119:T136">N119/$N$159</f>
        <v>0</v>
      </c>
      <c r="U119"/>
      <c r="V119" s="924">
        <f>F119/$F$178</f>
        <v>0</v>
      </c>
      <c r="W119" s="924">
        <f>H119/$H$178</f>
        <v>0</v>
      </c>
      <c r="X119" s="924">
        <f>J119/$J$178</f>
        <v>0</v>
      </c>
      <c r="Y119" s="924">
        <f>L119/$L$178</f>
        <v>0</v>
      </c>
      <c r="Z119" s="924">
        <f>N119/$N$178</f>
        <v>0</v>
      </c>
    </row>
    <row r="120" spans="1:26" ht="15">
      <c r="A120" s="710" t="str">
        <f>'Budget with Assumptions'!A120</f>
        <v>Utilities</v>
      </c>
      <c r="B120" s="42"/>
      <c r="C120" s="42"/>
      <c r="D120" s="363">
        <f>'Budget with Assumptions'!J120</f>
        <v>0</v>
      </c>
      <c r="E120" s="900"/>
      <c r="F120" s="363">
        <f>'Budget with Assumptions'!L120</f>
        <v>0</v>
      </c>
      <c r="G120" s="900"/>
      <c r="H120" s="363">
        <f>'Budget with Assumptions'!N120</f>
        <v>0</v>
      </c>
      <c r="I120" s="900"/>
      <c r="J120" s="363">
        <f>'Budget with Assumptions'!P120</f>
        <v>0</v>
      </c>
      <c r="K120" s="901"/>
      <c r="L120" s="363">
        <f>'Budget with Assumptions'!R120</f>
        <v>0</v>
      </c>
      <c r="M120" s="889"/>
      <c r="N120" s="363">
        <f>'Budget with Assumptions'!T120</f>
        <v>0</v>
      </c>
      <c r="O120"/>
      <c r="P120" s="915">
        <f t="shared" si="35"/>
        <v>0</v>
      </c>
      <c r="Q120" s="915">
        <f t="shared" si="36"/>
        <v>0</v>
      </c>
      <c r="R120" s="915">
        <f t="shared" si="37"/>
        <v>0</v>
      </c>
      <c r="S120" s="915">
        <f t="shared" si="38"/>
        <v>0</v>
      </c>
      <c r="T120" s="915">
        <f t="shared" si="39"/>
        <v>0</v>
      </c>
      <c r="U120"/>
      <c r="V120" s="924">
        <f aca="true" t="shared" si="40" ref="V120:V136">F120/$F$178</f>
        <v>0</v>
      </c>
      <c r="W120" s="924">
        <f aca="true" t="shared" si="41" ref="W120:W136">H120/$H$178</f>
        <v>0</v>
      </c>
      <c r="X120" s="924">
        <f aca="true" t="shared" si="42" ref="X120:X136">J120/$J$178</f>
        <v>0</v>
      </c>
      <c r="Y120" s="924">
        <f aca="true" t="shared" si="43" ref="Y120:Y136">L120/$L$178</f>
        <v>0</v>
      </c>
      <c r="Z120" s="924">
        <f aca="true" t="shared" si="44" ref="Z120:Z136">N120/$N$178</f>
        <v>0</v>
      </c>
    </row>
    <row r="121" spans="1:26" ht="15">
      <c r="A121" s="710" t="str">
        <f>'Budget with Assumptions'!A121</f>
        <v>Repairs &amp; Maintenance</v>
      </c>
      <c r="B121" s="42"/>
      <c r="C121" s="42"/>
      <c r="D121" s="363">
        <f>'Budget with Assumptions'!J121</f>
        <v>0</v>
      </c>
      <c r="E121" s="900"/>
      <c r="F121" s="363">
        <f>'Budget with Assumptions'!L121</f>
        <v>0</v>
      </c>
      <c r="G121" s="900"/>
      <c r="H121" s="363">
        <f>'Budget with Assumptions'!N121</f>
        <v>0</v>
      </c>
      <c r="I121" s="900"/>
      <c r="J121" s="363">
        <f>'Budget with Assumptions'!P121</f>
        <v>0</v>
      </c>
      <c r="K121" s="901"/>
      <c r="L121" s="363">
        <f>'Budget with Assumptions'!R121</f>
        <v>0</v>
      </c>
      <c r="M121" s="889"/>
      <c r="N121" s="363">
        <f>'Budget with Assumptions'!T121</f>
        <v>0</v>
      </c>
      <c r="O121"/>
      <c r="P121" s="915">
        <f t="shared" si="35"/>
        <v>0</v>
      </c>
      <c r="Q121" s="915">
        <f t="shared" si="36"/>
        <v>0</v>
      </c>
      <c r="R121" s="915">
        <f t="shared" si="37"/>
        <v>0</v>
      </c>
      <c r="S121" s="915">
        <f t="shared" si="38"/>
        <v>0</v>
      </c>
      <c r="T121" s="915">
        <f t="shared" si="39"/>
        <v>0</v>
      </c>
      <c r="U121"/>
      <c r="V121" s="924">
        <f t="shared" si="40"/>
        <v>0</v>
      </c>
      <c r="W121" s="924">
        <f t="shared" si="41"/>
        <v>0</v>
      </c>
      <c r="X121" s="924">
        <f t="shared" si="42"/>
        <v>0</v>
      </c>
      <c r="Y121" s="924">
        <f t="shared" si="43"/>
        <v>0</v>
      </c>
      <c r="Z121" s="924">
        <f t="shared" si="44"/>
        <v>0</v>
      </c>
    </row>
    <row r="122" spans="1:26" ht="15">
      <c r="A122" s="710" t="str">
        <f>'Budget with Assumptions'!A122</f>
        <v>Supplies</v>
      </c>
      <c r="B122" s="42"/>
      <c r="C122" s="42"/>
      <c r="D122" s="363">
        <f>'Budget with Assumptions'!J122</f>
        <v>0</v>
      </c>
      <c r="E122" s="900"/>
      <c r="F122" s="363">
        <f>'Budget with Assumptions'!L122</f>
        <v>0</v>
      </c>
      <c r="G122" s="900"/>
      <c r="H122" s="363">
        <f>'Budget with Assumptions'!N122</f>
        <v>0</v>
      </c>
      <c r="I122" s="900"/>
      <c r="J122" s="363">
        <f>'Budget with Assumptions'!P122</f>
        <v>0</v>
      </c>
      <c r="K122" s="901"/>
      <c r="L122" s="363">
        <f>'Budget with Assumptions'!R122</f>
        <v>0</v>
      </c>
      <c r="M122" s="889"/>
      <c r="N122" s="363">
        <f>'Budget with Assumptions'!T122</f>
        <v>0</v>
      </c>
      <c r="O122"/>
      <c r="P122" s="915">
        <f t="shared" si="35"/>
        <v>0</v>
      </c>
      <c r="Q122" s="915">
        <f t="shared" si="36"/>
        <v>0</v>
      </c>
      <c r="R122" s="915">
        <f t="shared" si="37"/>
        <v>0</v>
      </c>
      <c r="S122" s="915">
        <f t="shared" si="38"/>
        <v>0</v>
      </c>
      <c r="T122" s="915">
        <f t="shared" si="39"/>
        <v>0</v>
      </c>
      <c r="U122"/>
      <c r="V122" s="924">
        <f t="shared" si="40"/>
        <v>0</v>
      </c>
      <c r="W122" s="924">
        <f t="shared" si="41"/>
        <v>0</v>
      </c>
      <c r="X122" s="924">
        <f t="shared" si="42"/>
        <v>0</v>
      </c>
      <c r="Y122" s="924">
        <f t="shared" si="43"/>
        <v>0</v>
      </c>
      <c r="Z122" s="924">
        <f t="shared" si="44"/>
        <v>0</v>
      </c>
    </row>
    <row r="123" spans="1:26" ht="15">
      <c r="A123" s="710" t="str">
        <f>'Budget with Assumptions'!A123</f>
        <v>Contracted Services-Security</v>
      </c>
      <c r="B123" s="42"/>
      <c r="C123" s="42"/>
      <c r="D123" s="363">
        <f>'Budget with Assumptions'!J123</f>
        <v>0</v>
      </c>
      <c r="E123" s="900"/>
      <c r="F123" s="363">
        <f>'Budget with Assumptions'!L123</f>
        <v>0</v>
      </c>
      <c r="G123" s="900"/>
      <c r="H123" s="363">
        <f>'Budget with Assumptions'!N123</f>
        <v>0</v>
      </c>
      <c r="I123" s="900"/>
      <c r="J123" s="363">
        <f>'Budget with Assumptions'!P123</f>
        <v>0</v>
      </c>
      <c r="K123" s="901"/>
      <c r="L123" s="363">
        <f>'Budget with Assumptions'!R123</f>
        <v>0</v>
      </c>
      <c r="M123" s="889"/>
      <c r="N123" s="363">
        <f>'Budget with Assumptions'!T123</f>
        <v>0</v>
      </c>
      <c r="O123"/>
      <c r="P123" s="915">
        <f t="shared" si="35"/>
        <v>0</v>
      </c>
      <c r="Q123" s="915">
        <f t="shared" si="36"/>
        <v>0</v>
      </c>
      <c r="R123" s="915">
        <f t="shared" si="37"/>
        <v>0</v>
      </c>
      <c r="S123" s="915">
        <f t="shared" si="38"/>
        <v>0</v>
      </c>
      <c r="T123" s="915">
        <f t="shared" si="39"/>
        <v>0</v>
      </c>
      <c r="U123"/>
      <c r="V123" s="924">
        <f t="shared" si="40"/>
        <v>0</v>
      </c>
      <c r="W123" s="924">
        <f t="shared" si="41"/>
        <v>0</v>
      </c>
      <c r="X123" s="924">
        <f t="shared" si="42"/>
        <v>0</v>
      </c>
      <c r="Y123" s="924">
        <f t="shared" si="43"/>
        <v>0</v>
      </c>
      <c r="Z123" s="924">
        <f t="shared" si="44"/>
        <v>0</v>
      </c>
    </row>
    <row r="124" spans="1:26" ht="15">
      <c r="A124" s="710" t="str">
        <f>'Budget with Assumptions'!A124</f>
        <v>Contracted Services-Custodial</v>
      </c>
      <c r="B124" s="42"/>
      <c r="C124" s="42"/>
      <c r="D124" s="363">
        <f>'Budget with Assumptions'!J124</f>
        <v>0</v>
      </c>
      <c r="E124" s="900"/>
      <c r="F124" s="363">
        <f>'Budget with Assumptions'!L124</f>
        <v>0</v>
      </c>
      <c r="G124" s="900"/>
      <c r="H124" s="363">
        <f>'Budget with Assumptions'!N124</f>
        <v>0</v>
      </c>
      <c r="I124" s="900"/>
      <c r="J124" s="363">
        <f>'Budget with Assumptions'!P124</f>
        <v>0</v>
      </c>
      <c r="K124" s="901"/>
      <c r="L124" s="363">
        <f>'Budget with Assumptions'!R124</f>
        <v>0</v>
      </c>
      <c r="M124" s="889"/>
      <c r="N124" s="363">
        <f>'Budget with Assumptions'!T124</f>
        <v>0</v>
      </c>
      <c r="O124"/>
      <c r="P124" s="915">
        <f t="shared" si="35"/>
        <v>0</v>
      </c>
      <c r="Q124" s="915">
        <f t="shared" si="36"/>
        <v>0</v>
      </c>
      <c r="R124" s="915">
        <f t="shared" si="37"/>
        <v>0</v>
      </c>
      <c r="S124" s="915">
        <f t="shared" si="38"/>
        <v>0</v>
      </c>
      <c r="T124" s="915">
        <f t="shared" si="39"/>
        <v>0</v>
      </c>
      <c r="U124"/>
      <c r="V124" s="924">
        <f t="shared" si="40"/>
        <v>0</v>
      </c>
      <c r="W124" s="924">
        <f t="shared" si="41"/>
        <v>0</v>
      </c>
      <c r="X124" s="924">
        <f t="shared" si="42"/>
        <v>0</v>
      </c>
      <c r="Y124" s="924">
        <f t="shared" si="43"/>
        <v>0</v>
      </c>
      <c r="Z124" s="924">
        <f t="shared" si="44"/>
        <v>0</v>
      </c>
    </row>
    <row r="125" spans="1:26" ht="15">
      <c r="A125" s="710" t="str">
        <f>'Budget with Assumptions'!A125</f>
        <v>Contracted Services-(Trash Removal, Snow Removal, Grounds, etc.)</v>
      </c>
      <c r="B125" s="42"/>
      <c r="C125" s="42"/>
      <c r="D125" s="363">
        <f>'Budget with Assumptions'!J125</f>
        <v>0</v>
      </c>
      <c r="E125" s="900"/>
      <c r="F125" s="363">
        <f>'Budget with Assumptions'!L125</f>
        <v>0</v>
      </c>
      <c r="G125" s="900"/>
      <c r="H125" s="363">
        <f>'Budget with Assumptions'!N125</f>
        <v>0</v>
      </c>
      <c r="I125" s="900"/>
      <c r="J125" s="363">
        <f>'Budget with Assumptions'!P125</f>
        <v>0</v>
      </c>
      <c r="K125" s="901"/>
      <c r="L125" s="363">
        <f>'Budget with Assumptions'!R125</f>
        <v>0</v>
      </c>
      <c r="M125" s="889"/>
      <c r="N125" s="363">
        <f>'Budget with Assumptions'!T125</f>
        <v>0</v>
      </c>
      <c r="O125"/>
      <c r="P125" s="915">
        <f t="shared" si="35"/>
        <v>0</v>
      </c>
      <c r="Q125" s="915">
        <f t="shared" si="36"/>
        <v>0</v>
      </c>
      <c r="R125" s="915">
        <f t="shared" si="37"/>
        <v>0</v>
      </c>
      <c r="S125" s="915">
        <f t="shared" si="38"/>
        <v>0</v>
      </c>
      <c r="T125" s="915">
        <f t="shared" si="39"/>
        <v>0</v>
      </c>
      <c r="U125"/>
      <c r="V125" s="924">
        <f t="shared" si="40"/>
        <v>0</v>
      </c>
      <c r="W125" s="924">
        <f t="shared" si="41"/>
        <v>0</v>
      </c>
      <c r="X125" s="924">
        <f t="shared" si="42"/>
        <v>0</v>
      </c>
      <c r="Y125" s="924">
        <f t="shared" si="43"/>
        <v>0</v>
      </c>
      <c r="Z125" s="924">
        <f t="shared" si="44"/>
        <v>0</v>
      </c>
    </row>
    <row r="126" spans="1:26" ht="15">
      <c r="A126" s="710" t="str">
        <f>'Budget with Assumptions'!A126</f>
        <v>Contracted Services-Other</v>
      </c>
      <c r="B126" s="42"/>
      <c r="C126" s="42"/>
      <c r="D126" s="363">
        <f>'Budget with Assumptions'!J126</f>
        <v>0</v>
      </c>
      <c r="E126" s="900"/>
      <c r="F126" s="363">
        <f>'Budget with Assumptions'!L126</f>
        <v>0</v>
      </c>
      <c r="G126" s="900"/>
      <c r="H126" s="363">
        <f>'Budget with Assumptions'!N126</f>
        <v>0</v>
      </c>
      <c r="I126" s="900"/>
      <c r="J126" s="363">
        <f>'Budget with Assumptions'!P126</f>
        <v>0</v>
      </c>
      <c r="K126" s="901"/>
      <c r="L126" s="363">
        <f>'Budget with Assumptions'!R126</f>
        <v>0</v>
      </c>
      <c r="M126" s="889"/>
      <c r="N126" s="363">
        <f>'Budget with Assumptions'!T126</f>
        <v>0</v>
      </c>
      <c r="O126"/>
      <c r="P126" s="915">
        <f t="shared" si="35"/>
        <v>0</v>
      </c>
      <c r="Q126" s="915">
        <f t="shared" si="36"/>
        <v>0</v>
      </c>
      <c r="R126" s="915">
        <f t="shared" si="37"/>
        <v>0</v>
      </c>
      <c r="S126" s="915">
        <f t="shared" si="38"/>
        <v>0</v>
      </c>
      <c r="T126" s="915">
        <f t="shared" si="39"/>
        <v>0</v>
      </c>
      <c r="U126"/>
      <c r="V126" s="924">
        <f t="shared" si="40"/>
        <v>0</v>
      </c>
      <c r="W126" s="924">
        <f t="shared" si="41"/>
        <v>0</v>
      </c>
      <c r="X126" s="924">
        <f t="shared" si="42"/>
        <v>0</v>
      </c>
      <c r="Y126" s="924">
        <f t="shared" si="43"/>
        <v>0</v>
      </c>
      <c r="Z126" s="924">
        <f t="shared" si="44"/>
        <v>0</v>
      </c>
    </row>
    <row r="127" spans="1:26" ht="15">
      <c r="A127" s="710" t="str">
        <f>'Budget with Assumptions'!A127</f>
        <v>Insurance</v>
      </c>
      <c r="B127" s="46"/>
      <c r="C127" s="46"/>
      <c r="D127" s="363">
        <f>'Budget with Assumptions'!J127</f>
        <v>0</v>
      </c>
      <c r="E127" s="900"/>
      <c r="F127" s="363">
        <f>'Budget with Assumptions'!L127</f>
        <v>0</v>
      </c>
      <c r="G127" s="900"/>
      <c r="H127" s="363">
        <f>'Budget with Assumptions'!N127</f>
        <v>0</v>
      </c>
      <c r="I127" s="900"/>
      <c r="J127" s="363">
        <f>'Budget with Assumptions'!P127</f>
        <v>0</v>
      </c>
      <c r="K127" s="901"/>
      <c r="L127" s="363">
        <f>'Budget with Assumptions'!R127</f>
        <v>0</v>
      </c>
      <c r="M127" s="889"/>
      <c r="N127" s="363">
        <f>'Budget with Assumptions'!T127</f>
        <v>0</v>
      </c>
      <c r="O127"/>
      <c r="P127" s="915">
        <f t="shared" si="35"/>
        <v>0</v>
      </c>
      <c r="Q127" s="915">
        <f t="shared" si="36"/>
        <v>0</v>
      </c>
      <c r="R127" s="915">
        <f t="shared" si="37"/>
        <v>0</v>
      </c>
      <c r="S127" s="915">
        <f t="shared" si="38"/>
        <v>0</v>
      </c>
      <c r="T127" s="915">
        <f t="shared" si="39"/>
        <v>0</v>
      </c>
      <c r="U127"/>
      <c r="V127" s="924">
        <f t="shared" si="40"/>
        <v>0</v>
      </c>
      <c r="W127" s="924">
        <f t="shared" si="41"/>
        <v>0</v>
      </c>
      <c r="X127" s="924">
        <f t="shared" si="42"/>
        <v>0</v>
      </c>
      <c r="Y127" s="924">
        <f t="shared" si="43"/>
        <v>0</v>
      </c>
      <c r="Z127" s="924">
        <f t="shared" si="44"/>
        <v>0</v>
      </c>
    </row>
    <row r="128" spans="1:26" ht="15">
      <c r="A128" s="710" t="str">
        <f>'Budget with Assumptions'!A128</f>
        <v>Facility Loan Debt Service (P &amp; I)</v>
      </c>
      <c r="B128" s="46"/>
      <c r="C128" s="46"/>
      <c r="D128" s="363">
        <f>'Budget with Assumptions'!J128</f>
        <v>0</v>
      </c>
      <c r="E128" s="900"/>
      <c r="F128" s="363">
        <f>'Budget with Assumptions'!L128</f>
        <v>0</v>
      </c>
      <c r="G128" s="900"/>
      <c r="H128" s="363">
        <f>'Budget with Assumptions'!N128</f>
        <v>0</v>
      </c>
      <c r="I128" s="900"/>
      <c r="J128" s="363">
        <f>'Budget with Assumptions'!P128</f>
        <v>0</v>
      </c>
      <c r="K128" s="901"/>
      <c r="L128" s="363">
        <f>'Budget with Assumptions'!R128</f>
        <v>0</v>
      </c>
      <c r="M128" s="889"/>
      <c r="N128" s="363">
        <f>'Budget with Assumptions'!T128</f>
        <v>0</v>
      </c>
      <c r="O128"/>
      <c r="P128" s="915">
        <f t="shared" si="35"/>
        <v>0</v>
      </c>
      <c r="Q128" s="915">
        <f t="shared" si="36"/>
        <v>0</v>
      </c>
      <c r="R128" s="915">
        <f t="shared" si="37"/>
        <v>0</v>
      </c>
      <c r="S128" s="915">
        <f t="shared" si="38"/>
        <v>0</v>
      </c>
      <c r="T128" s="915">
        <f t="shared" si="39"/>
        <v>0</v>
      </c>
      <c r="U128"/>
      <c r="V128" s="924">
        <f t="shared" si="40"/>
        <v>0</v>
      </c>
      <c r="W128" s="924">
        <f t="shared" si="41"/>
        <v>0</v>
      </c>
      <c r="X128" s="924">
        <f t="shared" si="42"/>
        <v>0</v>
      </c>
      <c r="Y128" s="924">
        <f t="shared" si="43"/>
        <v>0</v>
      </c>
      <c r="Z128" s="924">
        <f t="shared" si="44"/>
        <v>0</v>
      </c>
    </row>
    <row r="129" spans="1:26" ht="15">
      <c r="A129" s="710">
        <f>'Budget with Assumptions'!A129</f>
        <v>0</v>
      </c>
      <c r="B129" s="46"/>
      <c r="C129" s="46"/>
      <c r="D129" s="363">
        <f>'Budget with Assumptions'!J129</f>
        <v>0</v>
      </c>
      <c r="E129" s="900"/>
      <c r="F129" s="363">
        <f>'Budget with Assumptions'!L129</f>
        <v>0</v>
      </c>
      <c r="G129" s="900"/>
      <c r="H129" s="363">
        <f>'Budget with Assumptions'!N129</f>
        <v>0</v>
      </c>
      <c r="I129" s="900"/>
      <c r="J129" s="363">
        <f>'Budget with Assumptions'!P129</f>
        <v>0</v>
      </c>
      <c r="K129" s="901"/>
      <c r="L129" s="363">
        <f>'Budget with Assumptions'!R129</f>
        <v>0</v>
      </c>
      <c r="M129" s="889"/>
      <c r="N129" s="363">
        <f>'Budget with Assumptions'!T129</f>
        <v>0</v>
      </c>
      <c r="O129"/>
      <c r="P129" s="915">
        <f t="shared" si="35"/>
        <v>0</v>
      </c>
      <c r="Q129" s="915">
        <f t="shared" si="36"/>
        <v>0</v>
      </c>
      <c r="R129" s="915">
        <f t="shared" si="37"/>
        <v>0</v>
      </c>
      <c r="S129" s="915">
        <f t="shared" si="38"/>
        <v>0</v>
      </c>
      <c r="T129" s="915">
        <f t="shared" si="39"/>
        <v>0</v>
      </c>
      <c r="U129"/>
      <c r="V129" s="924">
        <f t="shared" si="40"/>
        <v>0</v>
      </c>
      <c r="W129" s="924">
        <f t="shared" si="41"/>
        <v>0</v>
      </c>
      <c r="X129" s="924">
        <f t="shared" si="42"/>
        <v>0</v>
      </c>
      <c r="Y129" s="924">
        <f t="shared" si="43"/>
        <v>0</v>
      </c>
      <c r="Z129" s="924">
        <f t="shared" si="44"/>
        <v>0</v>
      </c>
    </row>
    <row r="130" spans="1:26" ht="15">
      <c r="A130" s="710">
        <f>'Budget with Assumptions'!A130</f>
        <v>0</v>
      </c>
      <c r="B130" s="46"/>
      <c r="C130" s="46"/>
      <c r="D130" s="363">
        <f>'Budget with Assumptions'!J130</f>
        <v>0</v>
      </c>
      <c r="E130" s="900"/>
      <c r="F130" s="363">
        <f>'Budget with Assumptions'!L130</f>
        <v>0</v>
      </c>
      <c r="G130" s="900"/>
      <c r="H130" s="363">
        <f>'Budget with Assumptions'!N130</f>
        <v>0</v>
      </c>
      <c r="I130" s="900"/>
      <c r="J130" s="363">
        <f>'Budget with Assumptions'!P130</f>
        <v>0</v>
      </c>
      <c r="K130" s="901"/>
      <c r="L130" s="363">
        <f>'Budget with Assumptions'!R130</f>
        <v>0</v>
      </c>
      <c r="M130" s="889"/>
      <c r="N130" s="363">
        <f>'Budget with Assumptions'!T130</f>
        <v>0</v>
      </c>
      <c r="O130"/>
      <c r="P130" s="915">
        <f t="shared" si="35"/>
        <v>0</v>
      </c>
      <c r="Q130" s="915">
        <f t="shared" si="36"/>
        <v>0</v>
      </c>
      <c r="R130" s="915">
        <f t="shared" si="37"/>
        <v>0</v>
      </c>
      <c r="S130" s="915">
        <f t="shared" si="38"/>
        <v>0</v>
      </c>
      <c r="T130" s="915">
        <f t="shared" si="39"/>
        <v>0</v>
      </c>
      <c r="U130"/>
      <c r="V130" s="924">
        <f t="shared" si="40"/>
        <v>0</v>
      </c>
      <c r="W130" s="924">
        <f t="shared" si="41"/>
        <v>0</v>
      </c>
      <c r="X130" s="924">
        <f t="shared" si="42"/>
        <v>0</v>
      </c>
      <c r="Y130" s="924">
        <f t="shared" si="43"/>
        <v>0</v>
      </c>
      <c r="Z130" s="924">
        <f t="shared" si="44"/>
        <v>0</v>
      </c>
    </row>
    <row r="131" spans="1:26" ht="15">
      <c r="A131" s="710">
        <f>'Budget with Assumptions'!A131</f>
        <v>0</v>
      </c>
      <c r="B131" s="46"/>
      <c r="C131" s="46"/>
      <c r="D131" s="363">
        <f>'Budget with Assumptions'!J131</f>
        <v>0</v>
      </c>
      <c r="E131" s="900"/>
      <c r="F131" s="363">
        <f>'Budget with Assumptions'!L131</f>
        <v>0</v>
      </c>
      <c r="G131" s="900"/>
      <c r="H131" s="363">
        <f>'Budget with Assumptions'!N131</f>
        <v>0</v>
      </c>
      <c r="I131" s="900"/>
      <c r="J131" s="363">
        <f>'Budget with Assumptions'!P131</f>
        <v>0</v>
      </c>
      <c r="K131" s="901"/>
      <c r="L131" s="363">
        <f>'Budget with Assumptions'!R131</f>
        <v>0</v>
      </c>
      <c r="M131" s="889"/>
      <c r="N131" s="363">
        <f>'Budget with Assumptions'!T131</f>
        <v>0</v>
      </c>
      <c r="O131"/>
      <c r="P131" s="915">
        <f t="shared" si="35"/>
        <v>0</v>
      </c>
      <c r="Q131" s="915">
        <f t="shared" si="36"/>
        <v>0</v>
      </c>
      <c r="R131" s="915">
        <f t="shared" si="37"/>
        <v>0</v>
      </c>
      <c r="S131" s="915">
        <f t="shared" si="38"/>
        <v>0</v>
      </c>
      <c r="T131" s="915">
        <f t="shared" si="39"/>
        <v>0</v>
      </c>
      <c r="U131"/>
      <c r="V131" s="924">
        <f t="shared" si="40"/>
        <v>0</v>
      </c>
      <c r="W131" s="924">
        <f t="shared" si="41"/>
        <v>0</v>
      </c>
      <c r="X131" s="924">
        <f t="shared" si="42"/>
        <v>0</v>
      </c>
      <c r="Y131" s="924">
        <f t="shared" si="43"/>
        <v>0</v>
      </c>
      <c r="Z131" s="924">
        <f t="shared" si="44"/>
        <v>0</v>
      </c>
    </row>
    <row r="132" spans="1:26" ht="15">
      <c r="A132" s="710">
        <f>'Budget with Assumptions'!A132</f>
        <v>0</v>
      </c>
      <c r="B132" s="46"/>
      <c r="C132" s="46"/>
      <c r="D132" s="363">
        <f>'Budget with Assumptions'!J132</f>
        <v>0</v>
      </c>
      <c r="E132" s="900"/>
      <c r="F132" s="363">
        <f>'Budget with Assumptions'!L132</f>
        <v>0</v>
      </c>
      <c r="G132" s="900"/>
      <c r="H132" s="363">
        <f>'Budget with Assumptions'!N132</f>
        <v>0</v>
      </c>
      <c r="I132" s="900"/>
      <c r="J132" s="363">
        <f>'Budget with Assumptions'!P132</f>
        <v>0</v>
      </c>
      <c r="K132" s="901"/>
      <c r="L132" s="363">
        <f>'Budget with Assumptions'!R132</f>
        <v>0</v>
      </c>
      <c r="M132" s="889"/>
      <c r="N132" s="363">
        <f>'Budget with Assumptions'!T132</f>
        <v>0</v>
      </c>
      <c r="O132"/>
      <c r="P132" s="915">
        <f t="shared" si="35"/>
        <v>0</v>
      </c>
      <c r="Q132" s="915">
        <f t="shared" si="36"/>
        <v>0</v>
      </c>
      <c r="R132" s="915">
        <f t="shared" si="37"/>
        <v>0</v>
      </c>
      <c r="S132" s="915">
        <f t="shared" si="38"/>
        <v>0</v>
      </c>
      <c r="T132" s="915">
        <f t="shared" si="39"/>
        <v>0</v>
      </c>
      <c r="U132"/>
      <c r="V132" s="924">
        <f t="shared" si="40"/>
        <v>0</v>
      </c>
      <c r="W132" s="924">
        <f t="shared" si="41"/>
        <v>0</v>
      </c>
      <c r="X132" s="924">
        <f t="shared" si="42"/>
        <v>0</v>
      </c>
      <c r="Y132" s="924">
        <f t="shared" si="43"/>
        <v>0</v>
      </c>
      <c r="Z132" s="924">
        <f t="shared" si="44"/>
        <v>0</v>
      </c>
    </row>
    <row r="133" spans="1:26" ht="15">
      <c r="A133" s="710">
        <f>'Budget with Assumptions'!A133</f>
        <v>0</v>
      </c>
      <c r="B133" s="46"/>
      <c r="C133" s="46"/>
      <c r="D133" s="363">
        <f>'Budget with Assumptions'!J133</f>
        <v>0</v>
      </c>
      <c r="E133" s="900"/>
      <c r="F133" s="363">
        <f>'Budget with Assumptions'!L133</f>
        <v>0</v>
      </c>
      <c r="G133" s="900"/>
      <c r="H133" s="363">
        <f>'Budget with Assumptions'!N133</f>
        <v>0</v>
      </c>
      <c r="I133" s="900"/>
      <c r="J133" s="363">
        <f>'Budget with Assumptions'!P133</f>
        <v>0</v>
      </c>
      <c r="K133" s="901"/>
      <c r="L133" s="363">
        <f>'Budget with Assumptions'!R133</f>
        <v>0</v>
      </c>
      <c r="M133" s="889"/>
      <c r="N133" s="363">
        <f>'Budget with Assumptions'!T133</f>
        <v>0</v>
      </c>
      <c r="O133"/>
      <c r="P133" s="915">
        <f t="shared" si="35"/>
        <v>0</v>
      </c>
      <c r="Q133" s="915">
        <f t="shared" si="36"/>
        <v>0</v>
      </c>
      <c r="R133" s="915">
        <f t="shared" si="37"/>
        <v>0</v>
      </c>
      <c r="S133" s="915">
        <f t="shared" si="38"/>
        <v>0</v>
      </c>
      <c r="T133" s="915">
        <f t="shared" si="39"/>
        <v>0</v>
      </c>
      <c r="U133"/>
      <c r="V133" s="924">
        <f t="shared" si="40"/>
        <v>0</v>
      </c>
      <c r="W133" s="924">
        <f t="shared" si="41"/>
        <v>0</v>
      </c>
      <c r="X133" s="924">
        <f t="shared" si="42"/>
        <v>0</v>
      </c>
      <c r="Y133" s="924">
        <f t="shared" si="43"/>
        <v>0</v>
      </c>
      <c r="Z133" s="924">
        <f t="shared" si="44"/>
        <v>0</v>
      </c>
    </row>
    <row r="134" spans="1:26" ht="15">
      <c r="A134" s="710">
        <f>'Budget with Assumptions'!A134</f>
        <v>0</v>
      </c>
      <c r="B134" s="46"/>
      <c r="C134" s="46"/>
      <c r="D134" s="363">
        <f>'Budget with Assumptions'!J134</f>
        <v>0</v>
      </c>
      <c r="E134" s="900"/>
      <c r="F134" s="363">
        <f>'Budget with Assumptions'!L134</f>
        <v>0</v>
      </c>
      <c r="G134" s="900"/>
      <c r="H134" s="363">
        <f>'Budget with Assumptions'!N134</f>
        <v>0</v>
      </c>
      <c r="I134" s="900"/>
      <c r="J134" s="363">
        <f>'Budget with Assumptions'!P134</f>
        <v>0</v>
      </c>
      <c r="K134" s="901"/>
      <c r="L134" s="363">
        <f>'Budget with Assumptions'!R134</f>
        <v>0</v>
      </c>
      <c r="M134" s="889"/>
      <c r="N134" s="363">
        <f>'Budget with Assumptions'!T134</f>
        <v>0</v>
      </c>
      <c r="O134"/>
      <c r="P134" s="915">
        <f t="shared" si="35"/>
        <v>0</v>
      </c>
      <c r="Q134" s="915">
        <f t="shared" si="36"/>
        <v>0</v>
      </c>
      <c r="R134" s="915">
        <f t="shared" si="37"/>
        <v>0</v>
      </c>
      <c r="S134" s="915">
        <f t="shared" si="38"/>
        <v>0</v>
      </c>
      <c r="T134" s="915">
        <f t="shared" si="39"/>
        <v>0</v>
      </c>
      <c r="U134"/>
      <c r="V134" s="924">
        <f t="shared" si="40"/>
        <v>0</v>
      </c>
      <c r="W134" s="924">
        <f t="shared" si="41"/>
        <v>0</v>
      </c>
      <c r="X134" s="924">
        <f t="shared" si="42"/>
        <v>0</v>
      </c>
      <c r="Y134" s="924">
        <f t="shared" si="43"/>
        <v>0</v>
      </c>
      <c r="Z134" s="924">
        <f t="shared" si="44"/>
        <v>0</v>
      </c>
    </row>
    <row r="135" spans="1:26" ht="15">
      <c r="A135" s="710">
        <f>'Budget with Assumptions'!A135</f>
        <v>0</v>
      </c>
      <c r="B135" s="46"/>
      <c r="C135" s="46"/>
      <c r="D135" s="363">
        <f>'Budget with Assumptions'!J135</f>
        <v>0</v>
      </c>
      <c r="E135" s="900"/>
      <c r="F135" s="363">
        <f>'Budget with Assumptions'!L135</f>
        <v>0</v>
      </c>
      <c r="G135" s="900"/>
      <c r="H135" s="363">
        <f>'Budget with Assumptions'!N135</f>
        <v>0</v>
      </c>
      <c r="I135" s="900"/>
      <c r="J135" s="363">
        <f>'Budget with Assumptions'!P135</f>
        <v>0</v>
      </c>
      <c r="K135" s="901"/>
      <c r="L135" s="363">
        <f>'Budget with Assumptions'!R135</f>
        <v>0</v>
      </c>
      <c r="M135" s="889"/>
      <c r="N135" s="363">
        <f>'Budget with Assumptions'!T135</f>
        <v>0</v>
      </c>
      <c r="O135"/>
      <c r="P135" s="915">
        <f t="shared" si="35"/>
        <v>0</v>
      </c>
      <c r="Q135" s="915">
        <f t="shared" si="36"/>
        <v>0</v>
      </c>
      <c r="R135" s="915">
        <f t="shared" si="37"/>
        <v>0</v>
      </c>
      <c r="S135" s="915">
        <f t="shared" si="38"/>
        <v>0</v>
      </c>
      <c r="T135" s="915">
        <f t="shared" si="39"/>
        <v>0</v>
      </c>
      <c r="U135"/>
      <c r="V135" s="924">
        <f t="shared" si="40"/>
        <v>0</v>
      </c>
      <c r="W135" s="924">
        <f t="shared" si="41"/>
        <v>0</v>
      </c>
      <c r="X135" s="924">
        <f t="shared" si="42"/>
        <v>0</v>
      </c>
      <c r="Y135" s="924">
        <f t="shared" si="43"/>
        <v>0</v>
      </c>
      <c r="Z135" s="924">
        <f t="shared" si="44"/>
        <v>0</v>
      </c>
    </row>
    <row r="136" spans="1:26" ht="15">
      <c r="A136" s="710">
        <f>'Budget with Assumptions'!A136</f>
        <v>0</v>
      </c>
      <c r="B136" s="46"/>
      <c r="C136" s="46"/>
      <c r="D136" s="363">
        <f>'Budget with Assumptions'!J136</f>
        <v>0</v>
      </c>
      <c r="E136" s="900"/>
      <c r="F136" s="363">
        <f>'Budget with Assumptions'!L136</f>
        <v>0</v>
      </c>
      <c r="G136" s="900"/>
      <c r="H136" s="363">
        <f>'Budget with Assumptions'!N136</f>
        <v>0</v>
      </c>
      <c r="I136" s="900"/>
      <c r="J136" s="363">
        <f>'Budget with Assumptions'!P136</f>
        <v>0</v>
      </c>
      <c r="K136" s="901"/>
      <c r="L136" s="363">
        <f>'Budget with Assumptions'!R136</f>
        <v>0</v>
      </c>
      <c r="M136" s="889"/>
      <c r="N136" s="363">
        <f>'Budget with Assumptions'!T136</f>
        <v>0</v>
      </c>
      <c r="O136"/>
      <c r="P136" s="915">
        <f t="shared" si="35"/>
        <v>0</v>
      </c>
      <c r="Q136" s="915">
        <f t="shared" si="36"/>
        <v>0</v>
      </c>
      <c r="R136" s="915">
        <f t="shared" si="37"/>
        <v>0</v>
      </c>
      <c r="S136" s="915">
        <f t="shared" si="38"/>
        <v>0</v>
      </c>
      <c r="T136" s="915">
        <f t="shared" si="39"/>
        <v>0</v>
      </c>
      <c r="U136"/>
      <c r="V136" s="924">
        <f t="shared" si="40"/>
        <v>0</v>
      </c>
      <c r="W136" s="924">
        <f t="shared" si="41"/>
        <v>0</v>
      </c>
      <c r="X136" s="924">
        <f t="shared" si="42"/>
        <v>0</v>
      </c>
      <c r="Y136" s="924">
        <f t="shared" si="43"/>
        <v>0</v>
      </c>
      <c r="Z136" s="924">
        <f t="shared" si="44"/>
        <v>0</v>
      </c>
    </row>
    <row r="137" spans="1:26" ht="15.75" thickBot="1">
      <c r="A137" s="45"/>
      <c r="B137" s="46"/>
      <c r="C137" s="46"/>
      <c r="D137" s="907"/>
      <c r="E137" s="900"/>
      <c r="F137" s="907"/>
      <c r="G137" s="900"/>
      <c r="H137" s="907"/>
      <c r="I137" s="900"/>
      <c r="J137" s="907"/>
      <c r="K137" s="901"/>
      <c r="L137" s="881"/>
      <c r="M137" s="889"/>
      <c r="N137" s="881"/>
      <c r="O137"/>
      <c r="P137" s="916"/>
      <c r="Q137" s="916"/>
      <c r="R137" s="916"/>
      <c r="S137" s="916"/>
      <c r="T137" s="916"/>
      <c r="U137"/>
      <c r="V137" s="741"/>
      <c r="W137" s="741"/>
      <c r="X137" s="741"/>
      <c r="Y137" s="741"/>
      <c r="Z137" s="741"/>
    </row>
    <row r="138" spans="1:26" ht="15.75" thickBot="1">
      <c r="A138" s="382" t="str">
        <f>'Budget with Assumptions'!H138</f>
        <v>Total Occupancy</v>
      </c>
      <c r="B138" s="46"/>
      <c r="C138" s="46"/>
      <c r="D138" s="485">
        <f>SUM(D119:D136)</f>
        <v>0</v>
      </c>
      <c r="E138" s="359"/>
      <c r="F138" s="485">
        <f>SUM(F119:F136)</f>
        <v>0</v>
      </c>
      <c r="G138" s="359"/>
      <c r="H138" s="485">
        <f>SUM(H119:H136)</f>
        <v>0</v>
      </c>
      <c r="I138" s="359"/>
      <c r="J138" s="485">
        <f>SUM(J119:J136)</f>
        <v>0</v>
      </c>
      <c r="K138" s="360"/>
      <c r="L138" s="485">
        <f>SUM(L119:L136)</f>
        <v>0</v>
      </c>
      <c r="M138" s="874"/>
      <c r="N138" s="485">
        <f>SUM(N119:N136)</f>
        <v>0</v>
      </c>
      <c r="O138"/>
      <c r="P138" s="704">
        <f>SUM(P119:P136)</f>
        <v>0</v>
      </c>
      <c r="Q138" s="704">
        <f>SUM(Q119:Q136)</f>
        <v>0</v>
      </c>
      <c r="R138" s="704">
        <f>SUM(R119:R136)</f>
        <v>0</v>
      </c>
      <c r="S138" s="704">
        <f>SUM(S119:S136)</f>
        <v>0</v>
      </c>
      <c r="T138" s="704">
        <f>SUM(T119:T136)</f>
        <v>0</v>
      </c>
      <c r="U138"/>
      <c r="V138" s="706">
        <f>SUM(V119:V136)</f>
        <v>0</v>
      </c>
      <c r="W138" s="706">
        <f>SUM(W119:W136)</f>
        <v>0</v>
      </c>
      <c r="X138" s="706">
        <f>SUM(X119:X136)</f>
        <v>0</v>
      </c>
      <c r="Y138" s="706">
        <f>SUM(Y119:Y136)</f>
        <v>0</v>
      </c>
      <c r="Z138" s="706">
        <f>SUM(Z119:Z136)</f>
        <v>0</v>
      </c>
    </row>
    <row r="139" spans="1:26" ht="15.75" thickBot="1">
      <c r="A139" s="57"/>
      <c r="B139" s="38"/>
      <c r="C139" s="38"/>
      <c r="D139" s="907"/>
      <c r="E139" s="908"/>
      <c r="F139" s="907"/>
      <c r="G139" s="908"/>
      <c r="H139" s="907"/>
      <c r="I139" s="908"/>
      <c r="J139" s="907"/>
      <c r="K139" s="909"/>
      <c r="L139" s="881"/>
      <c r="M139" s="883"/>
      <c r="N139" s="881"/>
      <c r="O139"/>
      <c r="P139" s="916"/>
      <c r="Q139" s="916"/>
      <c r="R139" s="916"/>
      <c r="S139" s="916"/>
      <c r="T139" s="916"/>
      <c r="U139"/>
      <c r="V139" s="741"/>
      <c r="W139" s="741"/>
      <c r="X139" s="741"/>
      <c r="Y139" s="741"/>
      <c r="Z139" s="741"/>
    </row>
    <row r="140" spans="1:26" ht="15.75" thickBot="1">
      <c r="A140" s="287" t="str">
        <f>'Budget with Assumptions'!H140</f>
        <v>Education Management Organization Fee</v>
      </c>
      <c r="B140" s="58"/>
      <c r="C140" s="58"/>
      <c r="D140" s="363">
        <f>'Budget with Assumptions'!J140</f>
        <v>0</v>
      </c>
      <c r="E140" s="359"/>
      <c r="F140" s="363">
        <f>'Budget with Assumptions'!L140</f>
        <v>0</v>
      </c>
      <c r="G140" s="900"/>
      <c r="H140" s="363">
        <f>'Budget with Assumptions'!N140</f>
        <v>0</v>
      </c>
      <c r="I140" s="900"/>
      <c r="J140" s="363">
        <f>'Budget with Assumptions'!P140</f>
        <v>0</v>
      </c>
      <c r="K140" s="901"/>
      <c r="L140" s="363">
        <f>'Budget with Assumptions'!R140</f>
        <v>0</v>
      </c>
      <c r="M140" s="889"/>
      <c r="N140" s="363">
        <f>'Budget with Assumptions'!T140</f>
        <v>0</v>
      </c>
      <c r="O140"/>
      <c r="P140" s="917">
        <f>F140/$F$159</f>
        <v>0</v>
      </c>
      <c r="Q140" s="917">
        <f>H140/$H$159</f>
        <v>0</v>
      </c>
      <c r="R140" s="917">
        <f>J140/$J$159</f>
        <v>0</v>
      </c>
      <c r="S140" s="917">
        <f>L140/$L$159</f>
        <v>0</v>
      </c>
      <c r="T140" s="917">
        <f>N140/$N$159</f>
        <v>0</v>
      </c>
      <c r="U140"/>
      <c r="V140" s="922">
        <f>F140/$F$178</f>
        <v>0</v>
      </c>
      <c r="W140" s="922">
        <f>H140/$H$178</f>
        <v>0</v>
      </c>
      <c r="X140" s="922">
        <f>J140/$J$178</f>
        <v>0</v>
      </c>
      <c r="Y140" s="922">
        <f>L140/$L$178</f>
        <v>0</v>
      </c>
      <c r="Z140" s="922">
        <f>N140/$N$178</f>
        <v>0</v>
      </c>
    </row>
    <row r="141" spans="1:26" ht="18.75" customHeight="1" thickBot="1">
      <c r="A141" s="57"/>
      <c r="B141" s="38"/>
      <c r="C141" s="38"/>
      <c r="D141" s="741"/>
      <c r="E141" s="741"/>
      <c r="F141" s="741"/>
      <c r="G141" s="741"/>
      <c r="H141" s="741"/>
      <c r="I141" s="741"/>
      <c r="J141" s="741"/>
      <c r="K141" s="875"/>
      <c r="L141" s="741"/>
      <c r="M141" s="875"/>
      <c r="N141" s="741"/>
      <c r="P141" s="916"/>
      <c r="Q141" s="916"/>
      <c r="R141" s="916"/>
      <c r="S141" s="916"/>
      <c r="T141" s="916"/>
      <c r="V141" s="741"/>
      <c r="W141" s="741"/>
      <c r="X141" s="741"/>
      <c r="Y141" s="741"/>
      <c r="Z141" s="741"/>
    </row>
    <row r="142" spans="1:26" ht="18" thickBot="1">
      <c r="A142" s="703" t="s">
        <v>239</v>
      </c>
      <c r="B142" s="58"/>
      <c r="C142" s="58"/>
      <c r="D142" s="907"/>
      <c r="E142" s="908"/>
      <c r="F142" s="907"/>
      <c r="G142" s="908"/>
      <c r="H142" s="907"/>
      <c r="I142" s="908"/>
      <c r="J142" s="907"/>
      <c r="K142" s="909"/>
      <c r="L142" s="881"/>
      <c r="M142" s="883"/>
      <c r="N142" s="881"/>
      <c r="O142"/>
      <c r="P142" s="916"/>
      <c r="Q142" s="916"/>
      <c r="R142" s="916"/>
      <c r="S142" s="916"/>
      <c r="T142" s="916"/>
      <c r="U142"/>
      <c r="V142" s="741"/>
      <c r="W142" s="741"/>
      <c r="X142" s="741"/>
      <c r="Y142" s="741"/>
      <c r="Z142" s="741"/>
    </row>
    <row r="143" spans="1:26" ht="18.75" customHeight="1">
      <c r="A143" s="710" t="str">
        <f>'Budget with Assumptions'!A143</f>
        <v>Insurance</v>
      </c>
      <c r="B143" s="55"/>
      <c r="C143" s="55"/>
      <c r="D143" s="363">
        <f>'Budget with Assumptions'!J143</f>
        <v>0</v>
      </c>
      <c r="E143" s="900"/>
      <c r="F143" s="363">
        <f>'Budget with Assumptions'!L143</f>
        <v>0</v>
      </c>
      <c r="G143" s="900"/>
      <c r="H143" s="363">
        <f>'Budget with Assumptions'!N143</f>
        <v>0</v>
      </c>
      <c r="I143" s="900"/>
      <c r="J143" s="363">
        <f>'Budget with Assumptions'!P143</f>
        <v>0</v>
      </c>
      <c r="K143" s="901"/>
      <c r="L143" s="363">
        <f>'Budget with Assumptions'!R143</f>
        <v>0</v>
      </c>
      <c r="M143" s="889"/>
      <c r="N143" s="363">
        <f>'Budget with Assumptions'!T143</f>
        <v>0</v>
      </c>
      <c r="O143"/>
      <c r="P143" s="915">
        <f>F143/$F$159</f>
        <v>0</v>
      </c>
      <c r="Q143" s="915">
        <f>H143/$H$159</f>
        <v>0</v>
      </c>
      <c r="R143" s="915">
        <f>J143/$J$159</f>
        <v>0</v>
      </c>
      <c r="S143" s="915">
        <f>L143/$L$159</f>
        <v>0</v>
      </c>
      <c r="T143" s="915">
        <f>N143/$N$159</f>
        <v>0</v>
      </c>
      <c r="U143"/>
      <c r="V143" s="924">
        <f>F143/$F$178</f>
        <v>0</v>
      </c>
      <c r="W143" s="924">
        <f>H143/$H$178</f>
        <v>0</v>
      </c>
      <c r="X143" s="924">
        <f>J143/$J$178</f>
        <v>0</v>
      </c>
      <c r="Y143" s="924">
        <f>L143/$L$178</f>
        <v>0</v>
      </c>
      <c r="Z143" s="924">
        <f>N143/$N$178</f>
        <v>0</v>
      </c>
    </row>
    <row r="144" spans="1:26" ht="15">
      <c r="A144" s="710" t="str">
        <f>'Budget with Assumptions'!A144</f>
        <v>Non-Facility Loan Payments (P &amp; I)</v>
      </c>
      <c r="B144" s="42"/>
      <c r="C144" s="42"/>
      <c r="D144" s="363">
        <f>'Budget with Assumptions'!J144</f>
        <v>0</v>
      </c>
      <c r="E144" s="900"/>
      <c r="F144" s="363">
        <f>'Budget with Assumptions'!L144</f>
        <v>0</v>
      </c>
      <c r="G144" s="900"/>
      <c r="H144" s="363">
        <f>'Budget with Assumptions'!N144</f>
        <v>0</v>
      </c>
      <c r="I144" s="900"/>
      <c r="J144" s="363">
        <f>'Budget with Assumptions'!P144</f>
        <v>0</v>
      </c>
      <c r="K144" s="901"/>
      <c r="L144" s="363">
        <f>'Budget with Assumptions'!R144</f>
        <v>0</v>
      </c>
      <c r="M144" s="889"/>
      <c r="N144" s="363">
        <f>'Budget with Assumptions'!T144</f>
        <v>0</v>
      </c>
      <c r="O144"/>
      <c r="P144" s="915">
        <f aca="true" t="shared" si="45" ref="P144:P155">F144/$F$159</f>
        <v>0</v>
      </c>
      <c r="Q144" s="915">
        <f aca="true" t="shared" si="46" ref="Q144:Q155">H144/$H$159</f>
        <v>0</v>
      </c>
      <c r="R144" s="915">
        <f aca="true" t="shared" si="47" ref="R144:R155">J144/$J$159</f>
        <v>0</v>
      </c>
      <c r="S144" s="915">
        <f aca="true" t="shared" si="48" ref="S144:S155">L144/$L$159</f>
        <v>0</v>
      </c>
      <c r="T144" s="915">
        <f aca="true" t="shared" si="49" ref="T144:T155">N144/$N$159</f>
        <v>0</v>
      </c>
      <c r="U144"/>
      <c r="V144" s="924">
        <f aca="true" t="shared" si="50" ref="V144:V155">F144/$F$178</f>
        <v>0</v>
      </c>
      <c r="W144" s="924">
        <f aca="true" t="shared" si="51" ref="W144:W155">H144/$H$178</f>
        <v>0</v>
      </c>
      <c r="X144" s="924">
        <f aca="true" t="shared" si="52" ref="X144:X155">J144/$J$178</f>
        <v>0</v>
      </c>
      <c r="Y144" s="924">
        <f aca="true" t="shared" si="53" ref="Y144:Y155">L144/$L$178</f>
        <v>0</v>
      </c>
      <c r="Z144" s="924">
        <f aca="true" t="shared" si="54" ref="Z144:Z155">N144/$N$178</f>
        <v>0</v>
      </c>
    </row>
    <row r="145" spans="1:26" ht="15">
      <c r="A145" s="710" t="str">
        <f>'Budget with Assumptions'!A145</f>
        <v>Fundraising Expense</v>
      </c>
      <c r="B145" s="42"/>
      <c r="C145" s="42"/>
      <c r="D145" s="363">
        <f>'Budget with Assumptions'!J145</f>
        <v>0</v>
      </c>
      <c r="E145" s="900"/>
      <c r="F145" s="363">
        <f>'Budget with Assumptions'!L145</f>
        <v>0</v>
      </c>
      <c r="G145" s="900"/>
      <c r="H145" s="363">
        <f>'Budget with Assumptions'!N145</f>
        <v>0</v>
      </c>
      <c r="I145" s="900"/>
      <c r="J145" s="363">
        <f>'Budget with Assumptions'!P145</f>
        <v>0</v>
      </c>
      <c r="K145" s="901"/>
      <c r="L145" s="363">
        <f>'Budget with Assumptions'!R145</f>
        <v>0</v>
      </c>
      <c r="M145" s="889"/>
      <c r="N145" s="363">
        <f>'Budget with Assumptions'!T145</f>
        <v>0</v>
      </c>
      <c r="P145" s="915">
        <f t="shared" si="45"/>
        <v>0</v>
      </c>
      <c r="Q145" s="915">
        <f t="shared" si="46"/>
        <v>0</v>
      </c>
      <c r="R145" s="915">
        <f t="shared" si="47"/>
        <v>0</v>
      </c>
      <c r="S145" s="915">
        <f t="shared" si="48"/>
        <v>0</v>
      </c>
      <c r="T145" s="915">
        <f t="shared" si="49"/>
        <v>0</v>
      </c>
      <c r="U145"/>
      <c r="V145" s="924">
        <f t="shared" si="50"/>
        <v>0</v>
      </c>
      <c r="W145" s="924">
        <f t="shared" si="51"/>
        <v>0</v>
      </c>
      <c r="X145" s="924">
        <f t="shared" si="52"/>
        <v>0</v>
      </c>
      <c r="Y145" s="924">
        <f t="shared" si="53"/>
        <v>0</v>
      </c>
      <c r="Z145" s="924">
        <f t="shared" si="54"/>
        <v>0</v>
      </c>
    </row>
    <row r="146" spans="1:26" ht="15">
      <c r="A146" s="710" t="str">
        <f>'Budget with Assumptions'!A146</f>
        <v>Contingency</v>
      </c>
      <c r="B146" s="42"/>
      <c r="C146" s="42"/>
      <c r="D146" s="363">
        <f>'Budget with Assumptions'!J146</f>
        <v>0</v>
      </c>
      <c r="E146" s="900"/>
      <c r="F146" s="363">
        <f>'Budget with Assumptions'!L146</f>
        <v>39592.53108</v>
      </c>
      <c r="G146" s="900"/>
      <c r="H146" s="363">
        <f>'Budget with Assumptions'!N146</f>
        <v>79185.06216</v>
      </c>
      <c r="I146" s="900"/>
      <c r="J146" s="363">
        <f>'Budget with Assumptions'!P146</f>
        <v>118777.59324</v>
      </c>
      <c r="K146" s="901"/>
      <c r="L146" s="363">
        <f>'Budget with Assumptions'!R146</f>
        <v>158370.12432</v>
      </c>
      <c r="M146" s="889"/>
      <c r="N146" s="363">
        <f>'Budget with Assumptions'!T146</f>
        <v>158370.12432</v>
      </c>
      <c r="P146" s="915">
        <f t="shared" si="45"/>
        <v>0.018647199010740575</v>
      </c>
      <c r="Q146" s="915">
        <f t="shared" si="46"/>
        <v>0.02119141642497795</v>
      </c>
      <c r="R146" s="915">
        <f t="shared" si="47"/>
        <v>0.02591352924131656</v>
      </c>
      <c r="S146" s="915">
        <f t="shared" si="48"/>
        <v>0.0277084467765212</v>
      </c>
      <c r="T146" s="915">
        <f t="shared" si="49"/>
        <v>0.02760427079204746</v>
      </c>
      <c r="U146"/>
      <c r="V146" s="924">
        <f t="shared" si="50"/>
        <v>247.45331925</v>
      </c>
      <c r="W146" s="924">
        <f t="shared" si="51"/>
        <v>247.45331925</v>
      </c>
      <c r="X146" s="924">
        <f t="shared" si="52"/>
        <v>247.45331925</v>
      </c>
      <c r="Y146" s="924">
        <f t="shared" si="53"/>
        <v>247.45331925</v>
      </c>
      <c r="Z146" s="924">
        <f t="shared" si="54"/>
        <v>247.45331925</v>
      </c>
    </row>
    <row r="147" spans="1:26" ht="15">
      <c r="A147" s="710" t="str">
        <f>'Budget with Assumptions'!A147</f>
        <v>Replacement Reserve</v>
      </c>
      <c r="B147" s="42"/>
      <c r="C147" s="42"/>
      <c r="D147" s="363">
        <f>'Budget with Assumptions'!J147</f>
        <v>0</v>
      </c>
      <c r="E147" s="900"/>
      <c r="F147" s="363">
        <f>'Budget with Assumptions'!L147</f>
        <v>0</v>
      </c>
      <c r="G147" s="900"/>
      <c r="H147" s="363">
        <f>'Budget with Assumptions'!N147</f>
        <v>0</v>
      </c>
      <c r="I147" s="900"/>
      <c r="J147" s="363">
        <f>'Budget with Assumptions'!P147</f>
        <v>0</v>
      </c>
      <c r="K147" s="901"/>
      <c r="L147" s="363">
        <f>'Budget with Assumptions'!R147</f>
        <v>0</v>
      </c>
      <c r="M147" s="889"/>
      <c r="N147" s="363">
        <f>'Budget with Assumptions'!T147</f>
        <v>0</v>
      </c>
      <c r="P147" s="915">
        <f t="shared" si="45"/>
        <v>0</v>
      </c>
      <c r="Q147" s="915">
        <f t="shared" si="46"/>
        <v>0</v>
      </c>
      <c r="R147" s="915">
        <f t="shared" si="47"/>
        <v>0</v>
      </c>
      <c r="S147" s="915">
        <f t="shared" si="48"/>
        <v>0</v>
      </c>
      <c r="T147" s="915">
        <f t="shared" si="49"/>
        <v>0</v>
      </c>
      <c r="U147"/>
      <c r="V147" s="924">
        <f t="shared" si="50"/>
        <v>0</v>
      </c>
      <c r="W147" s="924">
        <f t="shared" si="51"/>
        <v>0</v>
      </c>
      <c r="X147" s="924">
        <f t="shared" si="52"/>
        <v>0</v>
      </c>
      <c r="Y147" s="924">
        <f t="shared" si="53"/>
        <v>0</v>
      </c>
      <c r="Z147" s="924">
        <f t="shared" si="54"/>
        <v>0</v>
      </c>
    </row>
    <row r="148" spans="1:26" ht="15">
      <c r="A148" s="710">
        <f>'Budget with Assumptions'!A148</f>
        <v>0</v>
      </c>
      <c r="B148" s="42"/>
      <c r="C148" s="42"/>
      <c r="D148" s="363">
        <f>'Budget with Assumptions'!J148</f>
        <v>0</v>
      </c>
      <c r="E148" s="900"/>
      <c r="F148" s="363">
        <f>'Budget with Assumptions'!L148</f>
        <v>0</v>
      </c>
      <c r="G148" s="900"/>
      <c r="H148" s="363">
        <f>'Budget with Assumptions'!N148</f>
        <v>0</v>
      </c>
      <c r="I148" s="900"/>
      <c r="J148" s="363">
        <f>'Budget with Assumptions'!P148</f>
        <v>0</v>
      </c>
      <c r="K148" s="901"/>
      <c r="L148" s="363">
        <f>'Budget with Assumptions'!R148</f>
        <v>0</v>
      </c>
      <c r="M148" s="889"/>
      <c r="N148" s="363">
        <f>'Budget with Assumptions'!T148</f>
        <v>0</v>
      </c>
      <c r="P148" s="915">
        <f t="shared" si="45"/>
        <v>0</v>
      </c>
      <c r="Q148" s="915">
        <f t="shared" si="46"/>
        <v>0</v>
      </c>
      <c r="R148" s="915">
        <f t="shared" si="47"/>
        <v>0</v>
      </c>
      <c r="S148" s="915">
        <f t="shared" si="48"/>
        <v>0</v>
      </c>
      <c r="T148" s="915">
        <f t="shared" si="49"/>
        <v>0</v>
      </c>
      <c r="U148"/>
      <c r="V148" s="924">
        <f t="shared" si="50"/>
        <v>0</v>
      </c>
      <c r="W148" s="924">
        <f t="shared" si="51"/>
        <v>0</v>
      </c>
      <c r="X148" s="924">
        <f t="shared" si="52"/>
        <v>0</v>
      </c>
      <c r="Y148" s="924">
        <f t="shared" si="53"/>
        <v>0</v>
      </c>
      <c r="Z148" s="924">
        <f t="shared" si="54"/>
        <v>0</v>
      </c>
    </row>
    <row r="149" spans="1:26" ht="15">
      <c r="A149" s="710">
        <f>'Budget with Assumptions'!A149</f>
        <v>0</v>
      </c>
      <c r="B149" s="42"/>
      <c r="C149" s="42"/>
      <c r="D149" s="363">
        <f>'Budget with Assumptions'!J149</f>
        <v>0</v>
      </c>
      <c r="E149" s="900"/>
      <c r="F149" s="363">
        <f>'Budget with Assumptions'!L149</f>
        <v>0</v>
      </c>
      <c r="G149" s="900"/>
      <c r="H149" s="363">
        <f>'Budget with Assumptions'!N149</f>
        <v>0</v>
      </c>
      <c r="I149" s="900"/>
      <c r="J149" s="363">
        <f>'Budget with Assumptions'!P149</f>
        <v>0</v>
      </c>
      <c r="K149" s="901"/>
      <c r="L149" s="363">
        <f>'Budget with Assumptions'!R149</f>
        <v>0</v>
      </c>
      <c r="M149" s="889"/>
      <c r="N149" s="363">
        <f>'Budget with Assumptions'!T149</f>
        <v>0</v>
      </c>
      <c r="P149" s="915">
        <f t="shared" si="45"/>
        <v>0</v>
      </c>
      <c r="Q149" s="915">
        <f t="shared" si="46"/>
        <v>0</v>
      </c>
      <c r="R149" s="915">
        <f t="shared" si="47"/>
        <v>0</v>
      </c>
      <c r="S149" s="915">
        <f t="shared" si="48"/>
        <v>0</v>
      </c>
      <c r="T149" s="915">
        <f t="shared" si="49"/>
        <v>0</v>
      </c>
      <c r="U149"/>
      <c r="V149" s="924">
        <f t="shared" si="50"/>
        <v>0</v>
      </c>
      <c r="W149" s="924">
        <f t="shared" si="51"/>
        <v>0</v>
      </c>
      <c r="X149" s="924">
        <f t="shared" si="52"/>
        <v>0</v>
      </c>
      <c r="Y149" s="924">
        <f t="shared" si="53"/>
        <v>0</v>
      </c>
      <c r="Z149" s="924">
        <f t="shared" si="54"/>
        <v>0</v>
      </c>
    </row>
    <row r="150" spans="1:26" ht="15">
      <c r="A150" s="710">
        <f>'Budget with Assumptions'!A150</f>
        <v>0</v>
      </c>
      <c r="B150" s="42"/>
      <c r="C150" s="42"/>
      <c r="D150" s="363">
        <f>'Budget with Assumptions'!J150</f>
        <v>0</v>
      </c>
      <c r="E150" s="900"/>
      <c r="F150" s="363">
        <f>'Budget with Assumptions'!L150</f>
        <v>0</v>
      </c>
      <c r="G150" s="900"/>
      <c r="H150" s="363">
        <f>'Budget with Assumptions'!N150</f>
        <v>0</v>
      </c>
      <c r="I150" s="900"/>
      <c r="J150" s="363">
        <f>'Budget with Assumptions'!P150</f>
        <v>0</v>
      </c>
      <c r="K150" s="901"/>
      <c r="L150" s="363">
        <f>'Budget with Assumptions'!R150</f>
        <v>0</v>
      </c>
      <c r="M150" s="889"/>
      <c r="N150" s="363">
        <f>'Budget with Assumptions'!T150</f>
        <v>0</v>
      </c>
      <c r="P150" s="915">
        <f t="shared" si="45"/>
        <v>0</v>
      </c>
      <c r="Q150" s="915">
        <f t="shared" si="46"/>
        <v>0</v>
      </c>
      <c r="R150" s="915">
        <f t="shared" si="47"/>
        <v>0</v>
      </c>
      <c r="S150" s="915">
        <f t="shared" si="48"/>
        <v>0</v>
      </c>
      <c r="T150" s="915">
        <f t="shared" si="49"/>
        <v>0</v>
      </c>
      <c r="U150"/>
      <c r="V150" s="924">
        <f t="shared" si="50"/>
        <v>0</v>
      </c>
      <c r="W150" s="924">
        <f t="shared" si="51"/>
        <v>0</v>
      </c>
      <c r="X150" s="924">
        <f t="shared" si="52"/>
        <v>0</v>
      </c>
      <c r="Y150" s="924">
        <f t="shared" si="53"/>
        <v>0</v>
      </c>
      <c r="Z150" s="924">
        <f t="shared" si="54"/>
        <v>0</v>
      </c>
    </row>
    <row r="151" spans="1:26" ht="15">
      <c r="A151" s="710">
        <f>'Budget with Assumptions'!A151</f>
        <v>0</v>
      </c>
      <c r="B151" s="42"/>
      <c r="C151" s="42"/>
      <c r="D151" s="363">
        <f>'Budget with Assumptions'!J151</f>
        <v>0</v>
      </c>
      <c r="E151" s="900"/>
      <c r="F151" s="363">
        <f>'Budget with Assumptions'!L151</f>
        <v>0</v>
      </c>
      <c r="G151" s="900"/>
      <c r="H151" s="363">
        <f>'Budget with Assumptions'!N151</f>
        <v>0</v>
      </c>
      <c r="I151" s="900"/>
      <c r="J151" s="363">
        <f>'Budget with Assumptions'!P151</f>
        <v>0</v>
      </c>
      <c r="K151" s="901"/>
      <c r="L151" s="363">
        <f>'Budget with Assumptions'!R151</f>
        <v>0</v>
      </c>
      <c r="M151" s="889"/>
      <c r="N151" s="363">
        <f>'Budget with Assumptions'!T151</f>
        <v>0</v>
      </c>
      <c r="P151" s="915">
        <f t="shared" si="45"/>
        <v>0</v>
      </c>
      <c r="Q151" s="915">
        <f t="shared" si="46"/>
        <v>0</v>
      </c>
      <c r="R151" s="915">
        <f t="shared" si="47"/>
        <v>0</v>
      </c>
      <c r="S151" s="915">
        <f t="shared" si="48"/>
        <v>0</v>
      </c>
      <c r="T151" s="915">
        <f t="shared" si="49"/>
        <v>0</v>
      </c>
      <c r="U151"/>
      <c r="V151" s="924">
        <f t="shared" si="50"/>
        <v>0</v>
      </c>
      <c r="W151" s="924">
        <f t="shared" si="51"/>
        <v>0</v>
      </c>
      <c r="X151" s="924">
        <f t="shared" si="52"/>
        <v>0</v>
      </c>
      <c r="Y151" s="924">
        <f t="shared" si="53"/>
        <v>0</v>
      </c>
      <c r="Z151" s="924">
        <f t="shared" si="54"/>
        <v>0</v>
      </c>
    </row>
    <row r="152" spans="1:26" ht="15">
      <c r="A152" s="710">
        <f>'Budget with Assumptions'!A152</f>
        <v>0</v>
      </c>
      <c r="B152" s="42"/>
      <c r="C152" s="42"/>
      <c r="D152" s="363">
        <f>'Budget with Assumptions'!J152</f>
        <v>0</v>
      </c>
      <c r="E152" s="900"/>
      <c r="F152" s="363">
        <f>'Budget with Assumptions'!L152</f>
        <v>0</v>
      </c>
      <c r="G152" s="900"/>
      <c r="H152" s="363">
        <f>'Budget with Assumptions'!N152</f>
        <v>0</v>
      </c>
      <c r="I152" s="900"/>
      <c r="J152" s="363">
        <f>'Budget with Assumptions'!P152</f>
        <v>0</v>
      </c>
      <c r="K152" s="901"/>
      <c r="L152" s="363">
        <f>'Budget with Assumptions'!R152</f>
        <v>0</v>
      </c>
      <c r="M152" s="889"/>
      <c r="N152" s="363">
        <f>'Budget with Assumptions'!T152</f>
        <v>0</v>
      </c>
      <c r="P152" s="915">
        <f t="shared" si="45"/>
        <v>0</v>
      </c>
      <c r="Q152" s="915">
        <f t="shared" si="46"/>
        <v>0</v>
      </c>
      <c r="R152" s="915">
        <f t="shared" si="47"/>
        <v>0</v>
      </c>
      <c r="S152" s="915">
        <f t="shared" si="48"/>
        <v>0</v>
      </c>
      <c r="T152" s="915">
        <f t="shared" si="49"/>
        <v>0</v>
      </c>
      <c r="U152"/>
      <c r="V152" s="924">
        <f>F152/$F$178</f>
        <v>0</v>
      </c>
      <c r="W152" s="924">
        <f>H152/$H$178</f>
        <v>0</v>
      </c>
      <c r="X152" s="924">
        <f>J152/$J$178</f>
        <v>0</v>
      </c>
      <c r="Y152" s="924">
        <f>L152/$L$178</f>
        <v>0</v>
      </c>
      <c r="Z152" s="924">
        <f>N152/$N$178</f>
        <v>0</v>
      </c>
    </row>
    <row r="153" spans="1:26" ht="15">
      <c r="A153" s="710">
        <f>'Budget with Assumptions'!A153</f>
        <v>0</v>
      </c>
      <c r="B153" s="42"/>
      <c r="C153" s="42"/>
      <c r="D153" s="363">
        <f>'Budget with Assumptions'!J153</f>
        <v>0</v>
      </c>
      <c r="E153" s="900"/>
      <c r="F153" s="363">
        <f>'Budget with Assumptions'!L153</f>
        <v>0</v>
      </c>
      <c r="G153" s="900"/>
      <c r="H153" s="363">
        <f>'Budget with Assumptions'!N153</f>
        <v>0</v>
      </c>
      <c r="I153" s="900"/>
      <c r="J153" s="363">
        <f>'Budget with Assumptions'!P153</f>
        <v>0</v>
      </c>
      <c r="K153" s="901"/>
      <c r="L153" s="363">
        <f>'Budget with Assumptions'!R153</f>
        <v>0</v>
      </c>
      <c r="M153" s="889"/>
      <c r="N153" s="363">
        <f>'Budget with Assumptions'!T153</f>
        <v>0</v>
      </c>
      <c r="P153" s="915">
        <f t="shared" si="45"/>
        <v>0</v>
      </c>
      <c r="Q153" s="915">
        <f t="shared" si="46"/>
        <v>0</v>
      </c>
      <c r="R153" s="915">
        <f t="shared" si="47"/>
        <v>0</v>
      </c>
      <c r="S153" s="915">
        <f t="shared" si="48"/>
        <v>0</v>
      </c>
      <c r="T153" s="915">
        <f t="shared" si="49"/>
        <v>0</v>
      </c>
      <c r="U153"/>
      <c r="V153" s="924">
        <f>F153/$F$178</f>
        <v>0</v>
      </c>
      <c r="W153" s="924">
        <f>H153/$H$178</f>
        <v>0</v>
      </c>
      <c r="X153" s="924">
        <f>J153/$J$178</f>
        <v>0</v>
      </c>
      <c r="Y153" s="924">
        <f>L153/$L$178</f>
        <v>0</v>
      </c>
      <c r="Z153" s="924">
        <f>N153/$N$178</f>
        <v>0</v>
      </c>
    </row>
    <row r="154" spans="1:26" ht="15">
      <c r="A154" s="710">
        <f>'Budget with Assumptions'!A154</f>
        <v>0</v>
      </c>
      <c r="B154" s="46"/>
      <c r="C154" s="46"/>
      <c r="D154" s="363">
        <f>'Budget with Assumptions'!J154</f>
        <v>0</v>
      </c>
      <c r="E154" s="900"/>
      <c r="F154" s="363">
        <f>'Budget with Assumptions'!L154</f>
        <v>0</v>
      </c>
      <c r="G154" s="900"/>
      <c r="H154" s="363">
        <f>'Budget with Assumptions'!N154</f>
        <v>0</v>
      </c>
      <c r="I154" s="900"/>
      <c r="J154" s="363">
        <f>'Budget with Assumptions'!P154</f>
        <v>0</v>
      </c>
      <c r="K154" s="901"/>
      <c r="L154" s="363">
        <f>'Budget with Assumptions'!R154</f>
        <v>0</v>
      </c>
      <c r="M154" s="889"/>
      <c r="N154" s="363">
        <f>'Budget with Assumptions'!T154</f>
        <v>0</v>
      </c>
      <c r="P154" s="915">
        <f t="shared" si="45"/>
        <v>0</v>
      </c>
      <c r="Q154" s="915">
        <f t="shared" si="46"/>
        <v>0</v>
      </c>
      <c r="R154" s="915">
        <f t="shared" si="47"/>
        <v>0</v>
      </c>
      <c r="S154" s="915">
        <f t="shared" si="48"/>
        <v>0</v>
      </c>
      <c r="T154" s="915">
        <f t="shared" si="49"/>
        <v>0</v>
      </c>
      <c r="U154"/>
      <c r="V154" s="924">
        <f t="shared" si="50"/>
        <v>0</v>
      </c>
      <c r="W154" s="924">
        <f t="shared" si="51"/>
        <v>0</v>
      </c>
      <c r="X154" s="924">
        <f t="shared" si="52"/>
        <v>0</v>
      </c>
      <c r="Y154" s="924">
        <f t="shared" si="53"/>
        <v>0</v>
      </c>
      <c r="Z154" s="924">
        <f t="shared" si="54"/>
        <v>0</v>
      </c>
    </row>
    <row r="155" spans="1:26" ht="15">
      <c r="A155" s="710">
        <f>'Budget with Assumptions'!A155</f>
        <v>0</v>
      </c>
      <c r="B155" s="46"/>
      <c r="C155" s="46"/>
      <c r="D155" s="363">
        <f>'Budget with Assumptions'!J155</f>
        <v>0</v>
      </c>
      <c r="E155" s="900"/>
      <c r="F155" s="363">
        <f>'Budget with Assumptions'!L155</f>
        <v>0</v>
      </c>
      <c r="G155" s="900"/>
      <c r="H155" s="363">
        <f>'Budget with Assumptions'!N155</f>
        <v>0</v>
      </c>
      <c r="I155" s="900"/>
      <c r="J155" s="363">
        <f>'Budget with Assumptions'!P155</f>
        <v>0</v>
      </c>
      <c r="K155" s="901"/>
      <c r="L155" s="363">
        <f>'Budget with Assumptions'!R155</f>
        <v>0</v>
      </c>
      <c r="M155" s="889"/>
      <c r="N155" s="363">
        <f>'Budget with Assumptions'!T155</f>
        <v>0</v>
      </c>
      <c r="P155" s="915">
        <f t="shared" si="45"/>
        <v>0</v>
      </c>
      <c r="Q155" s="915">
        <f t="shared" si="46"/>
        <v>0</v>
      </c>
      <c r="R155" s="915">
        <f t="shared" si="47"/>
        <v>0</v>
      </c>
      <c r="S155" s="915">
        <f t="shared" si="48"/>
        <v>0</v>
      </c>
      <c r="T155" s="915">
        <f t="shared" si="49"/>
        <v>0</v>
      </c>
      <c r="U155"/>
      <c r="V155" s="924">
        <f t="shared" si="50"/>
        <v>0</v>
      </c>
      <c r="W155" s="924">
        <f t="shared" si="51"/>
        <v>0</v>
      </c>
      <c r="X155" s="924">
        <f t="shared" si="52"/>
        <v>0</v>
      </c>
      <c r="Y155" s="924">
        <f t="shared" si="53"/>
        <v>0</v>
      </c>
      <c r="Z155" s="924">
        <f t="shared" si="54"/>
        <v>0</v>
      </c>
    </row>
    <row r="156" spans="1:26" ht="15.75" thickBot="1">
      <c r="A156" s="40"/>
      <c r="B156" s="46"/>
      <c r="C156" s="46"/>
      <c r="D156" s="907"/>
      <c r="E156" s="900"/>
      <c r="F156" s="907"/>
      <c r="G156" s="900"/>
      <c r="H156" s="907"/>
      <c r="I156" s="900"/>
      <c r="J156" s="907"/>
      <c r="K156" s="901"/>
      <c r="L156" s="881"/>
      <c r="M156" s="889"/>
      <c r="N156" s="881"/>
      <c r="P156" s="916"/>
      <c r="Q156" s="916"/>
      <c r="R156" s="916"/>
      <c r="S156" s="916"/>
      <c r="T156" s="916"/>
      <c r="U156"/>
      <c r="V156" s="741"/>
      <c r="W156" s="741"/>
      <c r="X156" s="741"/>
      <c r="Y156" s="741"/>
      <c r="Z156" s="741"/>
    </row>
    <row r="157" spans="1:26" ht="15.75" thickBot="1">
      <c r="A157" s="287" t="s">
        <v>24</v>
      </c>
      <c r="B157" s="42"/>
      <c r="C157" s="42"/>
      <c r="D157" s="485">
        <f>SUM(D143:D155)</f>
        <v>0</v>
      </c>
      <c r="E157" s="359"/>
      <c r="F157" s="485">
        <f>SUM(F143:F155)</f>
        <v>39592.53108</v>
      </c>
      <c r="G157" s="359"/>
      <c r="H157" s="485">
        <f>SUM(H143:H155)</f>
        <v>79185.06216</v>
      </c>
      <c r="I157" s="359"/>
      <c r="J157" s="485">
        <f>SUM(J143:J155)</f>
        <v>118777.59324</v>
      </c>
      <c r="K157" s="360"/>
      <c r="L157" s="485">
        <f>SUM(L143:L155)</f>
        <v>158370.12432</v>
      </c>
      <c r="M157" s="874"/>
      <c r="N157" s="485">
        <f>SUM(N143:N155)</f>
        <v>158370.12432</v>
      </c>
      <c r="O157" s="112"/>
      <c r="P157" s="704">
        <f>SUM(P143:P155)</f>
        <v>0.018647199010740575</v>
      </c>
      <c r="Q157" s="704">
        <f>SUM(Q143:Q155)</f>
        <v>0.02119141642497795</v>
      </c>
      <c r="R157" s="704">
        <f>SUM(R143:R155)</f>
        <v>0.02591352924131656</v>
      </c>
      <c r="S157" s="704">
        <f>SUM(S143:S155)</f>
        <v>0.0277084467765212</v>
      </c>
      <c r="T157" s="704">
        <f>SUM(T143:T155)</f>
        <v>0.02760427079204746</v>
      </c>
      <c r="U157"/>
      <c r="V157" s="706">
        <f>SUM(V143:V155)</f>
        <v>247.45331925</v>
      </c>
      <c r="W157" s="706">
        <f>SUM(W143:W155)</f>
        <v>247.45331925</v>
      </c>
      <c r="X157" s="706">
        <f>SUM(X143:X155)</f>
        <v>247.45331925</v>
      </c>
      <c r="Y157" s="706">
        <f>SUM(Y143:Y155)</f>
        <v>247.45331925</v>
      </c>
      <c r="Z157" s="706">
        <f>SUM(Z143:Z155)</f>
        <v>247.45331925</v>
      </c>
    </row>
    <row r="158" spans="1:26" ht="15.75" thickBot="1">
      <c r="A158" s="61"/>
      <c r="B158" s="38"/>
      <c r="C158" s="38"/>
      <c r="D158" s="741"/>
      <c r="E158" s="741"/>
      <c r="F158" s="741"/>
      <c r="G158" s="741"/>
      <c r="H158" s="741"/>
      <c r="I158" s="741"/>
      <c r="J158" s="741"/>
      <c r="K158" s="875"/>
      <c r="L158" s="741"/>
      <c r="M158" s="875"/>
      <c r="N158" s="741"/>
      <c r="P158" s="916"/>
      <c r="Q158" s="916"/>
      <c r="R158" s="916"/>
      <c r="S158" s="916"/>
      <c r="T158" s="916"/>
      <c r="V158" s="741"/>
      <c r="W158" s="741"/>
      <c r="X158" s="741"/>
      <c r="Y158" s="741"/>
      <c r="Z158" s="741"/>
    </row>
    <row r="159" spans="1:26" ht="15.75" thickBot="1">
      <c r="A159" s="290" t="s">
        <v>25</v>
      </c>
      <c r="B159" s="62"/>
      <c r="C159" s="62"/>
      <c r="D159" s="485">
        <f>D64+D92+D116+D138+D140+D157</f>
        <v>187013.25</v>
      </c>
      <c r="E159" s="876"/>
      <c r="F159" s="485">
        <f>F64+F92+F116+F138+F140+F157</f>
        <v>2123242.80216</v>
      </c>
      <c r="G159" s="876"/>
      <c r="H159" s="485">
        <f>H64+H92+H116+H138+H140+H157</f>
        <v>3736657.36032</v>
      </c>
      <c r="I159" s="876"/>
      <c r="J159" s="485">
        <f>J64+J92+J116+J138+J140+J157</f>
        <v>4583613.144079999</v>
      </c>
      <c r="K159" s="877"/>
      <c r="L159" s="485">
        <f>L64+L92+L116+L138+L140+L157</f>
        <v>5715590.108580002</v>
      </c>
      <c r="M159" s="878"/>
      <c r="N159" s="485">
        <f>N64+N92+N116+N138+N140+N157</f>
        <v>5737160.221078001</v>
      </c>
      <c r="P159" s="920">
        <f>P64+P92+P116+P138+P140+P157</f>
        <v>1</v>
      </c>
      <c r="Q159" s="920">
        <f>Q64+Q92+Q116+Q138+Q140+Q157</f>
        <v>1</v>
      </c>
      <c r="R159" s="920">
        <f>R64+R92+R116+R138+R140+R157</f>
        <v>1.0000000000000002</v>
      </c>
      <c r="S159" s="920">
        <f>S64+S92+S116+S138+S140+S157</f>
        <v>0.9999999999999998</v>
      </c>
      <c r="T159" s="920">
        <f>T64+T92+T116+T138+T140+T157</f>
        <v>0.9999999999999999</v>
      </c>
      <c r="U159"/>
      <c r="V159" s="925">
        <f>V64+V92+V116+V138+V140+V157</f>
        <v>13270.2675135</v>
      </c>
      <c r="W159" s="925">
        <f>W64+W92+W116+W138+W140+W157</f>
        <v>11677.054251000001</v>
      </c>
      <c r="X159" s="925">
        <f>X64+X92+X116+X138+X140+X157</f>
        <v>9549.194050166663</v>
      </c>
      <c r="Y159" s="925">
        <f>Y64+Y92+Y116+Y138+Y140+Y157</f>
        <v>8930.60954465625</v>
      </c>
      <c r="Z159" s="925">
        <f>Z64+Z92+Z116+Z138+Z140+Z157</f>
        <v>8964.312845434377</v>
      </c>
    </row>
    <row r="160" spans="1:14" ht="15.75" thickBot="1">
      <c r="A160" s="285"/>
      <c r="B160" s="64"/>
      <c r="C160" s="64"/>
      <c r="D160" s="741"/>
      <c r="E160" s="741"/>
      <c r="F160" s="741"/>
      <c r="G160" s="741"/>
      <c r="H160" s="741"/>
      <c r="I160" s="741"/>
      <c r="J160" s="741"/>
      <c r="K160" s="875"/>
      <c r="L160" s="741"/>
      <c r="M160" s="875"/>
      <c r="N160" s="741"/>
    </row>
    <row r="161" spans="1:26" ht="15.75" thickBot="1">
      <c r="A161" s="373" t="s">
        <v>30</v>
      </c>
      <c r="B161" s="62"/>
      <c r="C161" s="62"/>
      <c r="D161" s="879">
        <f>D35-D159</f>
        <v>229986.75</v>
      </c>
      <c r="E161" s="880"/>
      <c r="F161" s="879">
        <f>F35-F159</f>
        <v>-149345.76615999988</v>
      </c>
      <c r="G161" s="880"/>
      <c r="H161" s="879">
        <f>H35-H159</f>
        <v>-184565.28831999982</v>
      </c>
      <c r="I161" s="876"/>
      <c r="J161" s="879">
        <f>J35-J159</f>
        <v>666225.9639200009</v>
      </c>
      <c r="K161" s="877"/>
      <c r="L161" s="879">
        <f>L35-L159</f>
        <v>1232038.0354199987</v>
      </c>
      <c r="M161" s="934"/>
      <c r="N161" s="879">
        <f>N35-N159</f>
        <v>1068067.9229219994</v>
      </c>
      <c r="P161" s="701"/>
      <c r="Q161" s="701"/>
      <c r="R161" s="701"/>
      <c r="S161" s="701"/>
      <c r="T161" s="701"/>
      <c r="U161"/>
      <c r="V161"/>
      <c r="W161"/>
      <c r="X161"/>
      <c r="Y161"/>
      <c r="Z161"/>
    </row>
    <row r="162" spans="1:26" ht="15.75" thickBot="1">
      <c r="A162" s="369"/>
      <c r="B162" s="372"/>
      <c r="C162" s="366"/>
      <c r="D162" s="881"/>
      <c r="E162" s="881"/>
      <c r="F162" s="881"/>
      <c r="G162" s="881"/>
      <c r="H162" s="881"/>
      <c r="I162" s="881"/>
      <c r="J162" s="881"/>
      <c r="K162" s="882"/>
      <c r="L162" s="881"/>
      <c r="M162" s="883"/>
      <c r="N162" s="881"/>
      <c r="P162" s="701"/>
      <c r="Q162" s="701"/>
      <c r="R162" s="701"/>
      <c r="S162" s="701"/>
      <c r="T162" s="701"/>
      <c r="U162"/>
      <c r="V162" s="705"/>
      <c r="W162" s="705"/>
      <c r="X162" s="705"/>
      <c r="Y162" s="705"/>
      <c r="Z162" s="705"/>
    </row>
    <row r="163" spans="1:26" ht="15.75" thickBot="1">
      <c r="A163" s="370" t="s">
        <v>209</v>
      </c>
      <c r="B163" s="56"/>
      <c r="C163" s="56"/>
      <c r="D163" s="483">
        <f>0</f>
        <v>0</v>
      </c>
      <c r="E163" s="881"/>
      <c r="F163" s="487">
        <f>D165</f>
        <v>229986.75</v>
      </c>
      <c r="G163" s="884"/>
      <c r="H163" s="487">
        <f>F165</f>
        <v>80640.98384000012</v>
      </c>
      <c r="I163" s="884"/>
      <c r="J163" s="487">
        <f>H165</f>
        <v>-103924.3044799997</v>
      </c>
      <c r="K163" s="885"/>
      <c r="L163" s="487">
        <f>J165</f>
        <v>562301.6594400012</v>
      </c>
      <c r="M163" s="885"/>
      <c r="N163" s="487">
        <f>L165</f>
        <v>1794339.69486</v>
      </c>
      <c r="P163" s="701"/>
      <c r="Q163" s="701"/>
      <c r="R163" s="701"/>
      <c r="S163" s="701"/>
      <c r="T163" s="701"/>
      <c r="U163"/>
      <c r="V163" s="705"/>
      <c r="W163" s="705"/>
      <c r="X163" s="705"/>
      <c r="Y163" s="705"/>
      <c r="Z163" s="705"/>
    </row>
    <row r="164" spans="1:26" ht="15.75" thickBot="1">
      <c r="A164" s="371" t="s">
        <v>210</v>
      </c>
      <c r="B164" s="56"/>
      <c r="C164" s="56"/>
      <c r="D164" s="487">
        <f>D161</f>
        <v>229986.75</v>
      </c>
      <c r="E164" s="68"/>
      <c r="F164" s="487">
        <f>F161</f>
        <v>-149345.76615999988</v>
      </c>
      <c r="G164" s="654"/>
      <c r="H164" s="487">
        <f>H161</f>
        <v>-184565.28831999982</v>
      </c>
      <c r="I164" s="654"/>
      <c r="J164" s="487">
        <f>J161</f>
        <v>666225.9639200009</v>
      </c>
      <c r="K164" s="655"/>
      <c r="L164" s="487">
        <f>L161</f>
        <v>1232038.0354199987</v>
      </c>
      <c r="M164" s="655"/>
      <c r="N164" s="487">
        <f>N161</f>
        <v>1068067.9229219994</v>
      </c>
      <c r="O164"/>
      <c r="P164" s="701"/>
      <c r="Q164" s="701"/>
      <c r="R164" s="701"/>
      <c r="S164" s="701"/>
      <c r="T164" s="701"/>
      <c r="U164"/>
      <c r="V164"/>
      <c r="W164"/>
      <c r="X164"/>
      <c r="Y164"/>
      <c r="Z164"/>
    </row>
    <row r="165" spans="1:26" ht="15.75" thickBot="1">
      <c r="A165" s="452" t="s">
        <v>211</v>
      </c>
      <c r="B165" s="67"/>
      <c r="C165" s="67"/>
      <c r="D165" s="487">
        <f>D163+D164</f>
        <v>229986.75</v>
      </c>
      <c r="E165" s="67"/>
      <c r="F165" s="487">
        <f>F163+F164</f>
        <v>80640.98384000012</v>
      </c>
      <c r="G165" s="886"/>
      <c r="H165" s="487">
        <f>H163+H164</f>
        <v>-103924.3044799997</v>
      </c>
      <c r="I165" s="886"/>
      <c r="J165" s="487">
        <f>J163+J164</f>
        <v>562301.6594400012</v>
      </c>
      <c r="K165" s="887"/>
      <c r="L165" s="487">
        <f>L163+L164</f>
        <v>1794339.69486</v>
      </c>
      <c r="M165" s="655"/>
      <c r="N165" s="487">
        <f>N163+N164</f>
        <v>2862407.6177819995</v>
      </c>
      <c r="O165"/>
      <c r="P165" s="701"/>
      <c r="Q165" s="701"/>
      <c r="R165" s="701"/>
      <c r="S165" s="701"/>
      <c r="T165" s="701"/>
      <c r="U165"/>
      <c r="V165"/>
      <c r="W165"/>
      <c r="X165"/>
      <c r="Y165"/>
      <c r="Z165"/>
    </row>
    <row r="166" spans="1:26" ht="15">
      <c r="A166" s="35"/>
      <c r="B166" s="65"/>
      <c r="C166" s="65"/>
      <c r="D166" s="888"/>
      <c r="E166" s="66"/>
      <c r="F166" s="888"/>
      <c r="G166" s="66"/>
      <c r="H166" s="888"/>
      <c r="I166" s="66"/>
      <c r="J166" s="888"/>
      <c r="K166" s="874"/>
      <c r="L166" s="888"/>
      <c r="M166" s="889"/>
      <c r="N166" s="741"/>
      <c r="O166"/>
      <c r="P166" s="701"/>
      <c r="Q166" s="701"/>
      <c r="R166" s="701"/>
      <c r="S166" s="701"/>
      <c r="T166" s="701"/>
      <c r="U166"/>
      <c r="V166"/>
      <c r="W166"/>
      <c r="X166"/>
      <c r="Y166"/>
      <c r="Z166"/>
    </row>
    <row r="167" spans="1:26" ht="15">
      <c r="A167" s="35"/>
      <c r="B167" s="35"/>
      <c r="C167" s="35"/>
      <c r="D167" s="741"/>
      <c r="E167" s="741"/>
      <c r="F167" s="741"/>
      <c r="G167" s="741"/>
      <c r="H167" s="741"/>
      <c r="I167" s="741"/>
      <c r="J167" s="741"/>
      <c r="K167" s="875"/>
      <c r="L167" s="741"/>
      <c r="M167" s="875"/>
      <c r="N167" s="741"/>
      <c r="O167"/>
      <c r="P167" s="701"/>
      <c r="Q167" s="701"/>
      <c r="R167" s="701"/>
      <c r="S167" s="701"/>
      <c r="T167" s="701"/>
      <c r="U167"/>
      <c r="V167"/>
      <c r="W167"/>
      <c r="X167"/>
      <c r="Y167"/>
      <c r="Z167"/>
    </row>
    <row r="168" spans="1:26" ht="15">
      <c r="A168" s="35"/>
      <c r="B168" s="35"/>
      <c r="C168" s="35"/>
      <c r="D168" s="888"/>
      <c r="E168" s="66"/>
      <c r="F168" s="888"/>
      <c r="G168" s="66"/>
      <c r="H168" s="888"/>
      <c r="I168" s="66"/>
      <c r="J168" s="888"/>
      <c r="K168" s="874"/>
      <c r="L168" s="888"/>
      <c r="M168" s="889"/>
      <c r="N168" s="741"/>
      <c r="O168"/>
      <c r="P168" s="701"/>
      <c r="Q168" s="701"/>
      <c r="R168" s="701"/>
      <c r="S168" s="701"/>
      <c r="T168" s="701"/>
      <c r="U168"/>
      <c r="V168"/>
      <c r="W168"/>
      <c r="X168"/>
      <c r="Y168"/>
      <c r="Z168"/>
    </row>
    <row r="169" spans="2:26" ht="15">
      <c r="B169" s="35"/>
      <c r="C169" s="35"/>
      <c r="D169" s="888"/>
      <c r="E169" s="66"/>
      <c r="F169" s="888"/>
      <c r="G169" s="66"/>
      <c r="H169" s="888"/>
      <c r="I169" s="66"/>
      <c r="J169" s="888"/>
      <c r="K169" s="874"/>
      <c r="L169" s="888"/>
      <c r="M169" s="889"/>
      <c r="N169" s="741"/>
      <c r="O169"/>
      <c r="P169" s="701"/>
      <c r="Q169" s="701"/>
      <c r="R169" s="701"/>
      <c r="S169" s="701"/>
      <c r="T169" s="701"/>
      <c r="U169"/>
      <c r="V169"/>
      <c r="W169"/>
      <c r="X169"/>
      <c r="Y169"/>
      <c r="Z169"/>
    </row>
    <row r="170" spans="4:14" ht="12">
      <c r="D170" s="741"/>
      <c r="E170" s="741"/>
      <c r="F170" s="741"/>
      <c r="G170" s="741"/>
      <c r="H170" s="741"/>
      <c r="I170" s="741"/>
      <c r="J170" s="741"/>
      <c r="K170" s="875"/>
      <c r="L170" s="741"/>
      <c r="M170" s="875"/>
      <c r="N170" s="741"/>
    </row>
    <row r="171" spans="4:14" ht="12">
      <c r="D171" s="741"/>
      <c r="E171" s="741"/>
      <c r="F171" s="741"/>
      <c r="G171" s="741"/>
      <c r="H171" s="741"/>
      <c r="I171" s="741"/>
      <c r="J171" s="741"/>
      <c r="K171" s="875"/>
      <c r="L171" s="741"/>
      <c r="M171" s="875"/>
      <c r="N171" s="741"/>
    </row>
    <row r="172" spans="3:14" ht="12">
      <c r="C172" s="162"/>
      <c r="D172" s="741"/>
      <c r="E172" s="741"/>
      <c r="F172" s="741"/>
      <c r="G172" s="741"/>
      <c r="H172" s="741"/>
      <c r="I172" s="741"/>
      <c r="J172" s="741"/>
      <c r="K172" s="875"/>
      <c r="L172" s="741"/>
      <c r="M172" s="875"/>
      <c r="N172" s="741"/>
    </row>
    <row r="173" spans="3:14" ht="12.75" thickBot="1">
      <c r="C173" s="162"/>
      <c r="D173" s="741"/>
      <c r="E173" s="741"/>
      <c r="F173" s="741"/>
      <c r="G173" s="741"/>
      <c r="H173" s="741"/>
      <c r="I173" s="741"/>
      <c r="J173" s="741"/>
      <c r="K173" s="875"/>
      <c r="L173" s="741"/>
      <c r="M173" s="875"/>
      <c r="N173" s="741"/>
    </row>
    <row r="174" spans="3:14" ht="12.75" thickBot="1">
      <c r="C174" s="317"/>
      <c r="D174" s="1107" t="s">
        <v>201</v>
      </c>
      <c r="E174" s="1108"/>
      <c r="F174" s="1108"/>
      <c r="G174" s="1108"/>
      <c r="H174" s="1108"/>
      <c r="I174" s="1108"/>
      <c r="J174" s="1108"/>
      <c r="K174" s="1108"/>
      <c r="L174" s="1108"/>
      <c r="M174" s="1108"/>
      <c r="N174" s="1109"/>
    </row>
    <row r="175" spans="3:14" ht="16.5" customHeight="1" thickBot="1">
      <c r="C175" s="162"/>
      <c r="D175" s="395" t="s">
        <v>168</v>
      </c>
      <c r="E175" s="910"/>
      <c r="F175" s="429">
        <f>F9</f>
        <v>2017</v>
      </c>
      <c r="G175" s="910"/>
      <c r="H175" s="429">
        <f>H9</f>
        <v>2018</v>
      </c>
      <c r="I175" s="910"/>
      <c r="J175" s="429">
        <f>J9</f>
        <v>2019</v>
      </c>
      <c r="K175" s="910"/>
      <c r="L175" s="429">
        <f>L9</f>
        <v>2020</v>
      </c>
      <c r="M175" s="910"/>
      <c r="N175" s="429">
        <f>N9</f>
        <v>2021</v>
      </c>
    </row>
    <row r="176" spans="3:14" ht="40.5" customHeight="1" thickBot="1">
      <c r="C176" s="97"/>
      <c r="D176" s="395" t="s">
        <v>179</v>
      </c>
      <c r="E176" s="911"/>
      <c r="F176" s="633">
        <f>Personnel!G191</f>
        <v>31.5</v>
      </c>
      <c r="G176" s="910"/>
      <c r="H176" s="633">
        <f>Personnel!I191</f>
        <v>51</v>
      </c>
      <c r="I176" s="910"/>
      <c r="J176" s="633">
        <f>Personnel!K191</f>
        <v>62</v>
      </c>
      <c r="K176" s="910"/>
      <c r="L176" s="633">
        <f>Personnel!M191</f>
        <v>75</v>
      </c>
      <c r="M176" s="910"/>
      <c r="N176" s="633">
        <f>Personnel!O191</f>
        <v>76</v>
      </c>
    </row>
    <row r="177" spans="3:14" ht="40.5" customHeight="1" thickBot="1">
      <c r="C177" s="97"/>
      <c r="D177" s="395" t="s">
        <v>180</v>
      </c>
      <c r="E177" s="911"/>
      <c r="F177" s="863">
        <f>Personnel!G189</f>
        <v>1295000</v>
      </c>
      <c r="G177" s="911"/>
      <c r="H177" s="863">
        <f>Personnel!I189</f>
        <v>2193000</v>
      </c>
      <c r="I177" s="911"/>
      <c r="J177" s="863">
        <f>Personnel!K189</f>
        <v>2694636</v>
      </c>
      <c r="K177" s="911"/>
      <c r="L177" s="863">
        <f>Personnel!M189</f>
        <v>3348111.24</v>
      </c>
      <c r="M177" s="911"/>
      <c r="N177" s="863">
        <f>Personnel!O189</f>
        <v>3458370.7512000003</v>
      </c>
    </row>
    <row r="178" spans="3:14" ht="40.5" customHeight="1" thickBot="1">
      <c r="C178" s="97"/>
      <c r="D178" s="395" t="s">
        <v>244</v>
      </c>
      <c r="E178" s="912"/>
      <c r="F178" s="633">
        <f>'Revenues-Fed, State, &amp; Expan. '!E97</f>
        <v>160</v>
      </c>
      <c r="G178" s="912"/>
      <c r="H178" s="633">
        <f>'Revenues-Fed, State, &amp; Expan. '!G97</f>
        <v>320</v>
      </c>
      <c r="I178" s="912"/>
      <c r="J178" s="633">
        <f>'Revenues-Fed, State, &amp; Expan. '!I97</f>
        <v>480</v>
      </c>
      <c r="K178" s="912"/>
      <c r="L178" s="633">
        <f>'Revenues-Fed, State, &amp; Expan. '!K97</f>
        <v>640</v>
      </c>
      <c r="M178" s="912"/>
      <c r="N178" s="633">
        <f>'Revenues-Fed, State, &amp; Expan. '!M97</f>
        <v>640</v>
      </c>
    </row>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1" sqref="A1"/>
    </sheetView>
  </sheetViews>
  <sheetFormatPr defaultColWidth="8.8515625" defaultRowHeight="12.75"/>
  <cols>
    <col min="1" max="1" width="28.28125" style="4" customWidth="1"/>
    <col min="2" max="2" width="22.140625" style="4" customWidth="1"/>
    <col min="3" max="3" width="73.421875" style="4" customWidth="1"/>
  </cols>
  <sheetData>
    <row r="1" spans="1:3" ht="15.75" thickBot="1">
      <c r="A1" s="762" t="s">
        <v>360</v>
      </c>
      <c r="B1" s="1136" t="str">
        <f>'Budget with Assumptions'!A2</f>
        <v>STARS Project Engineering Academy Charter School</v>
      </c>
      <c r="C1" s="1137"/>
    </row>
    <row r="2" spans="1:3" ht="15.75" thickBot="1">
      <c r="A2" s="739"/>
      <c r="B2" s="740"/>
      <c r="C2" s="740"/>
    </row>
    <row r="3" spans="1:3" ht="12.75" thickBot="1">
      <c r="A3" s="1138" t="s">
        <v>391</v>
      </c>
      <c r="B3" s="1139"/>
      <c r="C3" s="1140"/>
    </row>
    <row r="4" spans="1:3" ht="12">
      <c r="A4" s="741"/>
      <c r="B4" s="741"/>
      <c r="C4" s="741"/>
    </row>
    <row r="5" spans="1:3" ht="12.75" thickBot="1">
      <c r="A5" s="741"/>
      <c r="B5" s="741"/>
      <c r="C5" s="741"/>
    </row>
    <row r="6" spans="1:3" ht="15.75" thickBot="1">
      <c r="A6" s="763" t="s">
        <v>436</v>
      </c>
      <c r="B6" s="764"/>
      <c r="C6" s="765"/>
    </row>
    <row r="7" spans="1:3" ht="12.75" thickBot="1">
      <c r="A7" s="766" t="s">
        <v>544</v>
      </c>
      <c r="B7" s="764"/>
      <c r="C7" s="765"/>
    </row>
    <row r="8" spans="1:3" ht="12.75" thickBot="1">
      <c r="A8" s="742"/>
      <c r="B8" s="205"/>
      <c r="C8" s="743"/>
    </row>
    <row r="9" spans="1:3" ht="12">
      <c r="A9" s="751" t="s">
        <v>361</v>
      </c>
      <c r="B9" s="752"/>
      <c r="C9" s="753"/>
    </row>
    <row r="10" spans="1:3" ht="12">
      <c r="A10" s="761" t="s">
        <v>392</v>
      </c>
      <c r="B10" s="755"/>
      <c r="C10" s="756"/>
    </row>
    <row r="11" spans="1:3" ht="12">
      <c r="A11" s="754" t="s">
        <v>362</v>
      </c>
      <c r="B11" s="755"/>
      <c r="C11" s="756"/>
    </row>
    <row r="12" spans="1:3" ht="12.75" thickBot="1">
      <c r="A12" s="760" t="s">
        <v>430</v>
      </c>
      <c r="B12" s="757"/>
      <c r="C12" s="758"/>
    </row>
    <row r="13" spans="1:3" ht="12.75" thickBot="1">
      <c r="A13" s="744"/>
      <c r="B13" s="107"/>
      <c r="C13" s="745"/>
    </row>
    <row r="14" spans="1:3" ht="12.75" thickBot="1">
      <c r="A14" s="641" t="s">
        <v>366</v>
      </c>
      <c r="B14" s="107"/>
      <c r="C14" s="745"/>
    </row>
    <row r="15" spans="1:3" ht="12">
      <c r="A15" s="767" t="s">
        <v>33</v>
      </c>
      <c r="B15" s="792"/>
      <c r="C15" s="745"/>
    </row>
    <row r="16" spans="1:3" ht="12">
      <c r="A16" s="768" t="s">
        <v>363</v>
      </c>
      <c r="B16" s="793"/>
      <c r="C16" s="745"/>
    </row>
    <row r="17" spans="1:3" ht="12.75" thickBot="1">
      <c r="A17" s="769" t="s">
        <v>364</v>
      </c>
      <c r="B17" s="794"/>
      <c r="C17" s="745"/>
    </row>
    <row r="18" spans="1:3" ht="24.75" thickBot="1">
      <c r="A18" s="770" t="s">
        <v>365</v>
      </c>
      <c r="B18" s="530">
        <f>-IF(SUM(B15:B17)=0,0,PMT(B17/12,B16,B15)*12)</f>
        <v>0</v>
      </c>
      <c r="C18" s="745"/>
    </row>
    <row r="19" spans="1:3" ht="12">
      <c r="A19" s="744"/>
      <c r="B19" s="107"/>
      <c r="C19" s="745"/>
    </row>
    <row r="20" spans="1:3" ht="12">
      <c r="A20" s="782"/>
      <c r="B20" s="781"/>
      <c r="C20" s="747"/>
    </row>
    <row r="22" ht="12.75" thickBot="1"/>
    <row r="23" spans="1:3" ht="15.75" thickBot="1">
      <c r="A23" s="763" t="s">
        <v>437</v>
      </c>
      <c r="B23" s="764"/>
      <c r="C23" s="765"/>
    </row>
    <row r="24" spans="1:3" ht="12.75" thickBot="1">
      <c r="A24" s="766" t="s">
        <v>440</v>
      </c>
      <c r="B24" s="764"/>
      <c r="C24" s="765"/>
    </row>
    <row r="25" spans="1:3" ht="12.75" thickBot="1">
      <c r="A25" s="744"/>
      <c r="B25" s="205"/>
      <c r="C25" s="743"/>
    </row>
    <row r="26" spans="1:3" ht="12">
      <c r="A26" s="759" t="s">
        <v>361</v>
      </c>
      <c r="B26" s="752"/>
      <c r="C26" s="753"/>
    </row>
    <row r="27" spans="1:3" ht="12">
      <c r="A27" s="761" t="s">
        <v>429</v>
      </c>
      <c r="B27" s="755"/>
      <c r="C27" s="756"/>
    </row>
    <row r="28" spans="1:3" ht="12.75" thickBot="1">
      <c r="A28" s="760" t="s">
        <v>431</v>
      </c>
      <c r="B28" s="757"/>
      <c r="C28" s="758"/>
    </row>
    <row r="29" spans="1:3" ht="12">
      <c r="A29" s="744"/>
      <c r="B29" s="205"/>
      <c r="C29" s="743"/>
    </row>
    <row r="30" spans="1:3" ht="12.75" thickBot="1">
      <c r="A30" s="744"/>
      <c r="B30" s="205"/>
      <c r="C30" s="743"/>
    </row>
    <row r="31" spans="1:3" ht="12.75" thickBot="1">
      <c r="A31" s="641" t="s">
        <v>370</v>
      </c>
      <c r="B31" s="205"/>
      <c r="C31" s="743"/>
    </row>
    <row r="32" spans="1:3" ht="12">
      <c r="A32" s="767" t="s">
        <v>33</v>
      </c>
      <c r="B32" s="792"/>
      <c r="C32" s="745"/>
    </row>
    <row r="33" spans="1:3" ht="12">
      <c r="A33" s="768" t="s">
        <v>363</v>
      </c>
      <c r="B33" s="793"/>
      <c r="C33" s="745"/>
    </row>
    <row r="34" spans="1:3" ht="12.75" thickBot="1">
      <c r="A34" s="769" t="s">
        <v>364</v>
      </c>
      <c r="B34" s="795"/>
      <c r="C34" s="745"/>
    </row>
    <row r="35" spans="1:3" ht="24.75" thickBot="1">
      <c r="A35" s="770" t="s">
        <v>365</v>
      </c>
      <c r="B35" s="530">
        <f>-IF(SUM(B32:B34)=0,0,PMT(B34/12,B33,B32)*12)</f>
        <v>0</v>
      </c>
      <c r="C35" s="745"/>
    </row>
    <row r="36" spans="1:3" ht="12">
      <c r="A36" s="748"/>
      <c r="B36" s="749"/>
      <c r="C36" s="750"/>
    </row>
    <row r="37" spans="1:3" ht="12">
      <c r="A37" s="746"/>
      <c r="B37" s="781"/>
      <c r="C37" s="747"/>
    </row>
    <row r="38" ht="12">
      <c r="A38" s="741"/>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worksheet>
</file>

<file path=xl/worksheets/sheet9.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8.8515625" defaultRowHeight="12.75"/>
  <cols>
    <col min="1" max="1" width="62.7109375" style="0" customWidth="1"/>
  </cols>
  <sheetData>
    <row r="1" spans="1:6" ht="12.75" thickBot="1">
      <c r="A1" s="932" t="str">
        <f>'Budget with Assumptions'!A2</f>
        <v>STARS Project Engineering Academy Charter School</v>
      </c>
      <c r="B1" s="727"/>
      <c r="C1" s="727"/>
      <c r="D1" s="727"/>
      <c r="E1" s="727"/>
      <c r="F1" s="624"/>
    </row>
    <row r="2" ht="12">
      <c r="A2" s="11"/>
    </row>
    <row r="4" spans="1:6" ht="12">
      <c r="A4" s="7" t="s">
        <v>346</v>
      </c>
      <c r="B4" s="7"/>
      <c r="C4" s="7"/>
      <c r="D4" s="7"/>
      <c r="E4" s="7"/>
      <c r="F4" s="7"/>
    </row>
    <row r="5" spans="1:6" ht="12">
      <c r="A5" s="97"/>
      <c r="B5" s="97"/>
      <c r="C5" s="97"/>
      <c r="D5" s="97"/>
      <c r="E5" s="97"/>
      <c r="F5" s="97"/>
    </row>
    <row r="6" spans="1:6" ht="12">
      <c r="A6" s="97"/>
      <c r="B6" s="97"/>
      <c r="C6" s="97"/>
      <c r="D6" s="97"/>
      <c r="E6" s="97"/>
      <c r="F6" s="97"/>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Main Data</cp:lastModifiedBy>
  <cp:lastPrinted>2014-11-24T19:32:35Z</cp:lastPrinted>
  <dcterms:created xsi:type="dcterms:W3CDTF">2008-07-31T19:00:10Z</dcterms:created>
  <dcterms:modified xsi:type="dcterms:W3CDTF">2015-04-06T12:01:20Z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