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tabRatio="697" firstSheet="1" activeTab="1"/>
  </bookViews>
  <sheets>
    <sheet name="Instructions" sheetId="1" r:id="rId1"/>
    <sheet name="Personnel" sheetId="2" r:id="rId2"/>
    <sheet name="Contractual Clinicians" sheetId="3" r:id="rId3"/>
    <sheet name="Revenues-Per Capita &amp; SPED" sheetId="4" r:id="rId4"/>
    <sheet name="Revenues-Fed, State, &amp; Expan. " sheetId="5" r:id="rId5"/>
    <sheet name="Budget with Assumptions" sheetId="6" r:id="rId6"/>
    <sheet name="Budget Summary " sheetId="7" r:id="rId7"/>
    <sheet name="Loans" sheetId="8" r:id="rId8"/>
    <sheet name="Calculations" sheetId="9" r:id="rId9"/>
    <sheet name="FRL1" sheetId="10" state="hidden" r:id="rId10"/>
  </sheets>
  <definedNames>
    <definedName name="_xlfn.IFERROR" hidden="1">#NAME?</definedName>
    <definedName name="_xlnm.Print_Area" localSheetId="0">'Instructions'!$A$1:$B$211</definedName>
    <definedName name="_xlnm.Print_Titles" localSheetId="6">'Budget Summary '!$A:$A,'Budget Summary '!$7:$9</definedName>
    <definedName name="_xlnm.Print_Titles" localSheetId="5">'Budget with Assumptions'!$A:$A,'Budget with Assumptions'!$7:$9</definedName>
  </definedNames>
  <calcPr fullCalcOnLoad="1"/>
</workbook>
</file>

<file path=xl/sharedStrings.xml><?xml version="1.0" encoding="utf-8"?>
<sst xmlns="http://schemas.openxmlformats.org/spreadsheetml/2006/main" count="1698" uniqueCount="630">
  <si>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</si>
  <si>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</si>
  <si>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</si>
  <si>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</si>
  <si>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</si>
  <si>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</si>
  <si>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</si>
  <si>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</si>
  <si>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</si>
  <si>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</si>
  <si>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</si>
  <si>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</si>
  <si>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</si>
  <si>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</si>
  <si>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</si>
  <si>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</si>
  <si>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</si>
  <si>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</si>
  <si>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</si>
  <si>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</si>
  <si>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</si>
  <si>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</si>
  <si>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</si>
  <si>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</si>
  <si>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</si>
  <si>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</si>
  <si>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</si>
  <si>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</si>
  <si>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</si>
  <si>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</si>
  <si>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</si>
  <si>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</si>
  <si>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</si>
  <si>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</si>
  <si>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</si>
  <si>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</si>
  <si>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</si>
  <si>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</si>
  <si>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</si>
  <si>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</si>
  <si>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</si>
  <si>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</si>
  <si>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</si>
  <si>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</si>
  <si>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</si>
  <si>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</si>
  <si>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</si>
  <si>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</si>
  <si>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</si>
  <si>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</si>
  <si>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</si>
  <si>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</si>
  <si>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</si>
  <si>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</si>
  <si>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</si>
  <si>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</si>
  <si>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</si>
  <si>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</si>
  <si>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</si>
  <si>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</si>
  <si>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</si>
  <si>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</si>
  <si>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</si>
  <si>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</si>
  <si>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</si>
  <si>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</si>
  <si>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</si>
  <si>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</si>
  <si>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</si>
  <si>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</si>
  <si>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</si>
  <si>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</si>
  <si>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</si>
  <si>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</si>
  <si>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</si>
  <si>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</si>
  <si>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</si>
  <si>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Teachers Aides</t>
  </si>
  <si>
    <t>Counselors</t>
  </si>
  <si>
    <t>Librarians</t>
  </si>
  <si>
    <t>Deans</t>
  </si>
  <si>
    <r>
      <t xml:space="preserve">SPED Teachers </t>
    </r>
    <r>
      <rPr>
        <b/>
        <sz val="10"/>
        <rFont val="Arial"/>
        <family val="2"/>
      </rPr>
      <t>(positions that are reimbursed by CPS)</t>
    </r>
  </si>
  <si>
    <r>
      <t xml:space="preserve">SPED Aides </t>
    </r>
    <r>
      <rPr>
        <b/>
        <sz val="10"/>
        <rFont val="Arial"/>
        <family val="2"/>
      </rPr>
      <t>(positions that are reimbursed by CPS)</t>
    </r>
  </si>
  <si>
    <t>Full-Time Administrative Staff</t>
  </si>
  <si>
    <t>Total NON-CTPF Salaries and Wages</t>
  </si>
  <si>
    <t>-</t>
  </si>
  <si>
    <t>School's Share of Employer Contribution (normal cost) to the CTPF</t>
  </si>
  <si>
    <t>Total Medicare Expense (1.45% of ALL Salaries and Wages)</t>
  </si>
  <si>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</si>
  <si>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</si>
  <si>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</si>
  <si>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</si>
  <si>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</si>
  <si>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</si>
  <si>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</si>
  <si>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</si>
  <si>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</si>
  <si>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</si>
  <si>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</si>
  <si>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</si>
  <si>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</si>
  <si>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</si>
  <si>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</si>
  <si>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</si>
  <si>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</si>
  <si>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</si>
  <si>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</si>
  <si>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</si>
  <si>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</si>
  <si>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</si>
  <si>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</si>
  <si>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</si>
  <si>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</si>
  <si>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</si>
  <si>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</si>
  <si>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</si>
  <si>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</si>
  <si>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</si>
  <si>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</si>
  <si>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</si>
  <si>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</si>
  <si>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</si>
  <si>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</si>
  <si>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</si>
  <si>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</si>
  <si>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</si>
  <si>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</si>
  <si>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</si>
  <si>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</si>
  <si>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</si>
  <si>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</si>
  <si>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</si>
  <si>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</si>
  <si>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</si>
  <si>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</si>
  <si>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</si>
  <si>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</si>
  <si>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</si>
  <si>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</si>
  <si>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</si>
  <si>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</si>
  <si>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</si>
  <si>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</si>
  <si>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</si>
  <si>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</si>
  <si>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</si>
  <si>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</si>
  <si>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</si>
  <si>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</si>
  <si>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</si>
  <si>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Salary (from Salaries Worksheet)</t>
  </si>
  <si>
    <t>Fringes %</t>
  </si>
  <si>
    <t>Total Salaries and Fringes</t>
  </si>
  <si>
    <t xml:space="preserve">     Totals</t>
  </si>
  <si>
    <t>Amount</t>
  </si>
  <si>
    <t>Average Salary Range</t>
  </si>
  <si>
    <t>Total Reimbursement Range</t>
  </si>
  <si>
    <t>Average Compensation (Salaries and Fringes) Per Position</t>
  </si>
  <si>
    <t>Total Reimbursement</t>
  </si>
  <si>
    <t>Reimbursement for SPED Aides</t>
  </si>
  <si>
    <t>Average Compensation (Salaries and Fringes)</t>
  </si>
  <si>
    <t>Summary of  Budgeted SPED Reimbursements</t>
  </si>
  <si>
    <t xml:space="preserve">      Total</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</si>
  <si>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</si>
  <si>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</si>
  <si>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</si>
  <si>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</si>
  <si>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</si>
  <si>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</si>
  <si>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</si>
  <si>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</si>
  <si>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</si>
  <si>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</si>
  <si>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</si>
  <si>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</si>
  <si>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</si>
  <si>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</si>
  <si>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</si>
  <si>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</si>
  <si>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</si>
  <si>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</si>
  <si>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</si>
  <si>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</si>
  <si>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</si>
  <si>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</si>
  <si>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</si>
  <si>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</si>
  <si>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</si>
  <si>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</si>
  <si>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</si>
  <si>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</si>
  <si>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</si>
  <si>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</si>
  <si>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</si>
  <si>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</si>
  <si>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</si>
  <si>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</si>
  <si>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</si>
  <si>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</si>
  <si>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</si>
  <si>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</si>
  <si>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</si>
  <si>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</si>
  <si>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</si>
  <si>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</si>
  <si>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</si>
  <si>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</si>
  <si>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</si>
  <si>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</si>
  <si>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</si>
  <si>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</si>
  <si>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</si>
  <si>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</si>
  <si>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</si>
  <si>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</si>
  <si>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</si>
  <si>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</si>
  <si>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</si>
  <si>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</si>
  <si>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</si>
  <si>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</si>
  <si>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</si>
  <si>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</si>
  <si>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</si>
  <si>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</si>
  <si>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</si>
  <si>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</si>
  <si>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</si>
  <si>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</si>
  <si>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</si>
  <si>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</si>
  <si>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</si>
  <si>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</si>
  <si>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</si>
  <si>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</si>
  <si>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</si>
  <si>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</si>
  <si>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</si>
  <si>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</si>
  <si>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</si>
  <si>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</si>
  <si>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</si>
  <si>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</si>
  <si>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</si>
  <si>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</si>
  <si>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</si>
  <si>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</si>
  <si>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</si>
  <si>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</si>
  <si>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</si>
  <si>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</si>
  <si>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</si>
  <si>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</si>
  <si>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</si>
  <si>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</si>
  <si>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</si>
  <si>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</si>
  <si>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</si>
  <si>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</si>
  <si>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</si>
  <si>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</si>
  <si>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</si>
  <si>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</si>
  <si>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</si>
  <si>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</si>
  <si>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</si>
  <si>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</si>
  <si>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</si>
  <si>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</si>
  <si>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</si>
  <si>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</si>
  <si>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</si>
  <si>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</si>
  <si>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</si>
  <si>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</si>
  <si>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</si>
  <si>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</si>
  <si>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</si>
  <si>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</si>
  <si>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</si>
  <si>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</si>
  <si>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</si>
  <si>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</si>
  <si>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</si>
  <si>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</si>
  <si>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</si>
  <si>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</si>
  <si>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</si>
  <si>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</si>
  <si>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</si>
  <si>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</si>
  <si>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</si>
  <si>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</si>
  <si>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</si>
  <si>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</si>
  <si>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</si>
  <si>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</si>
  <si>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</si>
  <si>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</si>
  <si>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</si>
  <si>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</si>
  <si>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</si>
  <si>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</si>
  <si>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</si>
  <si>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</si>
  <si>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</si>
  <si>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</si>
  <si>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</si>
  <si>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</si>
  <si>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Total Salaries and Wages for employees who do NOT participate in the CTPF</t>
  </si>
  <si>
    <t xml:space="preserve">The Per Capita Tuition Revenue is divided in the following two funding categories: </t>
  </si>
  <si>
    <t>For Non-SBB funding, the total enrollment (not weighted) will be used when calculating the Non-SBB revenue for all grade levels.</t>
  </si>
  <si>
    <t>General -Special Education Reimbursement</t>
  </si>
  <si>
    <t>Instructions</t>
  </si>
  <si>
    <t>General - Per Capita Tuition (SBB and Non-SBB Funding)</t>
  </si>
  <si>
    <t>Note: The fringe benefits % is used to estimate the fringe benefits $ that will be reimbursed by CPS for your School's SPED teachers, clinicians, and aides.  Please show your calculation of the fringe benefits % in the "Calculations" Worksheet of this file.</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</si>
  <si>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</si>
  <si>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</si>
  <si>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</si>
  <si>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</si>
  <si>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</si>
  <si>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</si>
  <si>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</si>
  <si>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ALBANY IRVING  </t>
  </si>
  <si>
    <t xml:space="preserve">ASHBURN </t>
  </si>
  <si>
    <t xml:space="preserve">AUBURN-GRESHAM </t>
  </si>
  <si>
    <t>BELMONT-CRAGIN</t>
  </si>
  <si>
    <t xml:space="preserve">BRIDGEPORT-CHINATOWN  </t>
  </si>
  <si>
    <t xml:space="preserve">CHATHAM    </t>
  </si>
  <si>
    <t xml:space="preserve">CHICAGO LAWN   </t>
  </si>
  <si>
    <t xml:space="preserve">FAR EAST SIDE </t>
  </si>
  <si>
    <t xml:space="preserve">HYDE PARK   </t>
  </si>
  <si>
    <t xml:space="preserve">LOGAN </t>
  </si>
  <si>
    <t xml:space="preserve">LOOP </t>
  </si>
  <si>
    <t xml:space="preserve">MCKINLEY PARK </t>
  </si>
  <si>
    <t xml:space="preserve">MIDWAY  </t>
  </si>
  <si>
    <t xml:space="preserve">NEAR WEST      </t>
  </si>
  <si>
    <t xml:space="preserve">NORTH LAWNDALE  </t>
  </si>
  <si>
    <t xml:space="preserve">PILSEN – LITTLE VILLAGE    </t>
  </si>
  <si>
    <t xml:space="preserve">REED - DUNNING  </t>
  </si>
  <si>
    <t xml:space="preserve">SAUGANASH   </t>
  </si>
  <si>
    <t>CPS District (Default)</t>
  </si>
  <si>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</si>
  <si>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</si>
  <si>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</si>
  <si>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</si>
  <si>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</si>
  <si>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</si>
  <si>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</si>
  <si>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</si>
  <si>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</si>
  <si>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</si>
  <si>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</si>
  <si>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</si>
  <si>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</si>
  <si>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</si>
  <si>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</si>
  <si>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</si>
  <si>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</si>
  <si>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</si>
  <si>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</si>
  <si>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</si>
  <si>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</si>
  <si>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</si>
  <si>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</si>
  <si>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</si>
  <si>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</si>
  <si>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</si>
  <si>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</si>
  <si>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</si>
  <si>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</si>
  <si>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</si>
  <si>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</si>
  <si>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(B) Personnel Worksheet</t>
  </si>
  <si>
    <t>B) Personnel</t>
  </si>
  <si>
    <t>(A) Guidelines</t>
  </si>
  <si>
    <r>
      <t xml:space="preserve">The budget should be prepared on a </t>
    </r>
    <r>
      <rPr>
        <b/>
        <i/>
        <sz val="11"/>
        <rFont val="Arial"/>
        <family val="2"/>
      </rPr>
      <t>cash basis</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</si>
  <si>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$160,000</t>
    </r>
    <r>
      <rPr>
        <sz val="11"/>
        <rFont val="Arial"/>
        <family val="2"/>
      </rPr>
      <t xml:space="preserve"> has been entered for the </t>
    </r>
    <r>
      <rPr>
        <b/>
        <i/>
        <sz val="11"/>
        <rFont val="Arial"/>
        <family val="2"/>
      </rPr>
      <t>estimated</t>
    </r>
    <r>
      <rPr>
        <sz val="11"/>
        <rFont val="Arial"/>
        <family val="2"/>
      </rPr>
      <t xml:space="preserve"> amount of incubation funds from CPS.</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</si>
  <si>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</si>
  <si>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</si>
  <si>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</si>
  <si>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</si>
  <si>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</si>
  <si>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</si>
  <si>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</si>
  <si>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</si>
  <si>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</si>
  <si>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</si>
  <si>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</si>
  <si>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</si>
  <si>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</si>
  <si>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</si>
  <si>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</si>
  <si>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</si>
  <si>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</si>
  <si>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</si>
  <si>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</si>
  <si>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</si>
  <si>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The budget is divided in to nine worksheets:</t>
  </si>
  <si>
    <t>A) Instructions / Guidelines (this worksheet/section)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</si>
  <si>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</si>
  <si>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</si>
  <si>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</si>
  <si>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</si>
  <si>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</si>
  <si>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</si>
  <si>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</si>
  <si>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</si>
  <si>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</si>
  <si>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</si>
  <si>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</si>
  <si>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</si>
  <si>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</si>
  <si>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</si>
  <si>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</si>
  <si>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</si>
  <si>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</si>
  <si>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</si>
  <si>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</si>
  <si>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</si>
  <si>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</si>
  <si>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</si>
  <si>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t xml:space="preserve">c) High School LRE3 Students - </t>
    </r>
    <r>
      <rPr>
        <b/>
        <sz val="11"/>
        <rFont val="Arial"/>
        <family val="2"/>
      </rPr>
      <t>1%</t>
    </r>
    <r>
      <rPr>
        <sz val="11"/>
        <rFont val="Arial"/>
        <family val="2"/>
      </rPr>
      <t xml:space="preserve"> of the total enrollment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</si>
  <si>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</si>
  <si>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</si>
  <si>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</si>
  <si>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</si>
  <si>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</si>
  <si>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</si>
  <si>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</si>
  <si>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</si>
  <si>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</si>
  <si>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</si>
  <si>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</si>
  <si>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</si>
  <si>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</si>
  <si>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</si>
  <si>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</si>
  <si>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</si>
  <si>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</si>
  <si>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</si>
  <si>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</si>
  <si>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</si>
  <si>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</si>
  <si>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</si>
  <si>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</si>
  <si>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</si>
  <si>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</si>
  <si>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</si>
  <si>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</si>
  <si>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</si>
  <si>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</si>
  <si>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</si>
  <si>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</si>
  <si>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</si>
  <si>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</si>
  <si>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</si>
  <si>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</si>
  <si>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</si>
  <si>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</si>
  <si>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</si>
  <si>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</si>
  <si>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</si>
  <si>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</si>
  <si>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r>
      <t xml:space="preserve">Pension Pick-up Assumption - </t>
    </r>
    <r>
      <rPr>
        <b/>
        <sz val="11"/>
        <rFont val="Arial"/>
        <family val="2"/>
      </rPr>
      <t>Employer</t>
    </r>
  </si>
  <si>
    <r>
      <t>Pension Pick-up Assumption -</t>
    </r>
    <r>
      <rPr>
        <b/>
        <sz val="11"/>
        <rFont val="Arial"/>
        <family val="2"/>
      </rPr>
      <t xml:space="preserve"> Employee</t>
    </r>
  </si>
  <si>
    <t>Loan(s) used to procure instructional equipment, educational materials, furniture, computers, or for general school operations.</t>
  </si>
  <si>
    <t>Yearly Percentage Increase in Salaries-Please enter in Cells: G62, I62, K62, M62, and O62</t>
  </si>
  <si>
    <t>The data that should be entered first is the Incubation Year from the Dropdown Box in Cell J9 of the "Budget with Assumptions" worksheet. The fiscal years will populate throughout the budget template after it is entered.</t>
  </si>
  <si>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</si>
  <si>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Loan proceeds for facility projects should </t>
    </r>
    <r>
      <rPr>
        <b/>
        <sz val="11"/>
        <rFont val="Arial"/>
        <family val="2"/>
      </rPr>
      <t>not</t>
    </r>
    <r>
      <rPr>
        <sz val="11"/>
        <rFont val="Arial"/>
        <family val="2"/>
      </rPr>
      <t xml:space="preserve"> be included as revenue.</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</si>
  <si>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</si>
  <si>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</si>
  <si>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</si>
  <si>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</si>
  <si>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</si>
  <si>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</si>
  <si>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</si>
  <si>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</si>
  <si>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</si>
  <si>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</si>
  <si>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Reimbursement for SPED Teachers </t>
  </si>
  <si>
    <t>Reimbursement for SPED Clinicians</t>
  </si>
  <si>
    <t>SPED Teachers in the CTPF (from Personnel Worksheet)</t>
  </si>
  <si>
    <r>
      <t xml:space="preserve">SPED Teachers </t>
    </r>
    <r>
      <rPr>
        <b/>
        <sz val="10"/>
        <rFont val="Arial"/>
        <family val="2"/>
      </rPr>
      <t>Not</t>
    </r>
    <r>
      <rPr>
        <sz val="10"/>
        <rFont val="Arial"/>
        <family val="2"/>
      </rPr>
      <t xml:space="preserve"> in the CTPF (from Personnel Worksheet)</t>
    </r>
  </si>
  <si>
    <t>Clinicians in the CTPF (from Personnel Worksheet)</t>
  </si>
  <si>
    <r>
      <t xml:space="preserve">Clinicians </t>
    </r>
    <r>
      <rPr>
        <b/>
        <sz val="10"/>
        <rFont val="Arial"/>
        <family val="2"/>
      </rPr>
      <t>Not</t>
    </r>
    <r>
      <rPr>
        <sz val="10"/>
        <rFont val="Arial"/>
        <family val="2"/>
      </rPr>
      <t xml:space="preserve"> in the CTPF (from Personnel Worksheet)</t>
    </r>
  </si>
  <si>
    <t>Contractual Clinicians (from Contractual Clinicians Worksheet)</t>
  </si>
  <si>
    <t>SPED Teacher Aides in the CTPF (from Personnel Worksheet)</t>
  </si>
  <si>
    <r>
      <t xml:space="preserve">SPED Teachers Aides </t>
    </r>
    <r>
      <rPr>
        <b/>
        <sz val="10"/>
        <rFont val="Arial"/>
        <family val="2"/>
      </rPr>
      <t>Not</t>
    </r>
    <r>
      <rPr>
        <sz val="10"/>
        <rFont val="Arial"/>
        <family val="2"/>
      </rPr>
      <t xml:space="preserve"> in the CTPF (from Personnel Worksheet)</t>
    </r>
  </si>
  <si>
    <t xml:space="preserve">   Total Clinician Positions</t>
  </si>
  <si>
    <r>
      <t xml:space="preserve">Special Education Contracted Clinician Services that are Reimbursable under CPS's policy </t>
    </r>
    <r>
      <rPr>
        <i/>
        <sz val="12"/>
        <rFont val="Cambria"/>
        <family val="1"/>
      </rPr>
      <t>(from Contractual Clinician Worksheet)</t>
    </r>
  </si>
  <si>
    <t>Reimbursement for Special Education Teachers</t>
  </si>
  <si>
    <t xml:space="preserve">Reimbursement for Special Education Clinicians </t>
  </si>
  <si>
    <t>Reimbursement for Special Education Teacher Aides</t>
  </si>
  <si>
    <t>Reimbursement for SPED Teacher Aides</t>
  </si>
  <si>
    <t>All budgeted revenues funded by CPS are ESTIMATES, and are NOT guarantees of future funding. All future funding is subject to Board approval.</t>
  </si>
  <si>
    <t>C) Contractual Clinicians (Special Education Reimbursement)</t>
  </si>
  <si>
    <t>D) Revenues-Per Capita &amp; SPED</t>
  </si>
  <si>
    <t xml:space="preserve">E) Revenues-Federal, State, and Expansion </t>
  </si>
  <si>
    <t>F) Budget with Assumptions</t>
  </si>
  <si>
    <t>G) Budget Summary</t>
  </si>
  <si>
    <t>H) Loans</t>
  </si>
  <si>
    <t>I) Calculations</t>
  </si>
  <si>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"Contractual Clinicians" worksheet. Occupational and Physical Therapists can also be budgeted in that worksheet.</t>
    </r>
  </si>
  <si>
    <r>
      <rPr>
        <b/>
        <sz val="11"/>
        <rFont val="Arial"/>
        <family val="2"/>
      </rPr>
      <t>Total Pensionable Salaries and Wages (Row 183)</t>
    </r>
    <r>
      <rPr>
        <sz val="11"/>
        <rFont val="Arial"/>
        <family val="2"/>
      </rPr>
      <t xml:space="preserve"> - This line totals the pensionable CTPF salaries and wages. The totals will be used to calculate the pension expense if you decide to "pick-up" any of the employees' withholding (0%-9%) for the CTPF.</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</si>
  <si>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t>
    </r>
    <r>
      <rPr>
        <b/>
        <i/>
        <sz val="11"/>
        <rFont val="Arial"/>
        <family val="2"/>
      </rPr>
      <t>If this is NOT an accurate calculation of your school's 401k/403b plan, you can manually enter the amounts in the Budget with Assumptions worksheet (Row 72).</t>
    </r>
  </si>
  <si>
    <r>
      <t xml:space="preserve">1) </t>
    </r>
    <r>
      <rPr>
        <b/>
        <sz val="11"/>
        <rFont val="Arial"/>
        <family val="2"/>
      </rPr>
      <t>K-3</t>
    </r>
  </si>
  <si>
    <r>
      <t xml:space="preserve">2) </t>
    </r>
    <r>
      <rPr>
        <b/>
        <sz val="11"/>
        <rFont val="Arial"/>
        <family val="2"/>
      </rPr>
      <t>4-8</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</si>
  <si>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</si>
  <si>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</si>
  <si>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</si>
  <si>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</si>
  <si>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(C) Contractual Clinicians Worksheet</t>
  </si>
  <si>
    <t xml:space="preserve">(D) Revenues-Per Capita and SPED </t>
  </si>
  <si>
    <r>
      <rPr>
        <b/>
        <sz val="11"/>
        <rFont val="Arial"/>
        <family val="2"/>
      </rPr>
      <t>Section 3</t>
    </r>
    <r>
      <rPr>
        <sz val="11"/>
        <rFont val="Arial"/>
        <family val="2"/>
      </rPr>
      <t xml:space="preserve">: In </t>
    </r>
    <r>
      <rPr>
        <b/>
        <sz val="11"/>
        <rFont val="Arial"/>
        <family val="2"/>
      </rPr>
      <t>Rows 25-30</t>
    </r>
    <r>
      <rPr>
        <sz val="11"/>
        <rFont val="Arial"/>
        <family val="2"/>
      </rPr>
      <t>, the budgeted clinician fees will be calculated. Using the previous example, $20,000 would be computed for the psychologist (.20 FTE x $100,000).</t>
    </r>
  </si>
  <si>
    <t>(E) Revenues-Federal, State, &amp; Expansion Worksheet</t>
  </si>
  <si>
    <t>(F) Budget with Assumptions Worksheet</t>
  </si>
  <si>
    <t>(G) Budget Summary</t>
  </si>
  <si>
    <t>(H) Loan Worksheet</t>
  </si>
  <si>
    <t>(I) Calculations Worksheet</t>
  </si>
  <si>
    <t>FISCAL YEAR (June 30)</t>
  </si>
  <si>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 xml:space="preserve">                                                                                                                         </t>
    </r>
    <r>
      <rPr>
        <sz val="11"/>
        <rFont val="Arial"/>
        <family val="2"/>
      </rPr>
      <t xml:space="preserve">                                                                                                                                                                                                                                                                                                                                                                                                                                                                                                                                            </t>
    </r>
  </si>
  <si>
    <r>
      <rPr>
        <b/>
        <sz val="11"/>
        <rFont val="Arial"/>
        <family val="2"/>
      </rPr>
      <t>(a)</t>
    </r>
    <r>
      <rPr>
        <sz val="11"/>
        <rFont val="Arial"/>
        <family val="2"/>
      </rPr>
      <t xml:space="preserve"> Positions that participate in the Chicago Teachers' Pension Fund (Rows 6-29)-any position that has an Illinois certificate for teaching. </t>
    </r>
  </si>
  <si>
    <r>
      <rPr>
        <b/>
        <sz val="11"/>
        <rFont val="Arial"/>
        <family val="2"/>
      </rPr>
      <t>(b)</t>
    </r>
    <r>
      <rPr>
        <sz val="11"/>
        <rFont val="Arial"/>
        <family val="2"/>
      </rPr>
      <t xml:space="preserve"> Employees who do NOT participate in the CTPF, and are subject to FICA taxes (Rows 30-57).                                      </t>
    </r>
  </si>
  <si>
    <r>
      <t xml:space="preserve">For both of the above categories, there are Special Education positions that are highlighted in a </t>
    </r>
    <r>
      <rPr>
        <b/>
        <sz val="11"/>
        <rFont val="Arial"/>
        <family val="2"/>
      </rPr>
      <t>darker blue</t>
    </r>
    <r>
      <rPr>
        <sz val="11"/>
        <rFont val="Arial"/>
        <family val="2"/>
      </rPr>
      <t xml:space="preserve">. These are for reimbursable SPED positions that are based on your Special Education students' IEPs. The number of SPED positions and salaries will populate the "Revenues-Per Capita and SPED" worksheet to calculate the estimated reimbursable amounts. </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</si>
  <si>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t>
    </r>
  </si>
  <si>
    <r>
      <t xml:space="preserve">For positions that participate in the CTPF, in </t>
    </r>
    <r>
      <rPr>
        <b/>
        <sz val="11"/>
        <rFont val="Arial"/>
        <family val="2"/>
      </rPr>
      <t>Rows</t>
    </r>
    <r>
      <rPr>
        <sz val="11"/>
        <rFont val="Arial"/>
        <family val="2"/>
      </rPr>
      <t xml:space="preserve"> </t>
    </r>
    <r>
      <rPr>
        <b/>
        <sz val="11"/>
        <rFont val="Arial"/>
        <family val="2"/>
      </rPr>
      <t>144-147</t>
    </r>
    <r>
      <rPr>
        <sz val="11"/>
        <rFont val="Arial"/>
        <family val="2"/>
      </rPr>
      <t>, there are categories for non-pensionable salaries. If you are budgeting for any of these categories, please enter the total compensation amount by category for each fiscal year.</t>
    </r>
  </si>
  <si>
    <t xml:space="preserve"> a) $90,000 average for SPED teachers (salaries and fringes)</t>
  </si>
  <si>
    <t xml:space="preserve"> b) $40,000 average for SPED teacher aides (salaries and fringes)</t>
  </si>
  <si>
    <t xml:space="preserve">Total compensation for a SPED teacher or clinician can be as high as $110,000; however, the average for of all the clinicians and SPED teachers cannot exceed the aforementioned $90,000 average. For a SPED teacher aide, it is $53,000 and $40,000 respectively.                                                           </t>
  </si>
  <si>
    <r>
      <t xml:space="preserve">Special Education funding is based on the number of Special Education teachers, clinicians, and teacher aides allocated to your school. The SPED staffing allocation is based on your students' IEP's. </t>
    </r>
    <r>
      <rPr>
        <b/>
        <sz val="11"/>
        <rFont val="Arial"/>
        <family val="2"/>
      </rPr>
      <t xml:space="preserve">Note: The revenues for Special Education cannot exceed the costs. It is on a REIMBURSEMENT basis only. The funding levels are being kept at the current rates. Please note that reimbursement cannot exceed the following: </t>
    </r>
    <r>
      <rPr>
        <sz val="11"/>
        <rFont val="Arial"/>
        <family val="2"/>
      </rPr>
      <t xml:space="preserve">                                                                                                                                  </t>
    </r>
  </si>
  <si>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</si>
  <si>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</si>
  <si>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</si>
  <si>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</si>
  <si>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</si>
  <si>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</si>
  <si>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</si>
  <si>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t>Fee is calculated by multiplying the total of the Per Capita, SGSA, and Special Education revenues by 3% plus ELL revenues by 2.67%.</t>
  </si>
  <si>
    <r>
      <t xml:space="preserve">The total number of FTE's from </t>
    </r>
    <r>
      <rPr>
        <b/>
        <sz val="11"/>
        <rFont val="Arial"/>
        <family val="2"/>
      </rPr>
      <t>Row 14</t>
    </r>
    <r>
      <rPr>
        <sz val="11"/>
        <rFont val="Arial"/>
        <family val="2"/>
      </rPr>
      <t xml:space="preserve"> populates the "</t>
    </r>
    <r>
      <rPr>
        <b/>
        <sz val="11"/>
        <rFont val="Arial"/>
        <family val="2"/>
      </rPr>
      <t>Revenues-Per Capita &amp; SPED</t>
    </r>
    <r>
      <rPr>
        <sz val="11"/>
        <rFont val="Arial"/>
        <family val="2"/>
      </rPr>
      <t>" worksheet in</t>
    </r>
    <r>
      <rPr>
        <b/>
        <sz val="11"/>
        <rFont val="Arial"/>
        <family val="2"/>
      </rPr>
      <t xml:space="preserve"> Cells B206, H206, M206, S206, and Y206</t>
    </r>
    <r>
      <rPr>
        <sz val="11"/>
        <rFont val="Arial"/>
        <family val="2"/>
      </rPr>
      <t xml:space="preserve"> for each fiscal year.</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</si>
  <si>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2"/>
        <rFont val="Arial"/>
        <family val="2"/>
      </rPr>
      <t>Note: This worksheet contains all FIVE fiscal years after the Incubation year. The first year is from Columns A-E, and the last fiscal year is from Columns X-AB.</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</si>
  <si>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</si>
  <si>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t xml:space="preserve"> c) $90,000 average for clinicians (salaries and fringes)</t>
  </si>
  <si>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</si>
  <si>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</si>
  <si>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</si>
  <si>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</si>
  <si>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t>Please enter your school's estimated fringe benefits % in Cell C184.</t>
  </si>
  <si>
    <t>Please enter your school's estimated fringe benefits % in Cell I184.</t>
  </si>
  <si>
    <t>Please enter your school's estimated fringe benefits % in Cell N184.</t>
  </si>
  <si>
    <t>Please enter your school's estimated fringe benefits % in Cell T184.</t>
  </si>
  <si>
    <t>Please enter your school's estimated fringe benefits % in Cell Z184.</t>
  </si>
  <si>
    <r>
      <t xml:space="preserve">The SPED reimbursement is totaled in </t>
    </r>
    <r>
      <rPr>
        <b/>
        <sz val="11"/>
        <rFont val="Arial"/>
        <family val="2"/>
      </rPr>
      <t>Cell C239</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 xml:space="preserve">Cell L21 </t>
    </r>
    <r>
      <rPr>
        <sz val="11"/>
        <rFont val="Arial"/>
        <family val="2"/>
      </rPr>
      <t>for the first year of operation</t>
    </r>
    <r>
      <rPr>
        <b/>
        <sz val="11"/>
        <rFont val="Arial"/>
        <family val="2"/>
      </rPr>
      <t>.</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</si>
  <si>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</si>
  <si>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those revenues in the Assumption section.</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</si>
  <si>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</si>
  <si>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</si>
  <si>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</si>
  <si>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</si>
  <si>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</si>
  <si>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</si>
  <si>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r>
      <rPr>
        <b/>
        <sz val="11"/>
        <rFont val="Arial"/>
        <family val="2"/>
      </rPr>
      <t>Section 2</t>
    </r>
    <r>
      <rPr>
        <sz val="11"/>
        <rFont val="Arial"/>
        <family val="2"/>
      </rPr>
      <t xml:space="preserve">: Enter the </t>
    </r>
    <r>
      <rPr>
        <b/>
        <i/>
        <sz val="11"/>
        <rFont val="Arial"/>
        <family val="2"/>
      </rPr>
      <t>annual</t>
    </r>
    <r>
      <rPr>
        <sz val="11"/>
        <rFont val="Arial"/>
        <family val="2"/>
      </rPr>
      <t xml:space="preserve"> contractual fee by year in </t>
    </r>
    <r>
      <rPr>
        <b/>
        <sz val="11"/>
        <rFont val="Arial"/>
        <family val="2"/>
      </rPr>
      <t>Rows 17-22</t>
    </r>
    <r>
      <rPr>
        <sz val="11"/>
        <rFont val="Arial"/>
        <family val="2"/>
      </rPr>
      <t xml:space="preserve">. Using the example above, if the psychologist would earn $100,000 working full time for the entire school year, $100,000 would be entered in </t>
    </r>
    <r>
      <rPr>
        <b/>
        <sz val="11"/>
        <rFont val="Arial"/>
        <family val="2"/>
      </rPr>
      <t>Row 17</t>
    </r>
    <r>
      <rPr>
        <sz val="11"/>
        <rFont val="Arial"/>
        <family val="2"/>
      </rPr>
      <t xml:space="preserve"> for the applicable year(s).</t>
    </r>
  </si>
  <si>
    <r>
      <t xml:space="preserve">The total clinician fees from </t>
    </r>
    <r>
      <rPr>
        <b/>
        <sz val="11"/>
        <rFont val="Arial"/>
        <family val="2"/>
      </rPr>
      <t>Row 31</t>
    </r>
    <r>
      <rPr>
        <sz val="11"/>
        <rFont val="Arial"/>
        <family val="2"/>
      </rPr>
      <t xml:space="preserve"> populates the "</t>
    </r>
    <r>
      <rPr>
        <b/>
        <sz val="11"/>
        <rFont val="Arial"/>
        <family val="2"/>
      </rPr>
      <t>Revenues-Per Capita &amp; SPED</t>
    </r>
    <r>
      <rPr>
        <sz val="11"/>
        <rFont val="Arial"/>
        <family val="2"/>
      </rPr>
      <t xml:space="preserve">" worksheet in </t>
    </r>
    <r>
      <rPr>
        <b/>
        <sz val="11"/>
        <rFont val="Arial"/>
        <family val="2"/>
      </rPr>
      <t>Cells C206, I206, N206, T206, and Z206</t>
    </r>
    <r>
      <rPr>
        <sz val="11"/>
        <rFont val="Arial"/>
        <family val="2"/>
      </rPr>
      <t xml:space="preserve"> for each fiscal year. The reimbursable amount for the contractual clinicians and salaried clinicians (employees) is calculated in the "</t>
    </r>
    <r>
      <rPr>
        <b/>
        <sz val="11"/>
        <rFont val="Arial"/>
        <family val="2"/>
      </rPr>
      <t>Revenues-Per Capita &amp; SPED</t>
    </r>
    <r>
      <rPr>
        <sz val="11"/>
        <rFont val="Arial"/>
        <family val="2"/>
      </rPr>
      <t>" worksheet for the five years budgeted.</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</si>
  <si>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</si>
  <si>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t>Salary (from Personnel &amp; Contractual Clinicians Worksheets)</t>
  </si>
  <si>
    <t>Number of FTE's (from Personnel &amp; Contractual Clinicians Worksheets)</t>
  </si>
  <si>
    <t>Number of FTE's (from Personnel Worksheet)</t>
  </si>
  <si>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</si>
  <si>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</si>
  <si>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r>
      <t xml:space="preserve">From the Dropdown Box in </t>
    </r>
    <r>
      <rPr>
        <b/>
        <sz val="11"/>
        <rFont val="Arial"/>
        <family val="2"/>
      </rPr>
      <t>Cell J9</t>
    </r>
    <r>
      <rPr>
        <sz val="11"/>
        <rFont val="Arial"/>
        <family val="2"/>
      </rPr>
      <t xml:space="preserve">, select if your Incubation Fiscal Year will be </t>
    </r>
    <r>
      <rPr>
        <b/>
        <sz val="11"/>
        <rFont val="Arial"/>
        <family val="2"/>
      </rPr>
      <t xml:space="preserve">2015 </t>
    </r>
    <r>
      <rPr>
        <sz val="11"/>
        <rFont val="Arial"/>
        <family val="2"/>
      </rPr>
      <t xml:space="preserve">or </t>
    </r>
    <r>
      <rPr>
        <b/>
        <sz val="11"/>
        <rFont val="Arial"/>
        <family val="2"/>
      </rPr>
      <t>2016</t>
    </r>
    <r>
      <rPr>
        <sz val="11"/>
        <rFont val="Arial"/>
        <family val="2"/>
      </rPr>
      <t xml:space="preserve">. Please note that the five fiscal years (2016-2020) or (2017-2021) will populate the budget template dependent upon the fiscal year selected in </t>
    </r>
    <r>
      <rPr>
        <b/>
        <sz val="11"/>
        <rFont val="Arial"/>
        <family val="2"/>
      </rPr>
      <t>Cell J9</t>
    </r>
    <r>
      <rPr>
        <sz val="11"/>
        <rFont val="Arial"/>
        <family val="2"/>
      </rPr>
      <t xml:space="preserve">. The fiscal year ends </t>
    </r>
    <r>
      <rPr>
        <b/>
        <sz val="11"/>
        <rFont val="Arial"/>
        <family val="2"/>
      </rPr>
      <t>June 30</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</si>
  <si>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</si>
  <si>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 xml:space="preserve">List the salaries in the "Base/Average Wage" in </t>
    </r>
    <r>
      <rPr>
        <b/>
        <sz val="11"/>
        <rFont val="Arial"/>
        <family val="2"/>
      </rPr>
      <t>Column</t>
    </r>
    <r>
      <rPr>
        <sz val="11"/>
        <rFont val="Arial"/>
        <family val="2"/>
      </rPr>
      <t xml:space="preserve">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the positions for each year.</t>
    </r>
    <r>
      <rPr>
        <b/>
        <sz val="11"/>
        <rFont val="Arial"/>
        <family val="2"/>
      </rPr>
      <t xml:space="preserve">
You cannot change the job titles in this table; they will automatically match the job titles in the Number of Employees table.</t>
    </r>
  </si>
  <si>
    <r>
      <t xml:space="preserve">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</si>
  <si>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</si>
  <si>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r>
      <t>Using the first year of operation as example, in</t>
    </r>
    <r>
      <rPr>
        <b/>
        <sz val="11"/>
        <rFont val="Arial"/>
        <family val="2"/>
      </rPr>
      <t xml:space="preserve"> Cells</t>
    </r>
    <r>
      <rPr>
        <sz val="11"/>
        <rFont val="Arial"/>
        <family val="2"/>
      </rPr>
      <t xml:space="preserve"> </t>
    </r>
    <r>
      <rPr>
        <b/>
        <sz val="11"/>
        <rFont val="Arial"/>
        <family val="2"/>
      </rPr>
      <t>B189 and B190</t>
    </r>
    <r>
      <rPr>
        <sz val="11"/>
        <rFont val="Arial"/>
        <family val="2"/>
      </rPr>
      <t xml:space="preserve"> are the number of positions for special education teachers. In </t>
    </r>
    <r>
      <rPr>
        <b/>
        <sz val="11"/>
        <rFont val="Arial"/>
        <family val="2"/>
      </rPr>
      <t>Cells C189 and C190</t>
    </r>
    <r>
      <rPr>
        <sz val="11"/>
        <rFont val="Arial"/>
        <family val="2"/>
      </rPr>
      <t xml:space="preserve"> are the corresponding total salaries for those positions. In </t>
    </r>
    <r>
      <rPr>
        <b/>
        <sz val="11"/>
        <rFont val="Arial"/>
        <family val="2"/>
      </rPr>
      <t>Cells B204-B206</t>
    </r>
    <r>
      <rPr>
        <sz val="11"/>
        <rFont val="Arial"/>
        <family val="2"/>
      </rPr>
      <t xml:space="preserve"> are the number of special education clinicians and in </t>
    </r>
    <r>
      <rPr>
        <b/>
        <sz val="11"/>
        <rFont val="Arial"/>
        <family val="2"/>
      </rPr>
      <t>Cells C204-C206</t>
    </r>
    <r>
      <rPr>
        <sz val="11"/>
        <rFont val="Arial"/>
        <family val="2"/>
      </rPr>
      <t xml:space="preserve"> are the corresponding total salaries.  In </t>
    </r>
    <r>
      <rPr>
        <b/>
        <sz val="11"/>
        <rFont val="Arial"/>
        <family val="2"/>
      </rPr>
      <t>Cells B221 and B222</t>
    </r>
    <r>
      <rPr>
        <sz val="11"/>
        <rFont val="Arial"/>
        <family val="2"/>
      </rPr>
      <t xml:space="preserve"> are the number of positions for special education teacher aides. In </t>
    </r>
    <r>
      <rPr>
        <b/>
        <sz val="11"/>
        <rFont val="Arial"/>
        <family val="2"/>
      </rPr>
      <t xml:space="preserve">Cells C221 and C222 </t>
    </r>
    <r>
      <rPr>
        <sz val="11"/>
        <rFont val="Arial"/>
        <family val="2"/>
      </rPr>
      <t xml:space="preserve">are the corresponding total salaries for those positions. </t>
    </r>
    <r>
      <rPr>
        <b/>
        <sz val="11"/>
        <rFont val="Arial"/>
        <family val="2"/>
      </rPr>
      <t>NOTE</t>
    </r>
    <r>
      <rPr>
        <sz val="11"/>
        <rFont val="Arial"/>
        <family val="2"/>
      </rPr>
      <t>:</t>
    </r>
    <r>
      <rPr>
        <b/>
        <i/>
        <sz val="11"/>
        <rFont val="Arial"/>
        <family val="2"/>
      </rPr>
      <t xml:space="preserve"> 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For contractual clinicians, their budgeted positions and compensation are pulled from the "Contractual Clinicians" worksheet. </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</si>
  <si>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$21 is added to the base rate of $430. For example, if 50% was calculated in </t>
    </r>
    <r>
      <rPr>
        <b/>
        <sz val="11"/>
        <rFont val="Arial"/>
        <family val="2"/>
      </rPr>
      <t>Row 22</t>
    </r>
    <r>
      <rPr>
        <sz val="11"/>
        <rFont val="Arial"/>
        <family val="2"/>
      </rPr>
      <t xml:space="preserve">, the rate would be $640 ($430 base rate + (10 </t>
    </r>
    <r>
      <rPr>
        <i/>
        <sz val="10"/>
        <rFont val="Calibri"/>
        <family val="2"/>
      </rPr>
      <t>(50-40)</t>
    </r>
    <r>
      <rPr>
        <sz val="11"/>
        <rFont val="Arial"/>
        <family val="2"/>
      </rPr>
      <t xml:space="preserve"> x $21) or $210.</t>
    </r>
  </si>
  <si>
    <t>SBB &amp; Non-SBB ( Grades K-3)</t>
  </si>
  <si>
    <t>SBB &amp; Non-SBB (Grades 4-8)</t>
  </si>
  <si>
    <t>SBB &amp; Non-SBB (Grades 6-8)-This only for schools that have HS grades with grades 6-8.</t>
  </si>
  <si>
    <t>SBB &amp; Non-SBB (High School)</t>
  </si>
  <si>
    <r>
      <t xml:space="preserve">Using the first year of operation as an example, the salaries from </t>
    </r>
    <r>
      <rPr>
        <b/>
        <sz val="11"/>
        <rFont val="Arial"/>
        <family val="2"/>
      </rPr>
      <t>Cells</t>
    </r>
    <r>
      <rPr>
        <sz val="11"/>
        <rFont val="Arial"/>
        <family val="2"/>
      </rPr>
      <t xml:space="preserve"> </t>
    </r>
    <r>
      <rPr>
        <b/>
        <sz val="11"/>
        <rFont val="Arial"/>
        <family val="2"/>
      </rPr>
      <t>C189-C190,</t>
    </r>
    <r>
      <rPr>
        <sz val="11"/>
        <rFont val="Arial"/>
        <family val="2"/>
      </rPr>
      <t xml:space="preserve"> </t>
    </r>
    <r>
      <rPr>
        <b/>
        <sz val="11"/>
        <rFont val="Arial"/>
        <family val="2"/>
      </rPr>
      <t>C204-C205</t>
    </r>
    <r>
      <rPr>
        <sz val="11"/>
        <rFont val="Arial"/>
        <family val="2"/>
      </rPr>
      <t>, and</t>
    </r>
    <r>
      <rPr>
        <b/>
        <sz val="11"/>
        <rFont val="Arial"/>
        <family val="2"/>
      </rPr>
      <t xml:space="preserve"> C221-C222</t>
    </r>
    <r>
      <rPr>
        <sz val="11"/>
        <rFont val="Arial"/>
        <family val="2"/>
      </rPr>
      <t xml:space="preserve"> are multiplied by 100% plus the fringe benefits % (</t>
    </r>
    <r>
      <rPr>
        <b/>
        <sz val="11"/>
        <rFont val="Arial"/>
        <family val="2"/>
      </rPr>
      <t>from Cells D189-D190, D204-D205, and D221-D222)</t>
    </r>
    <r>
      <rPr>
        <sz val="11"/>
        <rFont val="Arial"/>
        <family val="2"/>
      </rPr>
      <t xml:space="preserve"> to arrive at the total salaries and fringe benefits in </t>
    </r>
    <r>
      <rPr>
        <b/>
        <sz val="11"/>
        <rFont val="Arial"/>
        <family val="2"/>
      </rPr>
      <t>Cells</t>
    </r>
    <r>
      <rPr>
        <sz val="11"/>
        <rFont val="Arial"/>
        <family val="2"/>
      </rPr>
      <t xml:space="preserve"> </t>
    </r>
    <r>
      <rPr>
        <b/>
        <sz val="11"/>
        <rFont val="Arial"/>
        <family val="2"/>
      </rPr>
      <t xml:space="preserve">E189-E190, E204-E205, and E221-E222 </t>
    </r>
    <r>
      <rPr>
        <sz val="11"/>
        <rFont val="Arial"/>
        <family val="2"/>
      </rPr>
      <t xml:space="preserve">respectively. The average compensation is computed for the SPED teachers in </t>
    </r>
    <r>
      <rPr>
        <b/>
        <sz val="11"/>
        <rFont val="Arial"/>
        <family val="2"/>
      </rPr>
      <t>Cell B197</t>
    </r>
    <r>
      <rPr>
        <sz val="11"/>
        <rFont val="Arial"/>
        <family val="2"/>
      </rPr>
      <t xml:space="preserve">, in </t>
    </r>
    <r>
      <rPr>
        <b/>
        <sz val="11"/>
        <rFont val="Arial"/>
        <family val="2"/>
      </rPr>
      <t>Cell B213</t>
    </r>
    <r>
      <rPr>
        <sz val="11"/>
        <rFont val="Arial"/>
        <family val="2"/>
      </rPr>
      <t xml:space="preserve"> for the clinicians, and in </t>
    </r>
    <r>
      <rPr>
        <b/>
        <sz val="11"/>
        <rFont val="Arial"/>
        <family val="2"/>
      </rPr>
      <t>Cell B227</t>
    </r>
    <r>
      <rPr>
        <sz val="11"/>
        <rFont val="Arial"/>
        <family val="2"/>
      </rPr>
      <t xml:space="preserve"> for the SPED teacher aides. In </t>
    </r>
    <r>
      <rPr>
        <b/>
        <sz val="11"/>
        <rFont val="Arial"/>
        <family val="2"/>
      </rPr>
      <t>Cell B198</t>
    </r>
    <r>
      <rPr>
        <sz val="11"/>
        <rFont val="Arial"/>
        <family val="2"/>
      </rPr>
      <t xml:space="preserve">, is the total amount of the reimbursement for the SPED teachers. If the average compensation exceeds $90,000, then the total reimbursement compensation will be capped at $90,000 times the number of SPED teachers. In </t>
    </r>
    <r>
      <rPr>
        <b/>
        <sz val="11"/>
        <rFont val="Arial"/>
        <family val="2"/>
      </rPr>
      <t>Cell B214</t>
    </r>
    <r>
      <rPr>
        <sz val="11"/>
        <rFont val="Arial"/>
        <family val="2"/>
      </rPr>
      <t xml:space="preserve"> is the total reimbursable amount for clinicians. The clinicians have the same cap as the SPED teachers. In</t>
    </r>
    <r>
      <rPr>
        <b/>
        <sz val="11"/>
        <rFont val="Arial"/>
        <family val="2"/>
      </rPr>
      <t xml:space="preserve"> Cell B228</t>
    </r>
    <r>
      <rPr>
        <sz val="11"/>
        <rFont val="Arial"/>
        <family val="2"/>
      </rPr>
      <t>, is the total amount of the reimbursement for the SPED teacher aides . If the average compensation exceeds $40,000, then the total reimbursement compensation will be capped at $40,000 times the number of SPED teacher aides. The total reimbursements from</t>
    </r>
    <r>
      <rPr>
        <b/>
        <sz val="11"/>
        <rFont val="Arial"/>
        <family val="2"/>
      </rPr>
      <t xml:space="preserve"> Cells B198, B214, and Cell B228</t>
    </r>
    <r>
      <rPr>
        <sz val="11"/>
        <rFont val="Arial"/>
        <family val="2"/>
      </rPr>
      <t xml:space="preserve"> will populate</t>
    </r>
    <r>
      <rPr>
        <b/>
        <sz val="11"/>
        <rFont val="Arial"/>
        <family val="2"/>
      </rPr>
      <t xml:space="preserve"> Cells C236, C237, and C238</t>
    </r>
    <r>
      <rPr>
        <sz val="11"/>
        <rFont val="Arial"/>
        <family val="2"/>
      </rPr>
      <t xml:space="preserve"> respectively.  </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</si>
  <si>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</si>
  <si>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In </t>
    </r>
    <r>
      <rPr>
        <b/>
        <sz val="11"/>
        <rFont val="Arial"/>
        <family val="2"/>
      </rPr>
      <t>Row 106</t>
    </r>
    <r>
      <rPr>
        <sz val="11"/>
        <rFont val="Arial"/>
        <family val="2"/>
      </rPr>
      <t xml:space="preserve">, the CPS Administrative Fee (cost to the District) is computed. The fee is 3% of the following revenues: (1) Per capita revenue (SBB and Non-SBB), (2) Special Education, (3) SGSA (4)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</si>
  <si>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r>
      <t xml:space="preserve">The budget is for a six-year period (incubation and the first five years of operations). The Incubation Year can be fiscal year </t>
    </r>
    <r>
      <rPr>
        <b/>
        <sz val="11"/>
        <rFont val="Arial"/>
        <family val="2"/>
      </rPr>
      <t>2015, 2016, or 2017</t>
    </r>
    <r>
      <rPr>
        <sz val="11"/>
        <rFont val="Arial"/>
        <family val="2"/>
      </rPr>
      <t xml:space="preserve">. Please note that the fiscal year ends on </t>
    </r>
    <r>
      <rPr>
        <b/>
        <sz val="11"/>
        <rFont val="Arial"/>
        <family val="2"/>
      </rPr>
      <t>June 30th</t>
    </r>
    <r>
      <rPr>
        <sz val="11"/>
        <rFont val="Arial"/>
        <family val="2"/>
      </rPr>
      <t>.</t>
    </r>
  </si>
  <si>
    <t>Please Select in Cell J9 the Incubation Year</t>
  </si>
  <si>
    <t>Title I Eligible Per Pupil Rate ($430 base rate + $23 increases per Title I Index % increase)</t>
  </si>
  <si>
    <t xml:space="preserve">Positions that Participate in the Chicago Teachers Pension Fund (ALL ALOP Program and Contract School employees do NOT participate in the CTPF):         </t>
  </si>
  <si>
    <t xml:space="preserve">Positions that Do NOT Participate in the Chicago Teachers Pension Fund (ALOP Programs and Contract Schools should enter ALL of their employees in this section):         </t>
  </si>
  <si>
    <r>
      <t xml:space="preserve">4) </t>
    </r>
    <r>
      <rPr>
        <b/>
        <sz val="11"/>
        <rFont val="Arial"/>
        <family val="2"/>
      </rPr>
      <t xml:space="preserve">9-12 or HS </t>
    </r>
    <r>
      <rPr>
        <sz val="11"/>
        <rFont val="Arial"/>
        <family val="2"/>
      </rPr>
      <t xml:space="preserve">Note: This RFP requires programs/schools to operate within grades 9-12. </t>
    </r>
  </si>
  <si>
    <r>
      <t xml:space="preserve">Please note that this model assumes ALOP Program and Contract School employees do </t>
    </r>
    <r>
      <rPr>
        <b/>
        <sz val="11"/>
        <rFont val="Arial"/>
        <family val="2"/>
      </rPr>
      <t xml:space="preserve">NOT </t>
    </r>
    <r>
      <rPr>
        <sz val="11"/>
        <rFont val="Arial"/>
        <family val="2"/>
      </rPr>
      <t xml:space="preserve">participate in the Chicago Teachers' Pension Fund ("CTPF"). On the Personnel Worksheet, salaries are divided into two categories: the first category is for employees who participate in the CTPF (this section is for Charter applicants only), and the second one is for those who do </t>
    </r>
    <r>
      <rPr>
        <b/>
        <sz val="11"/>
        <rFont val="Arial"/>
        <family val="2"/>
      </rPr>
      <t>NOT</t>
    </r>
    <r>
      <rPr>
        <sz val="11"/>
        <rFont val="Arial"/>
        <family val="2"/>
      </rPr>
      <t xml:space="preserve"> participate in the CTPF. It is assumed that ALOP Program and Contract School employees will </t>
    </r>
    <r>
      <rPr>
        <b/>
        <i/>
        <sz val="11"/>
        <rFont val="Arial"/>
        <family val="2"/>
      </rPr>
      <t>NOT</t>
    </r>
    <r>
      <rPr>
        <sz val="11"/>
        <rFont val="Arial"/>
        <family val="2"/>
      </rPr>
      <t xml:space="preserve"> participate in the CTPF - therefore, pension and CTPF expense sections of this tab should not populate for these types of programs. </t>
    </r>
  </si>
  <si>
    <r>
      <rPr>
        <b/>
        <sz val="11"/>
        <rFont val="Arial"/>
        <family val="2"/>
      </rPr>
      <t xml:space="preserve">Total Pensionable Salaries and Wages Used to Calculate the Employer's Share of the Pension Expense (Row 185) - </t>
    </r>
    <r>
      <rPr>
        <b/>
        <u val="single"/>
        <sz val="11"/>
        <rFont val="Arial"/>
        <family val="2"/>
      </rPr>
      <t>DOES NOT APPLY TO ALOP PROGRAMS OR CONTRACT SCHOOLS</t>
    </r>
    <r>
      <rPr>
        <sz val="11"/>
        <rFont val="Arial"/>
        <family val="2"/>
      </rPr>
      <t xml:space="preserve"> - 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</si>
  <si>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Total CTPF Salaries and Wages (Row 187)</t>
    </r>
    <r>
      <rPr>
        <sz val="11"/>
        <rFont val="Arial"/>
        <family val="2"/>
      </rPr>
      <t xml:space="preserve"> - </t>
    </r>
    <r>
      <rPr>
        <b/>
        <u val="single"/>
        <sz val="11"/>
        <rFont val="Arial"/>
        <family val="2"/>
      </rPr>
      <t>DOES NOT APPLY TO ALOP PROGRAMS OR CONTRACT SCHOOLS</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</si>
  <si>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School's Pickup of Employees' Pension (Rows 193-195)</t>
    </r>
    <r>
      <rPr>
        <sz val="11"/>
        <rFont val="Arial"/>
        <family val="2"/>
      </rPr>
      <t xml:space="preserve"> </t>
    </r>
    <r>
      <rPr>
        <b/>
        <sz val="11"/>
        <rFont val="Arial"/>
        <family val="2"/>
      </rPr>
      <t xml:space="preserve">- </t>
    </r>
    <r>
      <rPr>
        <b/>
        <u val="single"/>
        <sz val="11"/>
        <rFont val="Arial"/>
        <family val="2"/>
      </rPr>
      <t>DOES NOT APPLY TO ALOP PROGRAMS OR CONTRACT SCHOOLS</t>
    </r>
    <r>
      <rPr>
        <b/>
        <sz val="11"/>
        <rFont val="Arial"/>
        <family val="2"/>
      </rPr>
      <t xml:space="preserve"> - </t>
    </r>
    <r>
      <rPr>
        <sz val="11"/>
        <rFont val="Arial"/>
        <family val="2"/>
      </rPr>
      <t xml:space="preserve">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</si>
  <si>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rPr>
        <b/>
        <sz val="11"/>
        <rFont val="Arial"/>
        <family val="2"/>
      </rPr>
      <t>School's Share of  Employer Contribution (normal cost) to the CTPF (Row 197) -</t>
    </r>
    <r>
      <rPr>
        <b/>
        <u val="single"/>
        <sz val="11"/>
        <rFont val="Arial"/>
        <family val="2"/>
      </rPr>
      <t xml:space="preserve"> DOES NOT APPLY TO ALOP PROGRAMS OR CONTRACT SCHOOLS </t>
    </r>
    <r>
      <rPr>
        <b/>
        <sz val="11"/>
        <rFont val="Arial"/>
        <family val="2"/>
      </rPr>
      <t xml:space="preserve">- </t>
    </r>
    <r>
      <rPr>
        <sz val="11"/>
        <rFont val="Arial"/>
        <family val="2"/>
      </rPr>
      <t xml:space="preserve">It is currently estimated at 11.16% (Cell B197) of pensionable salaries. The expense is calculated by taking the pensionable salaries in Row 185 times the 11.16% in Cell B197.The expense in Row 197 populates Row 70 of the Budget with Assumptions worksheet. </t>
    </r>
  </si>
  <si>
    <t xml:space="preserve">Since CPS reimburses ALOP Programs and Charter/Contract Schools for the salaries and fringe benefits, an estimate for the fringe benefits has to be calculated. In Cells C184, I184, N184, T184 and Z184, please enter your estimated fringe benefit % for the special education positions. Please do NOT include the employer's share of the Chicago Teachers Pension Fund (11.16% of salaries) as an expense when calculating the fringe benefit %. Please show your calculation(s) for the fringe benefit % in the "Calculations" worksheet.                                                                                                                                 </t>
  </si>
  <si>
    <t>(a) Supplemental General State Aid or "SGSA" Revenue (Rows 8-13) - Please enter in Row 10 the estimated Free and Reduced Lunch ("FRL") % for your intended recruitment boundary. If you are unsure of this %, enter 91% (estimated average FRL%). The % in Row 10 will be multiplied by the total enrollment in Row 9 (populated with the total enrollments entered from the Revenues: Per Capita and SPED worksheet). In Row 11, the estimated total number of students eligible for FRL is computed. In Row 12 is the estimated per pupil amount for students eligible for FRL. In Row 13, the estimated SGSA revenue is calculated, and it populates Row 17 of the Budget with Assumptions worksheet. (NOTE: Please see the attachment for an overview of SGSA.)</t>
  </si>
  <si>
    <r>
      <rPr>
        <b/>
        <sz val="11"/>
        <rFont val="Arial"/>
        <family val="2"/>
      </rPr>
      <t xml:space="preserve">(d) Expansion Funding (Rows 33-43, Row 86, and Row 95) - </t>
    </r>
    <r>
      <rPr>
        <b/>
        <i/>
        <sz val="11"/>
        <rFont val="Arial"/>
        <family val="2"/>
      </rPr>
      <t xml:space="preserve"> An programs/schools are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</si>
  <si>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t>2014 RFP Budget Instructions - Education Options</t>
  </si>
  <si>
    <t xml:space="preserve">This budget template is operators proposing to open new Alternative Learning Opportunity (ALOP) programs, contract schools, or charter schools for out-of-school and off-track youth. </t>
  </si>
  <si>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</si>
  <si>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t>NCLB-Title 2</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</si>
  <si>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should be excluded when calculating the reimbursement for the fringe benefits of the SPED teachers, clinicians, and teacher aides. (Please see </t>
    </r>
    <r>
      <rPr>
        <b/>
        <sz val="11"/>
        <rFont val="Arial"/>
        <family val="2"/>
      </rPr>
      <t>Cell B130</t>
    </r>
    <r>
      <rPr>
        <sz val="11"/>
        <rFont val="Arial"/>
        <family val="2"/>
      </rPr>
      <t xml:space="preserve"> of this worksheet.)</t>
    </r>
  </si>
  <si>
    <r>
      <rPr>
        <b/>
        <sz val="11"/>
        <rFont val="Arial"/>
        <family val="2"/>
      </rPr>
      <t>Section 1</t>
    </r>
    <r>
      <rPr>
        <sz val="11"/>
        <rFont val="Arial"/>
        <family val="2"/>
      </rPr>
      <t xml:space="preserve">: Enter the number of FTE's for each job title for each year in </t>
    </r>
    <r>
      <rPr>
        <b/>
        <sz val="11"/>
        <rFont val="Arial"/>
        <family val="2"/>
      </rPr>
      <t>Rows 8-13</t>
    </r>
    <r>
      <rPr>
        <sz val="11"/>
        <rFont val="Arial"/>
        <family val="2"/>
      </rPr>
      <t xml:space="preserve">. Using the example in </t>
    </r>
    <r>
      <rPr>
        <b/>
        <sz val="11"/>
        <rFont val="Arial"/>
        <family val="2"/>
      </rPr>
      <t xml:space="preserve">Cell B72 </t>
    </r>
    <r>
      <rPr>
        <sz val="11"/>
        <rFont val="Arial"/>
        <family val="2"/>
      </rPr>
      <t xml:space="preserve">above, if a school is projecting to hire a .20 FTE psychologist, .20 would be entered in </t>
    </r>
    <r>
      <rPr>
        <b/>
        <sz val="11"/>
        <rFont val="Arial"/>
        <family val="2"/>
      </rPr>
      <t>Row 8</t>
    </r>
    <r>
      <rPr>
        <sz val="11"/>
        <rFont val="Arial"/>
        <family val="2"/>
      </rPr>
      <t xml:space="preserve"> of the Contractual Clinicians worksheet for the applicable year(s).</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</si>
  <si>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ALOP Programs and Charter/Contract Schools for Special Education Teachers, Special Education Teacher Aides, and Clinicians based on the students' IEP's.</t>
  </si>
  <si>
    <r>
      <t xml:space="preserve">This worksheet is for budgeting clinicians that the school plans to hire on a contractual or non-employee basis. These are reimbursable positions (by CPS) as mentioned in </t>
    </r>
    <r>
      <rPr>
        <b/>
        <sz val="11"/>
        <rFont val="Arial"/>
        <family val="2"/>
      </rPr>
      <t xml:space="preserve">Cells B42-B50 </t>
    </r>
    <r>
      <rPr>
        <sz val="11"/>
        <rFont val="Arial"/>
        <family val="2"/>
      </rPr>
      <t>above. For example, if the school had to hire a .20 FTE psychologist, it may be easier to hire a contractual psychologist than an employee.</t>
    </r>
  </si>
  <si>
    <r>
      <t xml:space="preserve">Please use this worksheet to show any calculations for your budget. As noted in </t>
    </r>
    <r>
      <rPr>
        <b/>
        <sz val="11"/>
        <rFont val="Arial"/>
        <family val="2"/>
      </rPr>
      <t>Cell B130</t>
    </r>
    <r>
      <rPr>
        <sz val="11"/>
        <rFont val="Arial"/>
        <family val="2"/>
      </rPr>
      <t xml:space="preserve"> of this worksheet, please show how you calculated the fringe benefit % for the reimbursement of SPED personnel.</t>
    </r>
  </si>
  <si>
    <t>Academic Coordinator</t>
  </si>
  <si>
    <t>Registrar</t>
  </si>
  <si>
    <t>IT Support</t>
  </si>
  <si>
    <t>Virtual Teachers</t>
  </si>
  <si>
    <t>Curriculum Software</t>
  </si>
  <si>
    <t>Test Prep Materials</t>
  </si>
  <si>
    <t>Scheduling Software</t>
  </si>
  <si>
    <t>Life skills materials</t>
  </si>
  <si>
    <t>Bus Passes</t>
  </si>
  <si>
    <t>Catapult Academy</t>
  </si>
  <si>
    <t>Regional Manager of College, Careers &amp; Community Relations</t>
  </si>
  <si>
    <t>5,000 sq ft at $24.00/sq ft</t>
  </si>
  <si>
    <t>Contractor support</t>
  </si>
  <si>
    <t>Facility start-up plan</t>
  </si>
  <si>
    <t>Corporate support allocation</t>
  </si>
  <si>
    <t>Company's current SUI rate</t>
  </si>
  <si>
    <t>Allocated expense based on number of students</t>
  </si>
  <si>
    <t>Cost per recruitment and retention</t>
  </si>
  <si>
    <t>Contractual rate per student</t>
  </si>
  <si>
    <t>Executive Director</t>
  </si>
  <si>
    <t>Para-professionals</t>
  </si>
  <si>
    <t>Enrollment and Retention Specialist</t>
  </si>
  <si>
    <t>School Community Liason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</si>
</sst>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s>
  <fonts count="5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9"/>
      <color indexed="8"/>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sz val="11"/>
      <color theme="1"/>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5" tint="0.7999799847602844"/>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bottom style="thin"/>
    </border>
    <border>
      <left style="thin"/>
      <right/>
      <top/>
      <bottom/>
    </border>
    <border>
      <left style="thin"/>
      <right style="thin"/>
      <top>
        <color indexed="63"/>
      </top>
      <bottom>
        <color indexed="63"/>
      </bottom>
    </border>
    <border>
      <left style="thin"/>
      <right/>
      <top style="thin"/>
      <bottom style="thin"/>
    </border>
    <border>
      <left style="thin"/>
      <right/>
      <top/>
      <bottom style="thin"/>
    </border>
    <border>
      <left style="thin"/>
      <right/>
      <top style="thin"/>
      <bottom/>
    </border>
    <border>
      <left style="medium"/>
      <right/>
      <top style="medium"/>
      <bottom style="medium"/>
    </border>
    <border>
      <left/>
      <right/>
      <top style="thin"/>
      <bottom style="thin"/>
    </border>
    <border>
      <left/>
      <right style="thin"/>
      <top style="thin"/>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medium"/>
      <top style="thin"/>
      <bottom>
        <color indexed="63"/>
      </bottom>
    </border>
    <border>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style="thin"/>
      <top style="thin"/>
      <bottom style="medium"/>
    </border>
    <border>
      <left style="thin"/>
      <right style="thin"/>
      <top>
        <color indexed="63"/>
      </top>
      <bottom style="medium"/>
    </border>
    <border>
      <left/>
      <right style="thin"/>
      <top/>
      <bottom style="medium"/>
    </border>
    <border>
      <left style="medium"/>
      <right style="thin"/>
      <top/>
      <bottom style="thin"/>
    </border>
    <border>
      <left style="medium"/>
      <right style="thin"/>
      <top style="thin"/>
      <bottom/>
    </border>
    <border>
      <left/>
      <right style="thin"/>
      <top/>
      <bottom style="thin"/>
    </border>
    <border>
      <left style="medium"/>
      <right style="medium"/>
      <top style="thin"/>
      <bottom style="thin"/>
    </border>
    <border>
      <left style="thin"/>
      <right style="medium"/>
      <top>
        <color indexed="63"/>
      </top>
      <bottom style="medium"/>
    </border>
    <border>
      <left style="medium"/>
      <right/>
      <top>
        <color indexed="63"/>
      </top>
      <bottom style="thin"/>
    </border>
    <border>
      <left style="thin"/>
      <right style="medium"/>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right style="thin"/>
      <top/>
      <bottom/>
    </border>
    <border>
      <left/>
      <right style="thin"/>
      <top style="thin"/>
      <bottom style="medium"/>
    </border>
    <border>
      <left style="medium"/>
      <right style="thin"/>
      <top>
        <color indexed="63"/>
      </top>
      <bottom style="medium"/>
    </border>
    <border>
      <left style="thin"/>
      <right/>
      <top style="thin"/>
      <bottom style="medium"/>
    </border>
    <border>
      <left style="medium"/>
      <right>
        <color indexed="63"/>
      </right>
      <top style="thin"/>
      <bottom>
        <color indexed="63"/>
      </bottom>
    </border>
    <border>
      <left style="double"/>
      <right style="double"/>
      <top style="double"/>
      <bottom>
        <color indexed="63"/>
      </bottom>
    </border>
    <border>
      <left style="double"/>
      <right style="double"/>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40">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59" applyNumberFormat="1" applyFont="1" applyAlignment="1">
      <alignment horizontal="right"/>
      <protection/>
    </xf>
    <xf numFmtId="165" fontId="33" fillId="0" borderId="0" xfId="59" applyNumberFormat="1" applyFont="1" applyAlignment="1">
      <alignment horizontal="left" indent="1"/>
      <protection/>
    </xf>
    <xf numFmtId="165" fontId="30" fillId="0" borderId="0" xfId="59" applyNumberFormat="1" applyFont="1" applyAlignment="1">
      <alignment horizontal="left"/>
      <protection/>
    </xf>
    <xf numFmtId="0" fontId="35" fillId="0" borderId="0" xfId="59" applyFont="1" applyAlignment="1">
      <alignment horizontal="left" indent="2"/>
      <protection/>
    </xf>
    <xf numFmtId="165" fontId="30" fillId="0" borderId="10" xfId="59" applyNumberFormat="1" applyFont="1" applyBorder="1" applyAlignment="1" applyProtection="1">
      <alignment horizontal="right"/>
      <protection locked="0"/>
    </xf>
    <xf numFmtId="165" fontId="35" fillId="0" borderId="0" xfId="59" applyNumberFormat="1" applyFont="1" applyAlignment="1">
      <alignment horizontal="left" indent="2"/>
      <protection/>
    </xf>
    <xf numFmtId="165" fontId="30" fillId="0" borderId="0" xfId="59" applyNumberFormat="1" applyFont="1" applyAlignment="1" applyProtection="1">
      <alignment horizontal="left"/>
      <protection locked="0"/>
    </xf>
    <xf numFmtId="165" fontId="30" fillId="0" borderId="0" xfId="59" applyNumberFormat="1" applyFont="1" applyAlignment="1" applyProtection="1">
      <alignment horizontal="right"/>
      <protection locked="0"/>
    </xf>
    <xf numFmtId="0" fontId="35" fillId="0" borderId="0" xfId="59" applyFont="1" applyAlignment="1" applyProtection="1">
      <alignment horizontal="left" indent="2"/>
      <protection locked="0"/>
    </xf>
    <xf numFmtId="165" fontId="35" fillId="0" borderId="0" xfId="59" applyNumberFormat="1" applyFont="1" applyAlignment="1" applyProtection="1">
      <alignment horizontal="left" indent="2"/>
      <protection locked="0"/>
    </xf>
    <xf numFmtId="165" fontId="30" fillId="0" borderId="0" xfId="59" applyNumberFormat="1" applyFont="1" applyBorder="1" applyAlignment="1">
      <alignment horizontal="right"/>
      <protection/>
    </xf>
    <xf numFmtId="165" fontId="30" fillId="0" borderId="0" xfId="0" applyNumberFormat="1" applyFont="1" applyBorder="1" applyAlignment="1">
      <alignment/>
    </xf>
    <xf numFmtId="0" fontId="30" fillId="0" borderId="0" xfId="59" applyFont="1" applyAlignment="1" applyProtection="1">
      <alignment horizontal="left" indent="1"/>
      <protection locked="0"/>
    </xf>
    <xf numFmtId="165" fontId="30" fillId="0" borderId="0" xfId="59"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59" applyNumberFormat="1" applyFont="1" applyAlignment="1" applyProtection="1">
      <alignment horizontal="left" indent="2"/>
      <protection locked="0"/>
    </xf>
    <xf numFmtId="0" fontId="33" fillId="0" borderId="0" xfId="59" applyFont="1" applyAlignment="1" applyProtection="1">
      <alignment horizontal="left" indent="1"/>
      <protection locked="0"/>
    </xf>
    <xf numFmtId="165" fontId="30" fillId="0" borderId="0" xfId="59" applyNumberFormat="1" applyFont="1" applyBorder="1" applyAlignment="1" applyProtection="1">
      <alignment horizontal="right"/>
      <protection locked="0"/>
    </xf>
    <xf numFmtId="165" fontId="33" fillId="0" borderId="0" xfId="59"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59" applyFont="1" applyBorder="1" applyAlignment="1" applyProtection="1">
      <alignment horizontal="left" indent="1"/>
      <protection locked="0"/>
    </xf>
    <xf numFmtId="165" fontId="30" fillId="0" borderId="0" xfId="59" applyNumberFormat="1" applyFont="1" applyBorder="1" applyAlignment="1" applyProtection="1">
      <alignment horizontal="left" indent="1"/>
      <protection locked="0"/>
    </xf>
    <xf numFmtId="165" fontId="30" fillId="0" borderId="0" xfId="59"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1" xfId="0" applyFont="1" applyFill="1" applyBorder="1" applyAlignment="1" applyProtection="1">
      <alignment/>
      <protection locked="0"/>
    </xf>
    <xf numFmtId="43" fontId="0" fillId="8" borderId="10" xfId="42"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0" xfId="0" applyFont="1" applyFill="1" applyBorder="1" applyAlignment="1" applyProtection="1">
      <alignment/>
      <protection/>
    </xf>
    <xf numFmtId="10" fontId="27"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67" fontId="0" fillId="0" borderId="10" xfId="42" applyNumberFormat="1" applyFont="1" applyFill="1" applyBorder="1" applyAlignment="1" applyProtection="1">
      <alignment/>
      <protection locked="0"/>
    </xf>
    <xf numFmtId="0" fontId="27" fillId="0" borderId="12"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3" xfId="0" applyNumberFormat="1" applyBorder="1" applyAlignment="1">
      <alignment/>
    </xf>
    <xf numFmtId="5" fontId="27" fillId="0" borderId="12" xfId="0" applyNumberFormat="1" applyFont="1" applyBorder="1" applyAlignment="1">
      <alignment/>
    </xf>
    <xf numFmtId="5" fontId="27" fillId="0" borderId="10" xfId="0" applyNumberFormat="1" applyFont="1" applyBorder="1" applyAlignment="1">
      <alignment/>
    </xf>
    <xf numFmtId="5" fontId="27" fillId="0" borderId="13"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22" fillId="0" borderId="12"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4" xfId="0" applyFont="1" applyBorder="1" applyAlignment="1">
      <alignment horizontal="center"/>
    </xf>
    <xf numFmtId="167" fontId="0" fillId="24" borderId="10" xfId="42" applyNumberFormat="1" applyFont="1" applyFill="1" applyBorder="1" applyAlignment="1" applyProtection="1">
      <alignment/>
      <protection locked="0"/>
    </xf>
    <xf numFmtId="167" fontId="0" fillId="24" borderId="13" xfId="42" applyNumberFormat="1" applyFont="1" applyFill="1" applyBorder="1" applyAlignment="1" applyProtection="1">
      <alignment/>
      <protection locked="0"/>
    </xf>
    <xf numFmtId="5" fontId="0" fillId="0" borderId="13"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67" fontId="0" fillId="20" borderId="10" xfId="42" applyNumberFormat="1" applyFont="1" applyFill="1" applyBorder="1" applyAlignment="1" applyProtection="1">
      <alignment/>
      <protection/>
    </xf>
    <xf numFmtId="43" fontId="0" fillId="0" borderId="10" xfId="42" applyFont="1" applyFill="1" applyBorder="1" applyAlignment="1" applyProtection="1">
      <alignment/>
      <protection locked="0"/>
    </xf>
    <xf numFmtId="43" fontId="0" fillId="20" borderId="10" xfId="42" applyFont="1" applyFill="1" applyBorder="1" applyAlignment="1" applyProtection="1">
      <alignment/>
      <protection/>
    </xf>
    <xf numFmtId="0" fontId="0" fillId="0" borderId="0" xfId="0" applyFill="1" applyBorder="1" applyAlignment="1" applyProtection="1">
      <alignment horizontal="left"/>
      <protection locked="0"/>
    </xf>
    <xf numFmtId="0" fontId="0" fillId="0" borderId="0" xfId="0" applyFont="1" applyAlignment="1" applyProtection="1">
      <alignment/>
      <protection locked="0"/>
    </xf>
    <xf numFmtId="0" fontId="27" fillId="25" borderId="12" xfId="0" applyFont="1" applyFill="1" applyBorder="1" applyAlignment="1">
      <alignment horizontal="center"/>
    </xf>
    <xf numFmtId="0" fontId="21" fillId="25" borderId="12" xfId="0" applyFont="1" applyFill="1" applyBorder="1" applyAlignment="1">
      <alignment horizontal="center" wrapText="1"/>
    </xf>
    <xf numFmtId="0" fontId="21" fillId="25" borderId="12" xfId="0" applyFont="1" applyFill="1" applyBorder="1" applyAlignment="1">
      <alignment horizontal="center"/>
    </xf>
    <xf numFmtId="10" fontId="27" fillId="26" borderId="10" xfId="0" applyNumberFormat="1" applyFont="1" applyFill="1" applyBorder="1" applyAlignment="1" applyProtection="1">
      <alignment/>
      <protection locked="0"/>
    </xf>
    <xf numFmtId="0" fontId="0" fillId="0" borderId="15" xfId="0" applyFont="1" applyBorder="1" applyAlignment="1" applyProtection="1">
      <alignment vertical="top"/>
      <protection locked="0"/>
    </xf>
    <xf numFmtId="0" fontId="0" fillId="0" borderId="10" xfId="0" applyFont="1" applyBorder="1" applyAlignment="1" applyProtection="1">
      <alignment vertical="top"/>
      <protection locked="0"/>
    </xf>
    <xf numFmtId="43" fontId="0" fillId="26" borderId="10" xfId="42" applyFont="1" applyFill="1" applyBorder="1" applyAlignment="1" applyProtection="1">
      <alignment/>
      <protection locked="0"/>
    </xf>
    <xf numFmtId="43" fontId="0" fillId="26" borderId="10" xfId="42" applyFont="1" applyFill="1" applyBorder="1" applyAlignment="1" applyProtection="1">
      <alignment/>
      <protection/>
    </xf>
    <xf numFmtId="167" fontId="0" fillId="27" borderId="10" xfId="42" applyNumberFormat="1" applyFont="1" applyFill="1" applyBorder="1" applyAlignment="1" applyProtection="1">
      <alignment/>
      <protection/>
    </xf>
    <xf numFmtId="167" fontId="0" fillId="27" borderId="10" xfId="42" applyNumberFormat="1" applyFont="1" applyFill="1" applyBorder="1" applyAlignment="1" applyProtection="1">
      <alignment/>
      <protection locked="0"/>
    </xf>
    <xf numFmtId="167" fontId="0" fillId="27" borderId="13" xfId="42" applyNumberFormat="1" applyFont="1" applyFill="1" applyBorder="1" applyAlignment="1" applyProtection="1">
      <alignment/>
      <protection locked="0"/>
    </xf>
    <xf numFmtId="167" fontId="0" fillId="27" borderId="15" xfId="42" applyNumberFormat="1" applyFont="1" applyFill="1" applyBorder="1" applyAlignment="1" applyProtection="1">
      <alignment/>
      <protection/>
    </xf>
    <xf numFmtId="0" fontId="0" fillId="27" borderId="10" xfId="0" applyFill="1" applyBorder="1" applyAlignment="1" applyProtection="1">
      <alignment wrapText="1"/>
      <protection locked="0"/>
    </xf>
    <xf numFmtId="0" fontId="0" fillId="27" borderId="0" xfId="0" applyFill="1" applyAlignment="1" applyProtection="1">
      <alignment/>
      <protection locked="0"/>
    </xf>
    <xf numFmtId="0" fontId="27" fillId="27" borderId="0" xfId="0" applyFont="1" applyFill="1" applyAlignment="1" applyProtection="1">
      <alignment/>
      <protection locked="0"/>
    </xf>
    <xf numFmtId="37" fontId="0" fillId="27" borderId="0" xfId="0" applyNumberFormat="1" applyFill="1" applyAlignment="1" applyProtection="1">
      <alignment/>
      <protection locked="0"/>
    </xf>
    <xf numFmtId="0" fontId="0" fillId="27" borderId="16" xfId="0" applyFill="1" applyBorder="1" applyAlignment="1" applyProtection="1">
      <alignment wrapText="1"/>
      <protection/>
    </xf>
    <xf numFmtId="0" fontId="0" fillId="27" borderId="17" xfId="0" applyFont="1" applyFill="1" applyBorder="1" applyAlignment="1" applyProtection="1">
      <alignment horizontal="center" wrapText="1"/>
      <protection/>
    </xf>
    <xf numFmtId="0" fontId="0" fillId="27" borderId="15" xfId="0" applyFill="1" applyBorder="1" applyAlignment="1" applyProtection="1">
      <alignment/>
      <protection/>
    </xf>
    <xf numFmtId="0" fontId="0" fillId="26" borderId="10" xfId="0" applyFill="1" applyBorder="1" applyAlignment="1" applyProtection="1">
      <alignment horizontal="left"/>
      <protection locked="0"/>
    </xf>
    <xf numFmtId="0" fontId="0" fillId="26" borderId="13" xfId="0" applyFill="1" applyBorder="1" applyAlignment="1" applyProtection="1">
      <alignment horizontal="left"/>
      <protection locked="0"/>
    </xf>
    <xf numFmtId="0" fontId="27" fillId="0" borderId="15" xfId="0" applyFont="1" applyBorder="1" applyAlignment="1" applyProtection="1">
      <alignment vertical="top"/>
      <protection locked="0"/>
    </xf>
    <xf numFmtId="0" fontId="0" fillId="0" borderId="15" xfId="0" applyFont="1" applyBorder="1" applyAlignment="1" applyProtection="1">
      <alignment/>
      <protection locked="0"/>
    </xf>
    <xf numFmtId="167" fontId="0" fillId="26" borderId="10"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xf>
    <xf numFmtId="0" fontId="27" fillId="0" borderId="10" xfId="0" applyFont="1" applyFill="1" applyBorder="1" applyAlignment="1" applyProtection="1">
      <alignment horizontal="left"/>
      <protection locked="0"/>
    </xf>
    <xf numFmtId="167" fontId="0" fillId="26" borderId="18" xfId="42" applyNumberFormat="1" applyFont="1" applyFill="1" applyBorder="1" applyAlignment="1" applyProtection="1">
      <alignment/>
      <protection locked="0"/>
    </xf>
    <xf numFmtId="0" fontId="0" fillId="26" borderId="0" xfId="0" applyFill="1" applyAlignment="1" applyProtection="1">
      <alignment/>
      <protection locked="0"/>
    </xf>
    <xf numFmtId="167" fontId="0" fillId="26" borderId="19" xfId="42" applyNumberFormat="1" applyFont="1" applyFill="1" applyBorder="1" applyAlignment="1" applyProtection="1">
      <alignment/>
      <protection locked="0"/>
    </xf>
    <xf numFmtId="43" fontId="0" fillId="0" borderId="15" xfId="42" applyFont="1" applyFill="1" applyBorder="1" applyAlignment="1" applyProtection="1">
      <alignment/>
      <protection locked="0"/>
    </xf>
    <xf numFmtId="0" fontId="27" fillId="26" borderId="0" xfId="0" applyFont="1" applyFill="1" applyBorder="1" applyAlignment="1" applyProtection="1">
      <alignment/>
      <protection/>
    </xf>
    <xf numFmtId="167" fontId="27" fillId="27" borderId="0" xfId="42" applyNumberFormat="1" applyFont="1" applyFill="1" applyBorder="1" applyAlignment="1" applyProtection="1">
      <alignment/>
      <protection/>
    </xf>
    <xf numFmtId="167" fontId="0" fillId="27" borderId="15" xfId="42" applyNumberFormat="1" applyFont="1" applyFill="1" applyBorder="1" applyAlignment="1" applyProtection="1">
      <alignment/>
      <protection locked="0"/>
    </xf>
    <xf numFmtId="0" fontId="0" fillId="0" borderId="13" xfId="0" applyBorder="1" applyAlignment="1" applyProtection="1">
      <alignment/>
      <protection locked="0"/>
    </xf>
    <xf numFmtId="167" fontId="0" fillId="0" borderId="15" xfId="42" applyNumberFormat="1" applyFont="1" applyFill="1" applyBorder="1" applyAlignment="1" applyProtection="1">
      <alignment/>
      <protection locked="0"/>
    </xf>
    <xf numFmtId="43" fontId="0" fillId="0" borderId="13" xfId="42" applyFont="1" applyFill="1" applyBorder="1" applyAlignment="1" applyProtection="1">
      <alignment/>
      <protection locked="0"/>
    </xf>
    <xf numFmtId="43" fontId="0" fillId="26" borderId="13" xfId="42" applyFont="1" applyFill="1" applyBorder="1" applyAlignment="1" applyProtection="1">
      <alignment/>
      <protection locked="0"/>
    </xf>
    <xf numFmtId="43" fontId="0" fillId="8" borderId="15" xfId="42" applyFont="1" applyFill="1" applyBorder="1" applyAlignment="1" applyProtection="1">
      <alignment/>
      <protection locked="0"/>
    </xf>
    <xf numFmtId="167" fontId="0" fillId="26" borderId="20" xfId="42" applyNumberFormat="1" applyFont="1" applyFill="1" applyBorder="1" applyAlignment="1" applyProtection="1">
      <alignment/>
      <protection locked="0"/>
    </xf>
    <xf numFmtId="167" fontId="0" fillId="0" borderId="13" xfId="42" applyNumberFormat="1" applyFont="1" applyFill="1" applyBorder="1" applyAlignment="1" applyProtection="1">
      <alignment/>
      <protection locked="0"/>
    </xf>
    <xf numFmtId="0" fontId="0" fillId="27" borderId="15" xfId="0" applyFill="1" applyBorder="1" applyAlignment="1" applyProtection="1">
      <alignment/>
      <protection locked="0"/>
    </xf>
    <xf numFmtId="0" fontId="0" fillId="26" borderId="10" xfId="0" applyFont="1" applyFill="1" applyBorder="1" applyAlignment="1" applyProtection="1">
      <alignment horizontal="left"/>
      <protection locked="0"/>
    </xf>
    <xf numFmtId="167" fontId="0" fillId="27" borderId="21"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3" fontId="0" fillId="26" borderId="10" xfId="0" applyNumberFormat="1" applyFill="1" applyBorder="1" applyAlignment="1" applyProtection="1">
      <alignment wrapText="1"/>
      <protection locked="0"/>
    </xf>
    <xf numFmtId="167" fontId="27" fillId="27" borderId="22" xfId="0" applyNumberFormat="1" applyFont="1" applyFill="1" applyBorder="1" applyAlignment="1" applyProtection="1">
      <alignment/>
      <protection/>
    </xf>
    <xf numFmtId="37" fontId="0" fillId="27" borderId="18" xfId="0" applyNumberFormat="1" applyFill="1" applyBorder="1" applyAlignment="1" applyProtection="1">
      <alignment/>
      <protection locked="0"/>
    </xf>
    <xf numFmtId="10" fontId="27" fillId="26" borderId="23" xfId="62" applyNumberFormat="1" applyFont="1" applyFill="1" applyBorder="1" applyAlignment="1" applyProtection="1">
      <alignment horizontal="center"/>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24" xfId="0" applyFont="1" applyFill="1" applyBorder="1" applyAlignment="1">
      <alignment horizontal="center" wrapText="1"/>
    </xf>
    <xf numFmtId="0" fontId="21" fillId="26" borderId="25" xfId="0" applyFont="1" applyFill="1" applyBorder="1" applyAlignment="1">
      <alignment horizontal="center" wrapText="1"/>
    </xf>
    <xf numFmtId="0" fontId="0" fillId="0" borderId="26" xfId="0" applyBorder="1" applyAlignment="1" applyProtection="1">
      <alignment/>
      <protection locked="0"/>
    </xf>
    <xf numFmtId="0" fontId="0" fillId="0" borderId="15"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4" xfId="0" applyFont="1" applyBorder="1" applyAlignment="1">
      <alignment/>
    </xf>
    <xf numFmtId="165" fontId="26" fillId="0" borderId="0" xfId="0" applyNumberFormat="1" applyFont="1" applyBorder="1" applyAlignment="1">
      <alignment/>
    </xf>
    <xf numFmtId="0" fontId="0" fillId="26" borderId="2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27" xfId="0" applyFont="1" applyFill="1" applyBorder="1" applyAlignment="1">
      <alignment horizontal="center"/>
    </xf>
    <xf numFmtId="0" fontId="27" fillId="26" borderId="25" xfId="0" applyFont="1" applyFill="1" applyBorder="1" applyAlignment="1">
      <alignment horizontal="center"/>
    </xf>
    <xf numFmtId="0" fontId="27" fillId="26" borderId="2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28" xfId="0" applyFont="1" applyBorder="1" applyAlignment="1">
      <alignment horizontal="center"/>
    </xf>
    <xf numFmtId="0" fontId="0" fillId="0" borderId="26" xfId="0" applyBorder="1" applyAlignment="1">
      <alignment/>
    </xf>
    <xf numFmtId="0" fontId="27" fillId="0" borderId="2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6" borderId="24" xfId="0" applyFont="1" applyFill="1" applyBorder="1" applyAlignment="1" applyProtection="1" quotePrefix="1">
      <alignment horizontal="center"/>
      <protection locked="0"/>
    </xf>
    <xf numFmtId="0" fontId="21" fillId="26" borderId="21" xfId="0" applyFont="1" applyFill="1" applyBorder="1" applyAlignment="1">
      <alignment horizontal="center" wrapText="1"/>
    </xf>
    <xf numFmtId="0" fontId="21" fillId="26" borderId="29" xfId="0" applyFont="1" applyFill="1" applyBorder="1" applyAlignment="1">
      <alignment horizontal="center" wrapText="1"/>
    </xf>
    <xf numFmtId="0" fontId="0" fillId="0" borderId="15"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37" fontId="0" fillId="26" borderId="0" xfId="0" applyNumberFormat="1" applyFill="1" applyBorder="1" applyAlignment="1">
      <alignment horizontal="center"/>
    </xf>
    <xf numFmtId="0" fontId="0" fillId="26" borderId="26" xfId="0" applyFill="1" applyBorder="1" applyAlignment="1" applyProtection="1">
      <alignment/>
      <protection locked="0"/>
    </xf>
    <xf numFmtId="0" fontId="0" fillId="0" borderId="24" xfId="0" applyBorder="1" applyAlignment="1" applyProtection="1">
      <alignment/>
      <protection locked="0"/>
    </xf>
    <xf numFmtId="37" fontId="27" fillId="0" borderId="12" xfId="0" applyNumberFormat="1" applyFont="1" applyBorder="1" applyAlignment="1" applyProtection="1">
      <alignment/>
      <protection locked="0"/>
    </xf>
    <xf numFmtId="37" fontId="27" fillId="0" borderId="12" xfId="0" applyNumberFormat="1" applyFont="1" applyBorder="1" applyAlignment="1">
      <alignment/>
    </xf>
    <xf numFmtId="0" fontId="0" fillId="0" borderId="24" xfId="0" applyBorder="1" applyAlignment="1">
      <alignment/>
    </xf>
    <xf numFmtId="0" fontId="0" fillId="0" borderId="0" xfId="0" applyBorder="1" applyAlignment="1" applyProtection="1">
      <alignment/>
      <protection/>
    </xf>
    <xf numFmtId="0" fontId="0" fillId="0" borderId="26" xfId="0" applyBorder="1" applyAlignment="1" applyProtection="1">
      <alignment horizontal="center"/>
      <protection/>
    </xf>
    <xf numFmtId="0" fontId="0" fillId="0" borderId="0" xfId="0" applyFont="1" applyBorder="1" applyAlignment="1" applyProtection="1">
      <alignment/>
      <protection/>
    </xf>
    <xf numFmtId="37" fontId="0" fillId="0" borderId="26" xfId="0" applyNumberFormat="1" applyBorder="1" applyAlignment="1" applyProtection="1">
      <alignment horizontal="center"/>
      <protection/>
    </xf>
    <xf numFmtId="5" fontId="0" fillId="0" borderId="26" xfId="0" applyNumberFormat="1" applyBorder="1" applyAlignment="1" applyProtection="1">
      <alignment horizontal="center"/>
      <protection/>
    </xf>
    <xf numFmtId="5" fontId="27" fillId="0" borderId="26" xfId="0" applyNumberFormat="1" applyFont="1" applyBorder="1" applyAlignment="1" applyProtection="1">
      <alignment horizontal="center"/>
      <protection/>
    </xf>
    <xf numFmtId="0" fontId="0" fillId="0" borderId="27" xfId="0" applyBorder="1" applyAlignment="1">
      <alignment/>
    </xf>
    <xf numFmtId="0" fontId="0" fillId="0" borderId="25" xfId="0" applyBorder="1" applyAlignment="1">
      <alignment/>
    </xf>
    <xf numFmtId="0" fontId="0" fillId="0" borderId="25" xfId="0" applyBorder="1" applyAlignment="1" applyProtection="1">
      <alignment/>
      <protection/>
    </xf>
    <xf numFmtId="0" fontId="0" fillId="0" borderId="30" xfId="0" applyBorder="1" applyAlignment="1" applyProtection="1">
      <alignment horizontal="center"/>
      <protection/>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8" borderId="31" xfId="0" applyFill="1" applyBorder="1" applyAlignment="1">
      <alignment/>
    </xf>
    <xf numFmtId="0" fontId="0" fillId="28" borderId="31" xfId="0" applyFill="1" applyBorder="1" applyAlignment="1">
      <alignment horizontal="center"/>
    </xf>
    <xf numFmtId="0" fontId="0" fillId="28" borderId="32" xfId="0" applyFill="1" applyBorder="1" applyAlignment="1">
      <alignment/>
    </xf>
    <xf numFmtId="0" fontId="0" fillId="0" borderId="14" xfId="0" applyBorder="1" applyAlignment="1">
      <alignment/>
    </xf>
    <xf numFmtId="0" fontId="0" fillId="0" borderId="33" xfId="0" applyBorder="1" applyAlignment="1">
      <alignment/>
    </xf>
    <xf numFmtId="0" fontId="54" fillId="0" borderId="24" xfId="0" applyFont="1" applyBorder="1" applyAlignment="1">
      <alignment wrapText="1"/>
    </xf>
    <xf numFmtId="5" fontId="54" fillId="26" borderId="0" xfId="0" applyNumberFormat="1" applyFont="1" applyFill="1" applyBorder="1" applyAlignment="1">
      <alignment horizontal="right" wrapText="1"/>
    </xf>
    <xf numFmtId="0" fontId="0" fillId="0" borderId="26" xfId="0" applyBorder="1" applyAlignment="1">
      <alignment wrapText="1"/>
    </xf>
    <xf numFmtId="0" fontId="54" fillId="0" borderId="27" xfId="0" applyFont="1" applyBorder="1" applyAlignment="1">
      <alignment wrapText="1"/>
    </xf>
    <xf numFmtId="165" fontId="54" fillId="26" borderId="25" xfId="0" applyNumberFormat="1" applyFont="1" applyFill="1" applyBorder="1" applyAlignment="1">
      <alignment horizontal="center" wrapText="1"/>
    </xf>
    <xf numFmtId="5" fontId="27" fillId="0" borderId="25" xfId="0" applyNumberFormat="1" applyFont="1" applyBorder="1" applyAlignment="1">
      <alignment wrapText="1"/>
    </xf>
    <xf numFmtId="0" fontId="0" fillId="0" borderId="25" xfId="0" applyBorder="1" applyAlignment="1">
      <alignment horizontal="center"/>
    </xf>
    <xf numFmtId="0" fontId="0" fillId="0" borderId="30" xfId="0" applyBorder="1" applyAlignment="1">
      <alignment/>
    </xf>
    <xf numFmtId="165" fontId="54" fillId="26" borderId="0" xfId="0" applyNumberFormat="1" applyFont="1" applyFill="1" applyBorder="1" applyAlignment="1">
      <alignment horizontal="center" wrapText="1"/>
    </xf>
    <xf numFmtId="5" fontId="27" fillId="0" borderId="0" xfId="0" applyNumberFormat="1" applyFont="1" applyBorder="1" applyAlignment="1">
      <alignment wrapText="1"/>
    </xf>
    <xf numFmtId="0" fontId="0" fillId="0" borderId="32" xfId="0" applyBorder="1" applyAlignment="1">
      <alignment/>
    </xf>
    <xf numFmtId="5" fontId="0" fillId="0" borderId="10" xfId="0" applyNumberFormat="1" applyBorder="1" applyAlignment="1">
      <alignment horizontal="center"/>
    </xf>
    <xf numFmtId="0" fontId="27" fillId="0" borderId="25" xfId="0" applyFont="1" applyBorder="1" applyAlignment="1">
      <alignment/>
    </xf>
    <xf numFmtId="0" fontId="0" fillId="0" borderId="31" xfId="0" applyBorder="1" applyAlignment="1">
      <alignment/>
    </xf>
    <xf numFmtId="0" fontId="27" fillId="0" borderId="0" xfId="0" applyFont="1" applyBorder="1" applyAlignment="1" applyProtection="1">
      <alignment/>
      <protection locked="0"/>
    </xf>
    <xf numFmtId="0" fontId="54" fillId="0" borderId="0" xfId="0" applyFont="1" applyBorder="1" applyAlignment="1">
      <alignment wrapText="1"/>
    </xf>
    <xf numFmtId="0" fontId="54" fillId="0" borderId="25" xfId="0" applyFont="1" applyBorder="1" applyAlignment="1">
      <alignment wrapText="1"/>
    </xf>
    <xf numFmtId="0" fontId="0" fillId="27" borderId="14" xfId="0" applyFill="1" applyBorder="1" applyAlignment="1">
      <alignment/>
    </xf>
    <xf numFmtId="0" fontId="0" fillId="27" borderId="33" xfId="0" applyFill="1" applyBorder="1" applyAlignment="1">
      <alignment/>
    </xf>
    <xf numFmtId="37" fontId="0" fillId="26" borderId="25" xfId="0" applyNumberFormat="1" applyFill="1" applyBorder="1" applyAlignment="1" applyProtection="1">
      <alignment horizontal="center"/>
      <protection locked="0"/>
    </xf>
    <xf numFmtId="0" fontId="0" fillId="27" borderId="14" xfId="0" applyFill="1" applyBorder="1" applyAlignment="1" applyProtection="1">
      <alignment/>
      <protection locked="0"/>
    </xf>
    <xf numFmtId="0" fontId="21" fillId="27" borderId="33" xfId="0" applyFont="1" applyFill="1" applyBorder="1" applyAlignment="1">
      <alignment horizontal="center" wrapText="1"/>
    </xf>
    <xf numFmtId="0" fontId="21" fillId="27" borderId="33" xfId="0" applyFont="1" applyFill="1" applyBorder="1" applyAlignment="1" applyProtection="1">
      <alignment horizontal="center" wrapText="1"/>
      <protection locked="0"/>
    </xf>
    <xf numFmtId="0" fontId="27" fillId="27" borderId="33" xfId="0" applyFont="1" applyFill="1" applyBorder="1" applyAlignment="1" applyProtection="1">
      <alignment horizontal="center"/>
      <protection locked="0"/>
    </xf>
    <xf numFmtId="0" fontId="0" fillId="27" borderId="33" xfId="0" applyFill="1" applyBorder="1" applyAlignment="1" applyProtection="1">
      <alignment/>
      <protection locked="0"/>
    </xf>
    <xf numFmtId="0" fontId="27" fillId="27" borderId="33" xfId="0" applyFont="1" applyFill="1" applyBorder="1" applyAlignment="1" applyProtection="1">
      <alignment horizontal="center" wrapText="1"/>
      <protection locked="0"/>
    </xf>
    <xf numFmtId="0" fontId="21" fillId="27" borderId="33" xfId="0" applyFont="1" applyFill="1" applyBorder="1" applyAlignment="1" applyProtection="1">
      <alignment/>
      <protection locked="0"/>
    </xf>
    <xf numFmtId="0" fontId="21" fillId="27" borderId="33" xfId="0" applyFont="1" applyFill="1" applyBorder="1" applyAlignment="1" applyProtection="1">
      <alignment horizontal="center"/>
      <protection locked="0"/>
    </xf>
    <xf numFmtId="37" fontId="0" fillId="27" borderId="33" xfId="0" applyNumberFormat="1" applyFill="1" applyBorder="1" applyAlignment="1" applyProtection="1">
      <alignment/>
      <protection locked="0"/>
    </xf>
    <xf numFmtId="37" fontId="27" fillId="27" borderId="33" xfId="0" applyNumberFormat="1" applyFont="1" applyFill="1" applyBorder="1" applyAlignment="1" applyProtection="1">
      <alignment/>
      <protection locked="0"/>
    </xf>
    <xf numFmtId="0" fontId="26" fillId="26" borderId="34" xfId="0" applyFont="1" applyFill="1" applyBorder="1" applyAlignment="1" quotePrefix="1">
      <alignment horizontal="left"/>
    </xf>
    <xf numFmtId="0" fontId="27" fillId="26" borderId="31" xfId="0" applyFont="1" applyFill="1" applyBorder="1" applyAlignment="1">
      <alignment horizontal="left"/>
    </xf>
    <xf numFmtId="0" fontId="0" fillId="26" borderId="31" xfId="0" applyFill="1" applyBorder="1" applyAlignment="1">
      <alignment horizontal="center"/>
    </xf>
    <xf numFmtId="0" fontId="26" fillId="29" borderId="35" xfId="0" applyFont="1" applyFill="1" applyBorder="1" applyAlignment="1">
      <alignment horizontal="left"/>
    </xf>
    <xf numFmtId="0" fontId="26" fillId="26" borderId="24" xfId="0" applyFont="1" applyFill="1" applyBorder="1" applyAlignment="1" applyProtection="1" quotePrefix="1">
      <alignment horizontal="left"/>
      <protection locked="0"/>
    </xf>
    <xf numFmtId="0" fontId="21" fillId="26" borderId="24" xfId="0" applyFont="1" applyFill="1" applyBorder="1" applyAlignment="1" applyProtection="1">
      <alignment/>
      <protection locked="0"/>
    </xf>
    <xf numFmtId="0" fontId="0" fillId="26" borderId="24" xfId="0" applyFill="1" applyBorder="1" applyAlignment="1" applyProtection="1">
      <alignment/>
      <protection locked="0"/>
    </xf>
    <xf numFmtId="165" fontId="26" fillId="0" borderId="25" xfId="0" applyNumberFormat="1" applyFont="1" applyBorder="1" applyAlignment="1">
      <alignment/>
    </xf>
    <xf numFmtId="0" fontId="0" fillId="26" borderId="25" xfId="0" applyFont="1" applyFill="1" applyBorder="1" applyAlignment="1" quotePrefix="1">
      <alignment horizontal="center"/>
    </xf>
    <xf numFmtId="37" fontId="0" fillId="26" borderId="25"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5" fontId="0" fillId="0" borderId="0" xfId="0" applyNumberFormat="1" applyBorder="1" applyAlignment="1" applyProtection="1">
      <alignment horizontal="center"/>
      <protection/>
    </xf>
    <xf numFmtId="5" fontId="27" fillId="0" borderId="0"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27" borderId="28" xfId="0" applyFill="1" applyBorder="1" applyAlignment="1" applyProtection="1">
      <alignment/>
      <protection locked="0"/>
    </xf>
    <xf numFmtId="0" fontId="27" fillId="27" borderId="0" xfId="0" applyFont="1" applyFill="1" applyAlignment="1">
      <alignment/>
    </xf>
    <xf numFmtId="0" fontId="30" fillId="0" borderId="10" xfId="59" applyFont="1" applyBorder="1" applyAlignment="1" applyProtection="1">
      <alignment horizontal="left" vertical="top"/>
      <protection locked="0"/>
    </xf>
    <xf numFmtId="0" fontId="22" fillId="0" borderId="28" xfId="0" applyFont="1" applyBorder="1" applyAlignment="1">
      <alignment wrapText="1"/>
    </xf>
    <xf numFmtId="0" fontId="27" fillId="0" borderId="33" xfId="0" applyFont="1" applyBorder="1" applyAlignment="1">
      <alignment horizontal="center"/>
    </xf>
    <xf numFmtId="0" fontId="26" fillId="0" borderId="14" xfId="0" applyFont="1" applyBorder="1" applyAlignment="1">
      <alignment wrapText="1"/>
    </xf>
    <xf numFmtId="0" fontId="22" fillId="0" borderId="33" xfId="0" applyFont="1" applyBorder="1" applyAlignment="1">
      <alignment wrapText="1"/>
    </xf>
    <xf numFmtId="0" fontId="21" fillId="25" borderId="12" xfId="0" applyFont="1" applyFill="1" applyBorder="1" applyAlignment="1" quotePrefix="1">
      <alignment horizontal="center" wrapText="1"/>
    </xf>
    <xf numFmtId="167" fontId="0" fillId="26" borderId="15" xfId="42" applyNumberFormat="1" applyFont="1" applyFill="1" applyBorder="1" applyAlignment="1" applyProtection="1">
      <alignment/>
      <protection locked="0"/>
    </xf>
    <xf numFmtId="167" fontId="0" fillId="0" borderId="17" xfId="42" applyNumberFormat="1" applyFont="1" applyFill="1" applyBorder="1" applyAlignment="1" applyProtection="1">
      <alignment/>
      <protection locked="0"/>
    </xf>
    <xf numFmtId="167" fontId="27" fillId="27" borderId="0" xfId="0" applyNumberFormat="1" applyFont="1" applyFill="1" applyBorder="1" applyAlignment="1" applyProtection="1">
      <alignment/>
      <protection/>
    </xf>
    <xf numFmtId="37" fontId="0" fillId="27" borderId="0" xfId="0" applyNumberFormat="1" applyFill="1" applyBorder="1" applyAlignment="1" applyProtection="1">
      <alignment/>
      <protection locked="0"/>
    </xf>
    <xf numFmtId="0" fontId="21" fillId="0" borderId="34" xfId="0" applyFont="1" applyFill="1" applyBorder="1" applyAlignment="1" applyProtection="1">
      <alignment/>
      <protection/>
    </xf>
    <xf numFmtId="0" fontId="21" fillId="0" borderId="31" xfId="0" applyFont="1" applyFill="1" applyBorder="1" applyAlignment="1" applyProtection="1">
      <alignment/>
      <protection/>
    </xf>
    <xf numFmtId="0" fontId="30" fillId="0" borderId="10" xfId="59"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9" borderId="12" xfId="59" applyFont="1" applyFill="1" applyBorder="1" applyAlignment="1">
      <alignment horizontal="left" indent="1"/>
      <protection/>
    </xf>
    <xf numFmtId="0" fontId="33" fillId="29" borderId="12" xfId="59" applyFont="1" applyFill="1" applyBorder="1" applyAlignment="1">
      <alignment horizontal="left" indent="1"/>
      <protection/>
    </xf>
    <xf numFmtId="2" fontId="20" fillId="29" borderId="12" xfId="0" applyNumberFormat="1" applyFont="1" applyFill="1" applyBorder="1" applyAlignment="1" applyProtection="1">
      <alignment/>
      <protection/>
    </xf>
    <xf numFmtId="0" fontId="37" fillId="0" borderId="0" xfId="0" applyFont="1" applyAlignment="1" applyProtection="1">
      <alignment/>
      <protection/>
    </xf>
    <xf numFmtId="0" fontId="33" fillId="29" borderId="12"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59" applyNumberFormat="1" applyFont="1" applyAlignment="1">
      <alignment horizontal="center"/>
      <protection/>
    </xf>
    <xf numFmtId="165" fontId="35" fillId="0" borderId="0" xfId="59" applyNumberFormat="1" applyFont="1" applyAlignment="1">
      <alignment horizontal="center"/>
      <protection/>
    </xf>
    <xf numFmtId="165" fontId="30" fillId="0" borderId="0" xfId="59" applyNumberFormat="1" applyFont="1" applyAlignment="1" applyProtection="1">
      <alignment horizontal="center"/>
      <protection locked="0"/>
    </xf>
    <xf numFmtId="165" fontId="35" fillId="0" borderId="0" xfId="59" applyNumberFormat="1" applyFont="1" applyAlignment="1" applyProtection="1">
      <alignment horizontal="center"/>
      <protection locked="0"/>
    </xf>
    <xf numFmtId="165" fontId="33" fillId="0" borderId="0" xfId="59" applyNumberFormat="1" applyFont="1" applyAlignment="1" applyProtection="1">
      <alignment horizontal="center"/>
      <protection locked="0"/>
    </xf>
    <xf numFmtId="165" fontId="30" fillId="0" borderId="0" xfId="59"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9" borderId="12" xfId="0" applyFont="1" applyFill="1" applyBorder="1" applyAlignment="1">
      <alignment horizontal="center"/>
    </xf>
    <xf numFmtId="5" fontId="27" fillId="0" borderId="12" xfId="0" applyNumberFormat="1" applyFont="1" applyBorder="1" applyAlignment="1">
      <alignment horizontal="center"/>
    </xf>
    <xf numFmtId="0" fontId="27" fillId="29" borderId="12" xfId="0" applyFont="1" applyFill="1" applyBorder="1" applyAlignment="1">
      <alignment/>
    </xf>
    <xf numFmtId="0" fontId="27" fillId="29" borderId="12" xfId="0" applyFont="1" applyFill="1" applyBorder="1" applyAlignment="1">
      <alignment horizontal="center" wrapText="1"/>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65" fontId="30" fillId="26" borderId="0" xfId="59" applyNumberFormat="1" applyFont="1" applyFill="1" applyAlignment="1" applyProtection="1">
      <alignment horizontal="left"/>
      <protection locked="0"/>
    </xf>
    <xf numFmtId="165" fontId="30" fillId="26" borderId="0" xfId="59"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65" fontId="30" fillId="26" borderId="0" xfId="0" applyNumberFormat="1" applyFont="1" applyFill="1" applyAlignment="1" applyProtection="1">
      <alignment horizontal="right"/>
      <protection locked="0"/>
    </xf>
    <xf numFmtId="165" fontId="30" fillId="26" borderId="0" xfId="0" applyNumberFormat="1" applyFont="1" applyFill="1" applyBorder="1" applyAlignment="1" applyProtection="1">
      <alignment horizontal="right"/>
      <protection locked="0"/>
    </xf>
    <xf numFmtId="165" fontId="30" fillId="26" borderId="0" xfId="0" applyNumberFormat="1" applyFont="1" applyFill="1" applyAlignment="1">
      <alignment horizontal="right"/>
    </xf>
    <xf numFmtId="165" fontId="30" fillId="26" borderId="0" xfId="0" applyNumberFormat="1" applyFont="1" applyFill="1" applyAlignment="1" applyProtection="1">
      <alignment horizontal="left"/>
      <protection locked="0"/>
    </xf>
    <xf numFmtId="165" fontId="34" fillId="26" borderId="0" xfId="0" applyNumberFormat="1" applyFont="1" applyFill="1" applyAlignment="1">
      <alignment horizontal="center"/>
    </xf>
    <xf numFmtId="165" fontId="30" fillId="26" borderId="0" xfId="59" applyNumberFormat="1" applyFont="1" applyFill="1" applyAlignment="1">
      <alignment horizontal="right"/>
      <protection/>
    </xf>
    <xf numFmtId="165" fontId="30" fillId="26" borderId="0" xfId="59" applyNumberFormat="1" applyFont="1" applyFill="1" applyAlignment="1" applyProtection="1">
      <alignment horizontal="right"/>
      <protection locked="0"/>
    </xf>
    <xf numFmtId="0" fontId="0" fillId="26" borderId="0" xfId="0" applyFill="1" applyAlignment="1">
      <alignment/>
    </xf>
    <xf numFmtId="165" fontId="30" fillId="26" borderId="0" xfId="59" applyNumberFormat="1" applyFont="1" applyFill="1" applyBorder="1" applyAlignment="1" applyProtection="1">
      <alignment horizontal="right"/>
      <protection locked="0"/>
    </xf>
    <xf numFmtId="165"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65" fontId="35" fillId="0" borderId="12" xfId="59" applyNumberFormat="1" applyFont="1" applyBorder="1" applyAlignment="1" applyProtection="1">
      <alignment horizontal="center"/>
      <protection locked="0"/>
    </xf>
    <xf numFmtId="165" fontId="30" fillId="0" borderId="15"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2" xfId="59" applyNumberFormat="1" applyFont="1" applyBorder="1" applyAlignment="1" applyProtection="1">
      <alignment horizontal="center"/>
      <protection locked="0"/>
    </xf>
    <xf numFmtId="165" fontId="33" fillId="0" borderId="12" xfId="0" applyNumberFormat="1" applyFont="1" applyBorder="1" applyAlignment="1" applyProtection="1">
      <alignment/>
      <protection locked="0"/>
    </xf>
    <xf numFmtId="165" fontId="33" fillId="0" borderId="0" xfId="59" applyNumberFormat="1" applyFont="1" applyFill="1" applyBorder="1" applyAlignment="1">
      <alignment horizontal="right"/>
      <protection/>
    </xf>
    <xf numFmtId="165" fontId="33" fillId="0" borderId="0" xfId="0" applyNumberFormat="1" applyFont="1" applyBorder="1" applyAlignment="1">
      <alignment horizontal="left"/>
    </xf>
    <xf numFmtId="165" fontId="33" fillId="26" borderId="0" xfId="0" applyNumberFormat="1" applyFont="1" applyFill="1" applyBorder="1" applyAlignment="1">
      <alignment horizontal="right"/>
    </xf>
    <xf numFmtId="0" fontId="33" fillId="26" borderId="0" xfId="0" applyFont="1" applyFill="1" applyBorder="1" applyAlignment="1">
      <alignment/>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0" fontId="33" fillId="26" borderId="0" xfId="0" applyFont="1" applyFill="1" applyAlignment="1">
      <alignment/>
    </xf>
    <xf numFmtId="165" fontId="33" fillId="0" borderId="0" xfId="59" applyNumberFormat="1" applyFont="1" applyAlignment="1">
      <alignment horizontal="left"/>
      <protection/>
    </xf>
    <xf numFmtId="165" fontId="33" fillId="26" borderId="0" xfId="59" applyNumberFormat="1" applyFont="1" applyFill="1" applyAlignment="1">
      <alignment horizontal="right"/>
      <protection/>
    </xf>
    <xf numFmtId="165" fontId="33" fillId="0" borderId="0" xfId="59" applyNumberFormat="1" applyFont="1" applyAlignment="1" applyProtection="1">
      <alignment horizontal="left"/>
      <protection/>
    </xf>
    <xf numFmtId="165" fontId="33" fillId="26" borderId="0" xfId="59" applyNumberFormat="1" applyFont="1" applyFill="1" applyAlignment="1" applyProtection="1">
      <alignment horizontal="right"/>
      <protection/>
    </xf>
    <xf numFmtId="165" fontId="33" fillId="0" borderId="0" xfId="59" applyNumberFormat="1" applyFont="1" applyAlignment="1" applyProtection="1">
      <alignment horizontal="left"/>
      <protection locked="0"/>
    </xf>
    <xf numFmtId="0" fontId="37" fillId="29" borderId="28"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36" xfId="59" applyFont="1" applyBorder="1" applyAlignment="1" applyProtection="1">
      <alignment horizontal="left" vertical="top"/>
      <protection locked="0"/>
    </xf>
    <xf numFmtId="0" fontId="33" fillId="29" borderId="12" xfId="59" applyFont="1" applyFill="1" applyBorder="1" applyAlignment="1" applyProtection="1">
      <alignment horizontal="left" indent="1"/>
      <protection/>
    </xf>
    <xf numFmtId="165" fontId="30" fillId="0" borderId="0" xfId="0" applyNumberFormat="1" applyFont="1" applyBorder="1" applyAlignment="1">
      <alignment/>
    </xf>
    <xf numFmtId="165" fontId="33" fillId="29" borderId="12" xfId="0" applyNumberFormat="1" applyFont="1" applyFill="1" applyBorder="1" applyAlignment="1" applyProtection="1">
      <alignment horizontal="left" wrapText="1" indent="1"/>
      <protection locked="0"/>
    </xf>
    <xf numFmtId="0" fontId="33" fillId="29" borderId="12" xfId="0" applyFont="1" applyFill="1" applyBorder="1" applyAlignment="1">
      <alignment horizontal="left"/>
    </xf>
    <xf numFmtId="165" fontId="30" fillId="0" borderId="0" xfId="0" applyNumberFormat="1" applyFont="1" applyBorder="1" applyAlignment="1">
      <alignment horizontal="left" wrapText="1" indent="1"/>
    </xf>
    <xf numFmtId="165" fontId="33" fillId="29" borderId="12" xfId="0" applyNumberFormat="1" applyFont="1" applyFill="1" applyBorder="1" applyAlignment="1">
      <alignment wrapText="1"/>
    </xf>
    <xf numFmtId="165" fontId="33" fillId="29" borderId="12" xfId="0" applyNumberFormat="1" applyFont="1" applyFill="1" applyBorder="1" applyAlignment="1" quotePrefix="1">
      <alignment wrapText="1"/>
    </xf>
    <xf numFmtId="0" fontId="33" fillId="0" borderId="0" xfId="0" applyFont="1" applyBorder="1" applyAlignment="1" applyProtection="1">
      <alignment/>
      <protection/>
    </xf>
    <xf numFmtId="0" fontId="33" fillId="29" borderId="12"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5"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29" borderId="12" xfId="0" applyFont="1" applyFill="1" applyBorder="1" applyAlignment="1">
      <alignment/>
    </xf>
    <xf numFmtId="0" fontId="21" fillId="29" borderId="12" xfId="0" applyFont="1" applyFill="1" applyBorder="1" applyAlignment="1" applyProtection="1">
      <alignment/>
      <protection/>
    </xf>
    <xf numFmtId="5" fontId="27" fillId="28" borderId="10" xfId="0" applyNumberFormat="1" applyFont="1" applyFill="1" applyBorder="1" applyAlignment="1">
      <alignment horizontal="center"/>
    </xf>
    <xf numFmtId="5" fontId="0" fillId="28" borderId="10" xfId="0" applyNumberFormat="1" applyFill="1" applyBorder="1" applyAlignment="1">
      <alignment horizontal="center"/>
    </xf>
    <xf numFmtId="0" fontId="27" fillId="28" borderId="10" xfId="0" applyFont="1" applyFill="1" applyBorder="1" applyAlignment="1">
      <alignment horizontal="center"/>
    </xf>
    <xf numFmtId="0" fontId="27" fillId="28" borderId="15" xfId="0" applyFont="1" applyFill="1" applyBorder="1" applyAlignment="1">
      <alignment horizontal="center"/>
    </xf>
    <xf numFmtId="5" fontId="27" fillId="28" borderId="12" xfId="0" applyNumberFormat="1" applyFont="1" applyFill="1" applyBorder="1" applyAlignment="1">
      <alignment horizontal="center"/>
    </xf>
    <xf numFmtId="0" fontId="0" fillId="28" borderId="15" xfId="0" applyFont="1" applyFill="1" applyBorder="1" applyAlignment="1">
      <alignment/>
    </xf>
    <xf numFmtId="0" fontId="0" fillId="28" borderId="15" xfId="0" applyFont="1" applyFill="1" applyBorder="1" applyAlignment="1" applyProtection="1">
      <alignment/>
      <protection/>
    </xf>
    <xf numFmtId="0" fontId="0" fillId="28" borderId="10" xfId="0" applyFont="1" applyFill="1" applyBorder="1" applyAlignment="1" applyProtection="1">
      <alignment/>
      <protection/>
    </xf>
    <xf numFmtId="0" fontId="26" fillId="29" borderId="12" xfId="0" applyFont="1" applyFill="1" applyBorder="1" applyAlignment="1">
      <alignment horizontal="center"/>
    </xf>
    <xf numFmtId="0" fontId="26" fillId="29" borderId="37" xfId="0" applyFont="1" applyFill="1" applyBorder="1" applyAlignment="1">
      <alignment horizontal="center"/>
    </xf>
    <xf numFmtId="0" fontId="26" fillId="29" borderId="12" xfId="0" applyFont="1" applyFill="1" applyBorder="1" applyAlignment="1" applyProtection="1">
      <alignment horizontal="left" wrapText="1" readingOrder="1"/>
      <protection/>
    </xf>
    <xf numFmtId="0" fontId="27" fillId="29" borderId="12"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2" xfId="0" applyFont="1" applyBorder="1" applyAlignment="1" applyProtection="1">
      <alignment horizontal="center"/>
      <protection/>
    </xf>
    <xf numFmtId="43" fontId="27" fillId="29" borderId="17" xfId="0" applyNumberFormat="1" applyFont="1" applyFill="1" applyBorder="1" applyAlignment="1" applyProtection="1">
      <alignment horizontal="center" wrapText="1"/>
      <protection/>
    </xf>
    <xf numFmtId="0" fontId="0" fillId="29" borderId="17" xfId="0" applyFont="1" applyFill="1" applyBorder="1" applyAlignment="1" applyProtection="1">
      <alignment horizontal="center" wrapText="1"/>
      <protection/>
    </xf>
    <xf numFmtId="0" fontId="27" fillId="29" borderId="15" xfId="0" applyFont="1" applyFill="1" applyBorder="1" applyAlignment="1" applyProtection="1">
      <alignment horizontal="center" wrapText="1"/>
      <protection/>
    </xf>
    <xf numFmtId="167" fontId="0" fillId="29" borderId="22" xfId="42" applyNumberFormat="1" applyFont="1" applyFill="1" applyBorder="1" applyAlignment="1" applyProtection="1">
      <alignment/>
      <protection/>
    </xf>
    <xf numFmtId="167" fontId="0" fillId="29" borderId="38" xfId="42" applyNumberFormat="1" applyFont="1" applyFill="1" applyBorder="1" applyAlignment="1" applyProtection="1">
      <alignment/>
      <protection/>
    </xf>
    <xf numFmtId="167" fontId="0" fillId="29" borderId="39" xfId="42" applyNumberFormat="1" applyFont="1" applyFill="1" applyBorder="1" applyAlignment="1" applyProtection="1">
      <alignment/>
      <protection/>
    </xf>
    <xf numFmtId="167" fontId="0" fillId="29" borderId="40" xfId="42" applyNumberFormat="1" applyFont="1" applyFill="1" applyBorder="1" applyAlignment="1" applyProtection="1">
      <alignment/>
      <protection/>
    </xf>
    <xf numFmtId="167" fontId="0" fillId="29" borderId="41" xfId="42" applyNumberFormat="1" applyFont="1" applyFill="1" applyBorder="1" applyAlignment="1" applyProtection="1">
      <alignment/>
      <protection/>
    </xf>
    <xf numFmtId="0" fontId="0" fillId="28" borderId="15" xfId="0" applyFill="1" applyBorder="1" applyAlignment="1" applyProtection="1">
      <alignment/>
      <protection/>
    </xf>
    <xf numFmtId="5" fontId="35" fillId="0" borderId="12" xfId="59" applyNumberFormat="1" applyFont="1" applyBorder="1" applyAlignment="1" applyProtection="1">
      <alignment horizontal="center"/>
      <protection locked="0"/>
    </xf>
    <xf numFmtId="5" fontId="27" fillId="27" borderId="42" xfId="42" applyNumberFormat="1" applyFont="1" applyFill="1" applyBorder="1" applyAlignment="1" applyProtection="1">
      <alignment/>
      <protection/>
    </xf>
    <xf numFmtId="5" fontId="27" fillId="27" borderId="10" xfId="42" applyNumberFormat="1" applyFont="1" applyFill="1" applyBorder="1" applyAlignment="1" applyProtection="1">
      <alignment/>
      <protection/>
    </xf>
    <xf numFmtId="5" fontId="27" fillId="27" borderId="0" xfId="42" applyNumberFormat="1" applyFont="1" applyFill="1" applyBorder="1" applyAlignment="1" applyProtection="1">
      <alignment/>
      <protection/>
    </xf>
    <xf numFmtId="5" fontId="0" fillId="0" borderId="0" xfId="0" applyNumberFormat="1" applyAlignment="1" applyProtection="1">
      <alignment/>
      <protection locked="0"/>
    </xf>
    <xf numFmtId="5" fontId="27" fillId="0" borderId="12" xfId="0" applyNumberFormat="1" applyFont="1" applyBorder="1" applyAlignment="1" applyProtection="1">
      <alignment/>
      <protection locked="0"/>
    </xf>
    <xf numFmtId="167" fontId="0" fillId="27" borderId="43" xfId="42" applyNumberFormat="1" applyFont="1" applyFill="1" applyBorder="1" applyAlignment="1" applyProtection="1">
      <alignment/>
      <protection locked="0"/>
    </xf>
    <xf numFmtId="167" fontId="0" fillId="27" borderId="44" xfId="42" applyNumberFormat="1" applyFont="1" applyFill="1" applyBorder="1" applyAlignment="1" applyProtection="1">
      <alignment/>
      <protection/>
    </xf>
    <xf numFmtId="167" fontId="0" fillId="27" borderId="45" xfId="42" applyNumberFormat="1" applyFont="1" applyFill="1" applyBorder="1" applyAlignment="1" applyProtection="1">
      <alignment/>
      <protection/>
    </xf>
    <xf numFmtId="167" fontId="27" fillId="27" borderId="22" xfId="42" applyNumberFormat="1" applyFont="1" applyFill="1" applyBorder="1" applyAlignment="1" applyProtection="1">
      <alignment/>
      <protection/>
    </xf>
    <xf numFmtId="0" fontId="0" fillId="27" borderId="17" xfId="0" applyFill="1" applyBorder="1" applyAlignment="1" applyProtection="1">
      <alignment/>
      <protection locked="0"/>
    </xf>
    <xf numFmtId="5" fontId="27" fillId="27" borderId="0" xfId="0" applyNumberFormat="1" applyFont="1" applyFill="1" applyBorder="1" applyAlignment="1" applyProtection="1">
      <alignment/>
      <protection/>
    </xf>
    <xf numFmtId="5" fontId="35" fillId="0" borderId="21" xfId="59" applyNumberFormat="1" applyFont="1" applyBorder="1" applyAlignment="1" applyProtection="1">
      <alignment horizontal="center"/>
      <protection locked="0"/>
    </xf>
    <xf numFmtId="0" fontId="0" fillId="28" borderId="13" xfId="0" applyFont="1" applyFill="1" applyBorder="1" applyAlignment="1">
      <alignment/>
    </xf>
    <xf numFmtId="167"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67" fontId="0" fillId="26" borderId="0" xfId="42" applyNumberFormat="1" applyFont="1" applyFill="1" applyBorder="1" applyAlignment="1" applyProtection="1">
      <alignment/>
      <protection locked="0"/>
    </xf>
    <xf numFmtId="167" fontId="0" fillId="24" borderId="0" xfId="42" applyNumberFormat="1" applyFont="1" applyFill="1" applyBorder="1" applyAlignment="1" applyProtection="1">
      <alignment horizontal="center"/>
      <protection locked="0"/>
    </xf>
    <xf numFmtId="0" fontId="27" fillId="29" borderId="12" xfId="0" applyFont="1" applyFill="1" applyBorder="1" applyAlignment="1" applyProtection="1">
      <alignment horizontal="center"/>
      <protection/>
    </xf>
    <xf numFmtId="0" fontId="26" fillId="28" borderId="46" xfId="0" applyFont="1" applyFill="1" applyBorder="1" applyAlignment="1">
      <alignment horizontal="left"/>
    </xf>
    <xf numFmtId="0" fontId="26" fillId="28" borderId="47" xfId="0" applyFont="1" applyFill="1" applyBorder="1" applyAlignment="1">
      <alignment horizontal="left"/>
    </xf>
    <xf numFmtId="0" fontId="0" fillId="26" borderId="34" xfId="0" applyFont="1" applyFill="1" applyBorder="1" applyAlignment="1" applyProtection="1" quotePrefix="1">
      <alignment horizontal="center"/>
      <protection locked="0"/>
    </xf>
    <xf numFmtId="37" fontId="0" fillId="26" borderId="31" xfId="0" applyNumberFormat="1" applyFill="1" applyBorder="1" applyAlignment="1" applyProtection="1">
      <alignment horizontal="center"/>
      <protection locked="0"/>
    </xf>
    <xf numFmtId="0" fontId="0" fillId="26" borderId="31" xfId="0" applyFont="1" applyFill="1" applyBorder="1" applyAlignment="1" applyProtection="1" quotePrefix="1">
      <alignment horizontal="center"/>
      <protection locked="0"/>
    </xf>
    <xf numFmtId="0" fontId="0" fillId="26" borderId="32" xfId="0" applyFill="1" applyBorder="1" applyAlignment="1" applyProtection="1">
      <alignment horizontal="center"/>
      <protection locked="0"/>
    </xf>
    <xf numFmtId="0" fontId="0" fillId="26" borderId="26" xfId="0" applyFill="1" applyBorder="1" applyAlignment="1" applyProtection="1">
      <alignment horizontal="center"/>
      <protection locked="0"/>
    </xf>
    <xf numFmtId="0" fontId="0" fillId="26" borderId="27" xfId="0" applyFont="1" applyFill="1" applyBorder="1" applyAlignment="1" applyProtection="1" quotePrefix="1">
      <alignment horizontal="center"/>
      <protection locked="0"/>
    </xf>
    <xf numFmtId="0" fontId="0" fillId="26" borderId="25" xfId="0" applyFont="1" applyFill="1" applyBorder="1" applyAlignment="1" applyProtection="1" quotePrefix="1">
      <alignment horizontal="center"/>
      <protection locked="0"/>
    </xf>
    <xf numFmtId="0" fontId="0" fillId="26" borderId="30" xfId="0" applyFill="1" applyBorder="1" applyAlignment="1" applyProtection="1">
      <alignment horizontal="center"/>
      <protection locked="0"/>
    </xf>
    <xf numFmtId="5" fontId="27" fillId="26" borderId="0" xfId="0" applyNumberFormat="1" applyFont="1" applyFill="1" applyBorder="1" applyAlignment="1" applyProtection="1">
      <alignment horizontal="center"/>
      <protection locked="0"/>
    </xf>
    <xf numFmtId="0" fontId="26" fillId="28" borderId="48" xfId="0" applyFont="1" applyFill="1" applyBorder="1" applyAlignment="1">
      <alignment horizontal="left"/>
    </xf>
    <xf numFmtId="0" fontId="0" fillId="26" borderId="32" xfId="0" applyFill="1" applyBorder="1" applyAlignment="1">
      <alignment/>
    </xf>
    <xf numFmtId="0" fontId="0" fillId="0" borderId="34" xfId="0" applyBorder="1" applyAlignment="1">
      <alignment/>
    </xf>
    <xf numFmtId="0" fontId="0" fillId="0" borderId="26" xfId="0" applyBorder="1" applyAlignment="1" applyProtection="1">
      <alignment horizontal="center"/>
      <protection locked="0"/>
    </xf>
    <xf numFmtId="0" fontId="21" fillId="26" borderId="26" xfId="0" applyFont="1" applyFill="1" applyBorder="1" applyAlignment="1">
      <alignment horizontal="center" wrapText="1"/>
    </xf>
    <xf numFmtId="37" fontId="0" fillId="26" borderId="26" xfId="0" applyNumberFormat="1" applyFill="1" applyBorder="1" applyAlignment="1" applyProtection="1">
      <alignment horizontal="center"/>
      <protection locked="0"/>
    </xf>
    <xf numFmtId="37" fontId="0" fillId="26" borderId="30" xfId="0" applyNumberFormat="1" applyFill="1" applyBorder="1" applyAlignment="1" applyProtection="1">
      <alignment horizontal="center"/>
      <protection locked="0"/>
    </xf>
    <xf numFmtId="0" fontId="27" fillId="0" borderId="27" xfId="0" applyFont="1" applyBorder="1" applyAlignment="1">
      <alignment/>
    </xf>
    <xf numFmtId="0" fontId="26" fillId="26" borderId="24" xfId="0" applyFont="1" applyFill="1" applyBorder="1" applyAlignment="1">
      <alignment horizontal="left"/>
    </xf>
    <xf numFmtId="0" fontId="43" fillId="0" borderId="0" xfId="0" applyFont="1" applyFill="1" applyBorder="1" applyAlignment="1" applyProtection="1">
      <alignment wrapText="1"/>
      <protection/>
    </xf>
    <xf numFmtId="43" fontId="0" fillId="28" borderId="15" xfId="42" applyFont="1" applyFill="1" applyBorder="1" applyAlignment="1" applyProtection="1">
      <alignment horizontal="center"/>
      <protection/>
    </xf>
    <xf numFmtId="165" fontId="33" fillId="29" borderId="12" xfId="0" applyNumberFormat="1" applyFont="1" applyFill="1" applyBorder="1" applyAlignment="1" applyProtection="1">
      <alignment vertical="top"/>
      <protection/>
    </xf>
    <xf numFmtId="0" fontId="30" fillId="28" borderId="15"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wrapText="1" indent="1"/>
      <protection/>
    </xf>
    <xf numFmtId="0" fontId="30" fillId="28" borderId="49" xfId="59" applyFont="1" applyFill="1" applyBorder="1" applyAlignment="1" applyProtection="1">
      <alignment horizontal="left" vertical="top"/>
      <protection/>
    </xf>
    <xf numFmtId="0" fontId="30" fillId="28" borderId="33" xfId="59" applyFont="1" applyFill="1" applyBorder="1" applyAlignment="1" applyProtection="1">
      <alignment horizontal="left" vertical="top"/>
      <protection/>
    </xf>
    <xf numFmtId="165" fontId="33" fillId="0" borderId="12" xfId="59" applyNumberFormat="1" applyFont="1" applyBorder="1" applyAlignment="1" applyProtection="1">
      <alignment horizontal="right"/>
      <protection locked="0"/>
    </xf>
    <xf numFmtId="0" fontId="0" fillId="30" borderId="31" xfId="0" applyFill="1" applyBorder="1" applyAlignment="1">
      <alignment/>
    </xf>
    <xf numFmtId="0" fontId="0" fillId="30" borderId="25" xfId="0" applyFill="1" applyBorder="1" applyAlignment="1">
      <alignment/>
    </xf>
    <xf numFmtId="167" fontId="0" fillId="27" borderId="15" xfId="42" applyNumberFormat="1" applyFont="1" applyFill="1" applyBorder="1" applyAlignment="1" applyProtection="1">
      <alignment/>
      <protection locked="0"/>
    </xf>
    <xf numFmtId="0" fontId="22" fillId="0" borderId="14" xfId="0" applyFont="1" applyBorder="1" applyAlignment="1">
      <alignment wrapText="1"/>
    </xf>
    <xf numFmtId="0" fontId="0" fillId="0" borderId="0" xfId="0" applyFont="1" applyBorder="1" applyAlignment="1">
      <alignment/>
    </xf>
    <xf numFmtId="0" fontId="22" fillId="0" borderId="14" xfId="0" applyFont="1" applyBorder="1" applyAlignment="1">
      <alignment vertical="top" wrapText="1"/>
    </xf>
    <xf numFmtId="0" fontId="22" fillId="0" borderId="12" xfId="0" applyFont="1" applyBorder="1" applyAlignment="1">
      <alignment vertical="top" wrapText="1"/>
    </xf>
    <xf numFmtId="0" fontId="21" fillId="25" borderId="14" xfId="0" applyFont="1" applyFill="1" applyBorder="1" applyAlignment="1">
      <alignment horizontal="center" wrapText="1"/>
    </xf>
    <xf numFmtId="0" fontId="26" fillId="25" borderId="12" xfId="0" applyFont="1" applyFill="1" applyBorder="1" applyAlignment="1">
      <alignment horizontal="center" wrapText="1"/>
    </xf>
    <xf numFmtId="5" fontId="27" fillId="0" borderId="33" xfId="0" applyNumberFormat="1" applyFont="1" applyBorder="1" applyAlignment="1" applyProtection="1">
      <alignment horizontal="right"/>
      <protection locked="0"/>
    </xf>
    <xf numFmtId="9" fontId="0" fillId="0" borderId="0" xfId="0" applyNumberFormat="1" applyAlignment="1">
      <alignment/>
    </xf>
    <xf numFmtId="0" fontId="0" fillId="0" borderId="0" xfId="0" applyFont="1" applyAlignment="1">
      <alignment/>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26" fillId="0" borderId="12" xfId="0" applyFont="1" applyBorder="1" applyAlignment="1">
      <alignment vertical="top" wrapText="1"/>
    </xf>
    <xf numFmtId="0" fontId="22"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25" borderId="12" xfId="0" applyFont="1" applyFill="1" applyBorder="1" applyAlignment="1">
      <alignment horizontal="center" vertical="top" wrapText="1"/>
    </xf>
    <xf numFmtId="0" fontId="22" fillId="0" borderId="33" xfId="0" applyFont="1" applyBorder="1" applyAlignment="1">
      <alignment vertical="top" wrapText="1"/>
    </xf>
    <xf numFmtId="0" fontId="41" fillId="0" borderId="28" xfId="0" applyFont="1" applyBorder="1" applyAlignment="1">
      <alignment vertical="top" wrapText="1"/>
    </xf>
    <xf numFmtId="0" fontId="22" fillId="0" borderId="28" xfId="0" applyFont="1" applyBorder="1" applyAlignment="1">
      <alignment vertical="top" wrapText="1"/>
    </xf>
    <xf numFmtId="0" fontId="22" fillId="0" borderId="32" xfId="0" applyFont="1" applyBorder="1" applyAlignment="1">
      <alignment vertical="top" wrapText="1"/>
    </xf>
    <xf numFmtId="165" fontId="33" fillId="28" borderId="12" xfId="0" applyNumberFormat="1" applyFont="1" applyFill="1" applyBorder="1" applyAlignment="1" applyProtection="1">
      <alignment horizontal="right"/>
      <protection/>
    </xf>
    <xf numFmtId="165" fontId="33" fillId="28" borderId="12" xfId="0" applyNumberFormat="1" applyFont="1" applyFill="1" applyBorder="1" applyAlignment="1" applyProtection="1">
      <alignment/>
      <protection/>
    </xf>
    <xf numFmtId="165" fontId="33" fillId="28" borderId="12" xfId="59" applyNumberFormat="1" applyFont="1" applyFill="1" applyBorder="1" applyAlignment="1">
      <alignment horizontal="right"/>
      <protection/>
    </xf>
    <xf numFmtId="165" fontId="33" fillId="28" borderId="12" xfId="59" applyNumberFormat="1" applyFont="1" applyFill="1" applyBorder="1" applyAlignment="1" applyProtection="1">
      <alignment horizontal="right"/>
      <protection/>
    </xf>
    <xf numFmtId="5" fontId="33" fillId="28" borderId="12" xfId="59" applyNumberFormat="1" applyFont="1" applyFill="1" applyBorder="1" applyAlignment="1">
      <alignment horizontal="right"/>
      <protection/>
    </xf>
    <xf numFmtId="5" fontId="33" fillId="28" borderId="12" xfId="0" applyNumberFormat="1" applyFont="1" applyFill="1" applyBorder="1" applyAlignment="1" applyProtection="1">
      <alignment/>
      <protection/>
    </xf>
    <xf numFmtId="0" fontId="27" fillId="28" borderId="12" xfId="0" applyFont="1" applyFill="1" applyBorder="1" applyAlignment="1">
      <alignment horizontal="center"/>
    </xf>
    <xf numFmtId="165" fontId="35" fillId="28" borderId="12" xfId="0" applyNumberFormat="1" applyFont="1" applyFill="1" applyBorder="1" applyAlignment="1" applyProtection="1">
      <alignment horizontal="center"/>
      <protection/>
    </xf>
    <xf numFmtId="165" fontId="30" fillId="28" borderId="12" xfId="59" applyNumberFormat="1" applyFont="1" applyFill="1" applyBorder="1" applyAlignment="1" applyProtection="1">
      <alignment horizontal="center"/>
      <protection/>
    </xf>
    <xf numFmtId="165" fontId="35" fillId="28" borderId="12" xfId="59" applyNumberFormat="1" applyFont="1" applyFill="1" applyBorder="1" applyAlignment="1" applyProtection="1">
      <alignment horizontal="center"/>
      <protection/>
    </xf>
    <xf numFmtId="165" fontId="30" fillId="28" borderId="12" xfId="0" applyNumberFormat="1" applyFont="1" applyFill="1" applyBorder="1" applyAlignment="1" applyProtection="1">
      <alignment horizontal="center"/>
      <protection/>
    </xf>
    <xf numFmtId="0" fontId="0" fillId="31" borderId="10" xfId="0" applyFont="1" applyFill="1" applyBorder="1" applyAlignment="1" applyProtection="1">
      <alignment vertical="top"/>
      <protection/>
    </xf>
    <xf numFmtId="0" fontId="0" fillId="31" borderId="10" xfId="0" applyFont="1" applyFill="1" applyBorder="1" applyAlignment="1" applyProtection="1">
      <alignment/>
      <protection/>
    </xf>
    <xf numFmtId="10" fontId="27" fillId="28" borderId="10" xfId="0" applyNumberFormat="1" applyFont="1" applyFill="1" applyBorder="1" applyAlignment="1" applyProtection="1">
      <alignment horizontal="center"/>
      <protection/>
    </xf>
    <xf numFmtId="0" fontId="0" fillId="31" borderId="15" xfId="0" applyFont="1" applyFill="1" applyBorder="1" applyAlignment="1" applyProtection="1">
      <alignment/>
      <protection/>
    </xf>
    <xf numFmtId="0" fontId="0" fillId="31" borderId="15" xfId="0" applyFill="1" applyBorder="1" applyAlignment="1" applyProtection="1">
      <alignment/>
      <protection/>
    </xf>
    <xf numFmtId="0" fontId="0" fillId="31" borderId="10" xfId="0" applyFont="1" applyFill="1" applyBorder="1" applyAlignment="1" applyProtection="1">
      <alignment/>
      <protection/>
    </xf>
    <xf numFmtId="167" fontId="0" fillId="28" borderId="10" xfId="42" applyNumberFormat="1" applyFont="1" applyFill="1" applyBorder="1" applyAlignment="1" applyProtection="1">
      <alignment/>
      <protection/>
    </xf>
    <xf numFmtId="167" fontId="0" fillId="28" borderId="43" xfId="42" applyNumberFormat="1" applyFont="1" applyFill="1" applyBorder="1" applyAlignment="1" applyProtection="1">
      <alignment/>
      <protection/>
    </xf>
    <xf numFmtId="167" fontId="43" fillId="28" borderId="44" xfId="42" applyNumberFormat="1" applyFont="1" applyFill="1" applyBorder="1" applyAlignment="1" applyProtection="1">
      <alignment/>
      <protection/>
    </xf>
    <xf numFmtId="0" fontId="27" fillId="28" borderId="21" xfId="0" applyFont="1" applyFill="1" applyBorder="1" applyAlignment="1" applyProtection="1" quotePrefix="1">
      <alignment horizontal="left"/>
      <protection/>
    </xf>
    <xf numFmtId="167" fontId="0" fillId="28" borderId="15" xfId="42" applyNumberFormat="1" applyFont="1" applyFill="1" applyBorder="1" applyAlignment="1" applyProtection="1">
      <alignment/>
      <protection/>
    </xf>
    <xf numFmtId="167" fontId="0" fillId="28" borderId="48" xfId="42" applyNumberFormat="1" applyFont="1" applyFill="1" applyBorder="1" applyAlignment="1" applyProtection="1">
      <alignment/>
      <protection/>
    </xf>
    <xf numFmtId="0" fontId="44" fillId="28" borderId="15" xfId="0" applyFont="1" applyFill="1" applyBorder="1" applyAlignment="1" applyProtection="1">
      <alignment horizontal="left"/>
      <protection/>
    </xf>
    <xf numFmtId="0" fontId="44" fillId="28" borderId="10" xfId="0" applyFont="1" applyFill="1" applyBorder="1" applyAlignment="1" applyProtection="1">
      <alignment horizontal="left"/>
      <protection/>
    </xf>
    <xf numFmtId="0" fontId="44" fillId="28" borderId="13" xfId="0" applyFont="1" applyFill="1" applyBorder="1" applyAlignment="1" applyProtection="1">
      <alignment horizontal="left"/>
      <protection/>
    </xf>
    <xf numFmtId="0" fontId="27" fillId="28" borderId="12" xfId="0" applyFont="1" applyFill="1" applyBorder="1" applyAlignment="1" applyProtection="1">
      <alignment horizontal="left"/>
      <protection/>
    </xf>
    <xf numFmtId="0" fontId="0" fillId="28" borderId="15" xfId="0" applyFont="1" applyFill="1" applyBorder="1" applyAlignment="1" applyProtection="1">
      <alignment horizontal="left" vertical="top"/>
      <protection/>
    </xf>
    <xf numFmtId="0" fontId="0" fillId="28" borderId="17" xfId="0" applyFont="1" applyFill="1" applyBorder="1" applyAlignment="1" applyProtection="1">
      <alignment horizontal="left" vertical="top"/>
      <protection/>
    </xf>
    <xf numFmtId="0" fontId="26" fillId="29" borderId="12" xfId="0" applyFont="1" applyFill="1" applyBorder="1" applyAlignment="1" applyProtection="1">
      <alignment horizontal="left" wrapText="1"/>
      <protection/>
    </xf>
    <xf numFmtId="0" fontId="27" fillId="29" borderId="38" xfId="0" applyFont="1" applyFill="1" applyBorder="1" applyAlignment="1" applyProtection="1">
      <alignment wrapText="1"/>
      <protection/>
    </xf>
    <xf numFmtId="0" fontId="27" fillId="29" borderId="40" xfId="0" applyFont="1" applyFill="1" applyBorder="1" applyAlignment="1" applyProtection="1">
      <alignment horizontal="center" wrapText="1"/>
      <protection/>
    </xf>
    <xf numFmtId="43" fontId="27" fillId="29" borderId="40" xfId="0" applyNumberFormat="1" applyFont="1" applyFill="1" applyBorder="1" applyAlignment="1" applyProtection="1">
      <alignment horizontal="center" wrapText="1"/>
      <protection/>
    </xf>
    <xf numFmtId="0" fontId="27" fillId="29" borderId="41" xfId="0" applyFont="1" applyFill="1" applyBorder="1" applyAlignment="1" applyProtection="1">
      <alignment horizontal="center" wrapText="1"/>
      <protection/>
    </xf>
    <xf numFmtId="167" fontId="0" fillId="29" borderId="21" xfId="42" applyNumberFormat="1" applyFont="1" applyFill="1" applyBorder="1" applyAlignment="1" applyProtection="1">
      <alignment/>
      <protection/>
    </xf>
    <xf numFmtId="43" fontId="0" fillId="29" borderId="40" xfId="42" applyFont="1" applyFill="1" applyBorder="1" applyAlignment="1" applyProtection="1">
      <alignment/>
      <protection/>
    </xf>
    <xf numFmtId="0" fontId="27" fillId="29" borderId="12" xfId="0" applyFont="1" applyFill="1" applyBorder="1" applyAlignment="1" applyProtection="1">
      <alignment/>
      <protection/>
    </xf>
    <xf numFmtId="167" fontId="0" fillId="29" borderId="44" xfId="42" applyNumberFormat="1" applyFont="1" applyFill="1" applyBorder="1" applyAlignment="1" applyProtection="1">
      <alignment/>
      <protection/>
    </xf>
    <xf numFmtId="167" fontId="0" fillId="29" borderId="50" xfId="42" applyNumberFormat="1" applyFont="1" applyFill="1" applyBorder="1" applyAlignment="1" applyProtection="1">
      <alignment/>
      <protection/>
    </xf>
    <xf numFmtId="0" fontId="27" fillId="29" borderId="44" xfId="0" applyFont="1" applyFill="1" applyBorder="1" applyAlignment="1" applyProtection="1">
      <alignment horizontal="center"/>
      <protection/>
    </xf>
    <xf numFmtId="0" fontId="27" fillId="29" borderId="12" xfId="0" applyFont="1" applyFill="1" applyBorder="1" applyAlignment="1" applyProtection="1">
      <alignment horizontal="left"/>
      <protection/>
    </xf>
    <xf numFmtId="10" fontId="27" fillId="28" borderId="12" xfId="62" applyNumberFormat="1" applyFont="1" applyFill="1" applyBorder="1" applyAlignment="1" applyProtection="1">
      <alignment horizontal="center"/>
      <protection/>
    </xf>
    <xf numFmtId="167" fontId="27" fillId="28" borderId="12" xfId="0" applyNumberFormat="1" applyFont="1" applyFill="1" applyBorder="1" applyAlignment="1" applyProtection="1">
      <alignment horizontal="center"/>
      <protection/>
    </xf>
    <xf numFmtId="167" fontId="27" fillId="28" borderId="12" xfId="42" applyNumberFormat="1" applyFont="1" applyFill="1" applyBorder="1" applyAlignment="1" applyProtection="1">
      <alignment/>
      <protection/>
    </xf>
    <xf numFmtId="0" fontId="0" fillId="28" borderId="12" xfId="0" applyFill="1" applyBorder="1" applyAlignment="1" applyProtection="1">
      <alignment/>
      <protection/>
    </xf>
    <xf numFmtId="5" fontId="27" fillId="28" borderId="12" xfId="42" applyNumberFormat="1" applyFont="1" applyFill="1" applyBorder="1" applyAlignment="1" applyProtection="1">
      <alignment/>
      <protection/>
    </xf>
    <xf numFmtId="167" fontId="27" fillId="28" borderId="12" xfId="0" applyNumberFormat="1" applyFont="1" applyFill="1" applyBorder="1" applyAlignment="1" applyProtection="1">
      <alignment/>
      <protection/>
    </xf>
    <xf numFmtId="5" fontId="27" fillId="28" borderId="12" xfId="0" applyNumberFormat="1" applyFont="1" applyFill="1" applyBorder="1" applyAlignment="1" applyProtection="1">
      <alignment/>
      <protection/>
    </xf>
    <xf numFmtId="0" fontId="0" fillId="28" borderId="35" xfId="0" applyFill="1" applyBorder="1" applyAlignment="1">
      <alignment horizontal="center"/>
    </xf>
    <xf numFmtId="0" fontId="0" fillId="28" borderId="15" xfId="0" applyFill="1" applyBorder="1" applyAlignment="1">
      <alignment/>
    </xf>
    <xf numFmtId="0" fontId="0" fillId="28" borderId="10" xfId="0" applyFill="1" applyBorder="1" applyAlignment="1">
      <alignment/>
    </xf>
    <xf numFmtId="0" fontId="0" fillId="28" borderId="13" xfId="0" applyFill="1" applyBorder="1" applyAlignment="1">
      <alignment/>
    </xf>
    <xf numFmtId="0" fontId="27" fillId="28" borderId="12" xfId="0" applyFont="1" applyFill="1" applyBorder="1" applyAlignment="1">
      <alignment/>
    </xf>
    <xf numFmtId="0" fontId="27" fillId="28" borderId="10" xfId="0" applyFont="1" applyFill="1" applyBorder="1" applyAlignment="1">
      <alignment horizontal="right"/>
    </xf>
    <xf numFmtId="0" fontId="27" fillId="28" borderId="18" xfId="0" applyFont="1" applyFill="1" applyBorder="1" applyAlignment="1">
      <alignment horizontal="right"/>
    </xf>
    <xf numFmtId="9" fontId="27" fillId="28" borderId="17" xfId="0" applyNumberFormat="1" applyFont="1" applyFill="1" applyBorder="1" applyAlignment="1">
      <alignment horizontal="right"/>
    </xf>
    <xf numFmtId="0" fontId="27" fillId="28" borderId="12" xfId="0" applyFont="1" applyFill="1" applyBorder="1" applyAlignment="1">
      <alignment horizontal="right"/>
    </xf>
    <xf numFmtId="0" fontId="27" fillId="28" borderId="15" xfId="0" applyFont="1" applyFill="1" applyBorder="1" applyAlignment="1">
      <alignment/>
    </xf>
    <xf numFmtId="165" fontId="27" fillId="28" borderId="13" xfId="0" applyNumberFormat="1" applyFont="1" applyFill="1" applyBorder="1" applyAlignment="1">
      <alignment/>
    </xf>
    <xf numFmtId="165" fontId="26" fillId="28" borderId="12" xfId="0" applyNumberFormat="1" applyFont="1" applyFill="1" applyBorder="1" applyAlignment="1">
      <alignment/>
    </xf>
    <xf numFmtId="165" fontId="27" fillId="28" borderId="15" xfId="0" applyNumberFormat="1" applyFont="1" applyFill="1" applyBorder="1" applyAlignment="1">
      <alignment/>
    </xf>
    <xf numFmtId="165" fontId="0" fillId="28" borderId="15" xfId="0" applyNumberFormat="1" applyFill="1" applyBorder="1" applyAlignment="1">
      <alignment/>
    </xf>
    <xf numFmtId="165" fontId="0" fillId="28" borderId="13" xfId="0" applyNumberFormat="1" applyFill="1" applyBorder="1" applyAlignment="1">
      <alignment/>
    </xf>
    <xf numFmtId="0" fontId="0" fillId="28" borderId="19" xfId="0" applyFill="1" applyBorder="1" applyAlignment="1">
      <alignment/>
    </xf>
    <xf numFmtId="0" fontId="27" fillId="28" borderId="21" xfId="0" applyFont="1" applyFill="1" applyBorder="1" applyAlignment="1">
      <alignment/>
    </xf>
    <xf numFmtId="0" fontId="26" fillId="28" borderId="12" xfId="0" applyFont="1" applyFill="1" applyBorder="1" applyAlignment="1">
      <alignment/>
    </xf>
    <xf numFmtId="37" fontId="27" fillId="28" borderId="12" xfId="0" applyNumberFormat="1" applyFont="1" applyFill="1" applyBorder="1" applyAlignment="1">
      <alignment/>
    </xf>
    <xf numFmtId="37" fontId="27" fillId="28" borderId="10" xfId="0" applyNumberFormat="1" applyFont="1" applyFill="1" applyBorder="1" applyAlignment="1">
      <alignment/>
    </xf>
    <xf numFmtId="5" fontId="27" fillId="28" borderId="13" xfId="0" applyNumberFormat="1" applyFont="1" applyFill="1" applyBorder="1" applyAlignment="1">
      <alignment/>
    </xf>
    <xf numFmtId="5" fontId="27" fillId="28" borderId="12" xfId="0" applyNumberFormat="1" applyFont="1" applyFill="1" applyBorder="1" applyAlignment="1">
      <alignment/>
    </xf>
    <xf numFmtId="10" fontId="27" fillId="26" borderId="14" xfId="0" applyNumberFormat="1" applyFont="1" applyFill="1" applyBorder="1" applyAlignment="1" applyProtection="1">
      <alignment/>
      <protection locked="0"/>
    </xf>
    <xf numFmtId="0" fontId="26" fillId="28" borderId="12" xfId="0" applyFont="1" applyFill="1" applyBorder="1" applyAlignment="1">
      <alignment horizontal="center"/>
    </xf>
    <xf numFmtId="0" fontId="0" fillId="28" borderId="46" xfId="0" applyFont="1" applyFill="1" applyBorder="1" applyAlignment="1">
      <alignment horizontal="center"/>
    </xf>
    <xf numFmtId="0" fontId="27" fillId="28" borderId="35" xfId="0" applyFont="1" applyFill="1" applyBorder="1" applyAlignment="1">
      <alignment horizontal="center"/>
    </xf>
    <xf numFmtId="0" fontId="27" fillId="28" borderId="47" xfId="0" applyFont="1" applyFill="1" applyBorder="1" applyAlignment="1">
      <alignment horizontal="center"/>
    </xf>
    <xf numFmtId="0" fontId="26" fillId="28" borderId="28" xfId="0" applyFont="1" applyFill="1" applyBorder="1" applyAlignment="1">
      <alignment horizontal="center" wrapText="1"/>
    </xf>
    <xf numFmtId="0" fontId="26" fillId="28" borderId="28" xfId="0" applyFont="1" applyFill="1" applyBorder="1" applyAlignment="1">
      <alignment horizontal="center"/>
    </xf>
    <xf numFmtId="0" fontId="26" fillId="28" borderId="37" xfId="0" applyFont="1" applyFill="1" applyBorder="1" applyAlignment="1">
      <alignment horizontal="center"/>
    </xf>
    <xf numFmtId="0" fontId="0" fillId="28" borderId="48" xfId="0" applyFont="1" applyFill="1" applyBorder="1" applyAlignment="1">
      <alignment horizontal="center"/>
    </xf>
    <xf numFmtId="0" fontId="0" fillId="28" borderId="42" xfId="0" applyFill="1" applyBorder="1" applyAlignment="1">
      <alignment horizontal="center"/>
    </xf>
    <xf numFmtId="0" fontId="27" fillId="28" borderId="42" xfId="0" applyFont="1" applyFill="1" applyBorder="1" applyAlignment="1">
      <alignment horizontal="center"/>
    </xf>
    <xf numFmtId="0" fontId="27" fillId="28" borderId="23" xfId="0" applyFont="1" applyFill="1" applyBorder="1" applyAlignment="1">
      <alignment horizontal="center"/>
    </xf>
    <xf numFmtId="0" fontId="27" fillId="28" borderId="37" xfId="0" applyFont="1" applyFill="1" applyBorder="1" applyAlignment="1">
      <alignment horizontal="center"/>
    </xf>
    <xf numFmtId="0" fontId="0" fillId="28" borderId="46" xfId="0" applyFont="1" applyFill="1" applyBorder="1" applyAlignment="1">
      <alignment wrapText="1"/>
    </xf>
    <xf numFmtId="0" fontId="0" fillId="28" borderId="47" xfId="0" applyFont="1" applyFill="1" applyBorder="1" applyAlignment="1">
      <alignment/>
    </xf>
    <xf numFmtId="0" fontId="27" fillId="28" borderId="21" xfId="0" applyFont="1" applyFill="1" applyBorder="1" applyAlignment="1">
      <alignment horizontal="center"/>
    </xf>
    <xf numFmtId="0" fontId="27" fillId="28" borderId="46" xfId="0" applyFont="1" applyFill="1" applyBorder="1" applyAlignment="1">
      <alignment wrapText="1"/>
    </xf>
    <xf numFmtId="0" fontId="0" fillId="28" borderId="48" xfId="0" applyFont="1" applyFill="1" applyBorder="1" applyAlignment="1">
      <alignment wrapText="1"/>
    </xf>
    <xf numFmtId="0" fontId="0" fillId="28" borderId="23" xfId="0" applyFont="1" applyFill="1" applyBorder="1" applyAlignment="1">
      <alignment/>
    </xf>
    <xf numFmtId="0" fontId="27" fillId="28" borderId="37" xfId="0" applyFont="1" applyFill="1" applyBorder="1" applyAlignment="1">
      <alignment/>
    </xf>
    <xf numFmtId="0" fontId="27" fillId="28" borderId="29" xfId="0" applyFont="1" applyFill="1" applyBorder="1" applyAlignment="1">
      <alignment horizontal="center"/>
    </xf>
    <xf numFmtId="0" fontId="27" fillId="28" borderId="48" xfId="0" applyFont="1" applyFill="1" applyBorder="1" applyAlignment="1">
      <alignment wrapText="1"/>
    </xf>
    <xf numFmtId="0" fontId="0" fillId="28" borderId="35" xfId="0" applyFont="1" applyFill="1" applyBorder="1" applyAlignment="1">
      <alignment horizontal="center"/>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0" fontId="0" fillId="28" borderId="42" xfId="0" applyFont="1" applyFill="1" applyBorder="1" applyAlignment="1">
      <alignment horizontal="center"/>
    </xf>
    <xf numFmtId="0" fontId="0" fillId="28" borderId="16" xfId="0" applyFill="1" applyBorder="1" applyAlignment="1">
      <alignment/>
    </xf>
    <xf numFmtId="0" fontId="0" fillId="0" borderId="13" xfId="0" applyBorder="1" applyAlignment="1" applyProtection="1">
      <alignment horizontal="right"/>
      <protection locked="0"/>
    </xf>
    <xf numFmtId="0" fontId="26" fillId="28" borderId="37" xfId="0" applyFont="1" applyFill="1" applyBorder="1" applyAlignment="1">
      <alignment/>
    </xf>
    <xf numFmtId="37" fontId="0" fillId="26" borderId="30" xfId="0" applyNumberFormat="1" applyFill="1" applyBorder="1" applyAlignment="1">
      <alignment horizontal="center"/>
    </xf>
    <xf numFmtId="0" fontId="0" fillId="26" borderId="26" xfId="0" applyFill="1" applyBorder="1" applyAlignment="1">
      <alignment horizontal="center"/>
    </xf>
    <xf numFmtId="37" fontId="0" fillId="26" borderId="26" xfId="0" applyNumberFormat="1" applyFill="1" applyBorder="1" applyAlignment="1">
      <alignment horizontal="center"/>
    </xf>
    <xf numFmtId="5" fontId="27" fillId="27" borderId="33" xfId="0" applyNumberFormat="1" applyFont="1" applyFill="1" applyBorder="1" applyAlignment="1" applyProtection="1">
      <alignment/>
      <protection locked="0"/>
    </xf>
    <xf numFmtId="0" fontId="0" fillId="0" borderId="30" xfId="0" applyBorder="1" applyAlignment="1" applyProtection="1">
      <alignment horizontal="center"/>
      <protection locked="0"/>
    </xf>
    <xf numFmtId="0" fontId="27" fillId="29" borderId="21" xfId="0" applyFont="1" applyFill="1" applyBorder="1" applyAlignment="1">
      <alignment horizontal="left"/>
    </xf>
    <xf numFmtId="0" fontId="27" fillId="29" borderId="29" xfId="0" applyFont="1" applyFill="1" applyBorder="1" applyAlignment="1">
      <alignment horizontal="left"/>
    </xf>
    <xf numFmtId="0" fontId="27" fillId="28" borderId="35" xfId="0" applyFont="1" applyFill="1" applyBorder="1" applyAlignment="1">
      <alignment/>
    </xf>
    <xf numFmtId="0" fontId="27" fillId="28" borderId="47" xfId="0" applyFont="1" applyFill="1" applyBorder="1" applyAlignment="1">
      <alignment/>
    </xf>
    <xf numFmtId="0" fontId="27" fillId="28" borderId="42" xfId="0" applyFont="1" applyFill="1" applyBorder="1" applyAlignment="1">
      <alignment/>
    </xf>
    <xf numFmtId="0" fontId="27" fillId="28" borderId="23" xfId="0" applyFont="1" applyFill="1" applyBorder="1" applyAlignment="1">
      <alignment/>
    </xf>
    <xf numFmtId="0" fontId="27" fillId="28" borderId="29" xfId="0" applyFont="1" applyFill="1" applyBorder="1" applyAlignment="1">
      <alignment/>
    </xf>
    <xf numFmtId="0" fontId="27" fillId="28" borderId="12" xfId="0" applyFont="1" applyFill="1" applyBorder="1" applyAlignment="1">
      <alignment/>
    </xf>
    <xf numFmtId="0" fontId="27" fillId="28" borderId="12" xfId="0" applyFont="1" applyFill="1" applyBorder="1" applyAlignment="1">
      <alignment horizontal="center" wrapText="1"/>
    </xf>
    <xf numFmtId="0" fontId="0" fillId="28" borderId="51" xfId="0" applyFont="1" applyFill="1" applyBorder="1" applyAlignment="1">
      <alignment/>
    </xf>
    <xf numFmtId="37" fontId="0" fillId="28" borderId="15" xfId="0" applyNumberFormat="1" applyFill="1" applyBorder="1" applyAlignment="1">
      <alignment horizontal="center"/>
    </xf>
    <xf numFmtId="5" fontId="0" fillId="28" borderId="15" xfId="0" applyNumberFormat="1" applyFill="1" applyBorder="1" applyAlignment="1">
      <alignment horizontal="center"/>
    </xf>
    <xf numFmtId="0" fontId="0" fillId="28" borderId="35" xfId="0" applyFont="1" applyFill="1" applyBorder="1" applyAlignment="1">
      <alignment/>
    </xf>
    <xf numFmtId="0" fontId="27" fillId="28" borderId="12" xfId="0" applyFont="1" applyFill="1" applyBorder="1" applyAlignment="1" quotePrefix="1">
      <alignment/>
    </xf>
    <xf numFmtId="37" fontId="27" fillId="28" borderId="12" xfId="0" applyNumberFormat="1" applyFont="1" applyFill="1" applyBorder="1" applyAlignment="1">
      <alignment horizontal="center"/>
    </xf>
    <xf numFmtId="5" fontId="0" fillId="28" borderId="12" xfId="0" applyNumberFormat="1" applyFill="1" applyBorder="1" applyAlignment="1">
      <alignment horizontal="center"/>
    </xf>
    <xf numFmtId="10" fontId="0" fillId="28" borderId="15" xfId="0" applyNumberFormat="1" applyFill="1" applyBorder="1" applyAlignment="1">
      <alignment horizontal="center"/>
    </xf>
    <xf numFmtId="10" fontId="0" fillId="28" borderId="10" xfId="0" applyNumberFormat="1" applyFill="1" applyBorder="1" applyAlignment="1">
      <alignment horizontal="center"/>
    </xf>
    <xf numFmtId="7" fontId="0" fillId="28" borderId="52" xfId="0" applyNumberFormat="1" applyFill="1" applyBorder="1" applyAlignment="1">
      <alignment/>
    </xf>
    <xf numFmtId="7" fontId="27" fillId="28" borderId="12" xfId="0" applyNumberFormat="1" applyFont="1" applyFill="1" applyBorder="1" applyAlignment="1">
      <alignment/>
    </xf>
    <xf numFmtId="0" fontId="27" fillId="28" borderId="37" xfId="0" applyFont="1" applyFill="1" applyBorder="1" applyAlignment="1">
      <alignment/>
    </xf>
    <xf numFmtId="0" fontId="0" fillId="28" borderId="11" xfId="0" applyFont="1" applyFill="1" applyBorder="1" applyAlignment="1">
      <alignment/>
    </xf>
    <xf numFmtId="0" fontId="27" fillId="28" borderId="37" xfId="0" applyFont="1" applyFill="1" applyBorder="1" applyAlignment="1" quotePrefix="1">
      <alignment/>
    </xf>
    <xf numFmtId="0" fontId="54" fillId="28" borderId="12" xfId="0" applyFont="1" applyFill="1" applyBorder="1" applyAlignment="1">
      <alignment wrapText="1"/>
    </xf>
    <xf numFmtId="165" fontId="54" fillId="28" borderId="12" xfId="0" applyNumberFormat="1" applyFont="1" applyFill="1" applyBorder="1" applyAlignment="1">
      <alignment horizontal="center" wrapText="1"/>
    </xf>
    <xf numFmtId="165" fontId="54" fillId="28" borderId="28" xfId="0" applyNumberFormat="1" applyFont="1" applyFill="1" applyBorder="1" applyAlignment="1">
      <alignment horizontal="center" wrapText="1"/>
    </xf>
    <xf numFmtId="5" fontId="27" fillId="28" borderId="12" xfId="0" applyNumberFormat="1" applyFont="1" applyFill="1" applyBorder="1" applyAlignment="1">
      <alignment wrapText="1"/>
    </xf>
    <xf numFmtId="0" fontId="54" fillId="28" borderId="37" xfId="0" applyFont="1" applyFill="1" applyBorder="1" applyAlignment="1">
      <alignment wrapText="1"/>
    </xf>
    <xf numFmtId="0" fontId="0" fillId="28" borderId="46" xfId="0" applyFont="1" applyFill="1" applyBorder="1" applyAlignment="1">
      <alignment/>
    </xf>
    <xf numFmtId="0" fontId="54" fillId="28" borderId="53" xfId="0" applyFont="1" applyFill="1" applyBorder="1" applyAlignment="1">
      <alignment wrapText="1"/>
    </xf>
    <xf numFmtId="0" fontId="54" fillId="28" borderId="28" xfId="0" applyFont="1" applyFill="1" applyBorder="1" applyAlignment="1">
      <alignment wrapText="1"/>
    </xf>
    <xf numFmtId="37" fontId="0" fillId="28" borderId="10" xfId="0" applyNumberFormat="1" applyFill="1" applyBorder="1" applyAlignment="1">
      <alignment horizontal="center"/>
    </xf>
    <xf numFmtId="5" fontId="0" fillId="28" borderId="52" xfId="0" applyNumberFormat="1" applyFill="1" applyBorder="1" applyAlignment="1">
      <alignment/>
    </xf>
    <xf numFmtId="0" fontId="0" fillId="28" borderId="48" xfId="0" applyFont="1" applyFill="1" applyBorder="1" applyAlignment="1">
      <alignment/>
    </xf>
    <xf numFmtId="0" fontId="54" fillId="28" borderId="54" xfId="0" applyFont="1" applyFill="1" applyBorder="1" applyAlignment="1">
      <alignment wrapText="1"/>
    </xf>
    <xf numFmtId="0" fontId="54" fillId="28" borderId="30" xfId="0" applyFont="1" applyFill="1" applyBorder="1" applyAlignment="1">
      <alignment wrapText="1"/>
    </xf>
    <xf numFmtId="165" fontId="27" fillId="28" borderId="12" xfId="0" applyNumberFormat="1" applyFont="1" applyFill="1" applyBorder="1" applyAlignment="1">
      <alignment/>
    </xf>
    <xf numFmtId="0" fontId="0" fillId="28" borderId="37" xfId="0" applyFill="1" applyBorder="1" applyAlignment="1">
      <alignment/>
    </xf>
    <xf numFmtId="0" fontId="27" fillId="28" borderId="28" xfId="0" applyFont="1" applyFill="1" applyBorder="1" applyAlignment="1">
      <alignment horizontal="center"/>
    </xf>
    <xf numFmtId="10" fontId="27" fillId="28" borderId="12" xfId="0" applyNumberFormat="1" applyFont="1" applyFill="1" applyBorder="1" applyAlignment="1" applyProtection="1">
      <alignment horizontal="center"/>
      <protection/>
    </xf>
    <xf numFmtId="177" fontId="27" fillId="28" borderId="12" xfId="0" applyNumberFormat="1" applyFont="1" applyFill="1" applyBorder="1" applyAlignment="1">
      <alignment horizontal="right"/>
    </xf>
    <xf numFmtId="177" fontId="27" fillId="28" borderId="12" xfId="0" applyNumberFormat="1" applyFont="1" applyFill="1" applyBorder="1" applyAlignment="1">
      <alignment/>
    </xf>
    <xf numFmtId="178" fontId="27" fillId="28" borderId="15" xfId="0" applyNumberFormat="1" applyFont="1" applyFill="1" applyBorder="1" applyAlignment="1">
      <alignment/>
    </xf>
    <xf numFmtId="177" fontId="27" fillId="28" borderId="15" xfId="0" applyNumberFormat="1" applyFont="1" applyFill="1" applyBorder="1" applyAlignment="1">
      <alignment/>
    </xf>
    <xf numFmtId="9" fontId="27" fillId="28" borderId="16" xfId="0" applyNumberFormat="1" applyFont="1" applyFill="1" applyBorder="1" applyAlignment="1">
      <alignment horizontal="right"/>
    </xf>
    <xf numFmtId="9" fontId="27" fillId="28" borderId="12" xfId="0" applyNumberFormat="1" applyFont="1" applyFill="1" applyBorder="1" applyAlignment="1">
      <alignment/>
    </xf>
    <xf numFmtId="0" fontId="27" fillId="28" borderId="12" xfId="0" applyFont="1" applyFill="1" applyBorder="1" applyAlignment="1" applyProtection="1">
      <alignment horizontal="center"/>
      <protection/>
    </xf>
    <xf numFmtId="0" fontId="0" fillId="28" borderId="12" xfId="0" applyFont="1" applyFill="1" applyBorder="1" applyAlignment="1" applyProtection="1">
      <alignment horizontal="center"/>
      <protection/>
    </xf>
    <xf numFmtId="0" fontId="0" fillId="28" borderId="12" xfId="0" applyFont="1" applyFill="1" applyBorder="1" applyAlignment="1" applyProtection="1" quotePrefix="1">
      <alignment horizontal="center"/>
      <protection/>
    </xf>
    <xf numFmtId="0" fontId="0" fillId="29" borderId="12" xfId="0" applyFont="1" applyFill="1" applyBorder="1" applyAlignment="1" applyProtection="1">
      <alignment horizontal="left" wrapText="1"/>
      <protection/>
    </xf>
    <xf numFmtId="16" fontId="27" fillId="29" borderId="12"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28" xfId="0" applyFont="1" applyFill="1" applyBorder="1" applyAlignment="1" applyProtection="1">
      <alignment/>
      <protection/>
    </xf>
    <xf numFmtId="0" fontId="27" fillId="28" borderId="12" xfId="0" applyFont="1" applyFill="1" applyBorder="1" applyAlignment="1" applyProtection="1">
      <alignment/>
      <protection/>
    </xf>
    <xf numFmtId="0" fontId="27" fillId="28" borderId="15"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28" xfId="0" applyNumberFormat="1" applyFont="1" applyFill="1" applyBorder="1" applyAlignment="1" applyProtection="1">
      <alignment horizontal="right"/>
      <protection/>
    </xf>
    <xf numFmtId="5" fontId="27" fillId="0" borderId="33" xfId="0" applyNumberFormat="1" applyFont="1" applyBorder="1" applyAlignment="1" applyProtection="1">
      <alignment horizontal="right"/>
      <protection/>
    </xf>
    <xf numFmtId="0" fontId="48" fillId="0" borderId="0" xfId="0" applyFont="1" applyAlignment="1">
      <alignment horizontal="center"/>
    </xf>
    <xf numFmtId="5" fontId="35" fillId="28" borderId="12" xfId="59" applyNumberFormat="1" applyFont="1" applyFill="1" applyBorder="1" applyAlignment="1" applyProtection="1">
      <alignment horizontal="center"/>
      <protection/>
    </xf>
    <xf numFmtId="165" fontId="30" fillId="26"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6"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6" borderId="0" xfId="0" applyNumberFormat="1" applyFont="1" applyFill="1" applyAlignment="1" applyProtection="1">
      <alignment/>
      <protection locked="0"/>
    </xf>
    <xf numFmtId="5" fontId="30" fillId="26" borderId="0" xfId="0" applyNumberFormat="1" applyFont="1" applyFill="1" applyAlignment="1" applyProtection="1">
      <alignment/>
      <protection locked="0"/>
    </xf>
    <xf numFmtId="169" fontId="35" fillId="28" borderId="12" xfId="59" applyNumberFormat="1" applyFont="1" applyFill="1" applyBorder="1" applyAlignment="1" applyProtection="1">
      <alignment horizontal="center"/>
      <protection/>
    </xf>
    <xf numFmtId="0" fontId="27" fillId="27" borderId="12" xfId="0" applyFont="1" applyFill="1" applyBorder="1" applyAlignment="1" applyProtection="1">
      <alignment horizontal="center"/>
      <protection locked="0"/>
    </xf>
    <xf numFmtId="0" fontId="21" fillId="27" borderId="21" xfId="0" applyFont="1" applyFill="1" applyBorder="1" applyAlignment="1">
      <alignment wrapText="1"/>
    </xf>
    <xf numFmtId="0" fontId="26" fillId="27" borderId="34" xfId="0" applyFont="1" applyFill="1" applyBorder="1" applyAlignment="1">
      <alignment wrapText="1"/>
    </xf>
    <xf numFmtId="0" fontId="21" fillId="27" borderId="24" xfId="0" applyFont="1" applyFill="1" applyBorder="1" applyAlignment="1">
      <alignment horizontal="center" wrapText="1"/>
    </xf>
    <xf numFmtId="0" fontId="27" fillId="27" borderId="24" xfId="0" applyFont="1" applyFill="1" applyBorder="1" applyAlignment="1">
      <alignment horizontal="center"/>
    </xf>
    <xf numFmtId="0" fontId="0" fillId="27" borderId="24" xfId="0" applyFill="1" applyBorder="1" applyAlignment="1">
      <alignment horizontal="center"/>
    </xf>
    <xf numFmtId="0" fontId="0" fillId="27" borderId="24" xfId="0" applyFont="1" applyFill="1" applyBorder="1" applyAlignment="1">
      <alignment horizontal="center"/>
    </xf>
    <xf numFmtId="0" fontId="0" fillId="27" borderId="24" xfId="0" applyFill="1" applyBorder="1" applyAlignment="1" applyProtection="1">
      <alignment horizontal="center"/>
      <protection locked="0"/>
    </xf>
    <xf numFmtId="0" fontId="0" fillId="27" borderId="24" xfId="0" applyFont="1" applyFill="1" applyBorder="1" applyAlignment="1">
      <alignment wrapText="1"/>
    </xf>
    <xf numFmtId="0" fontId="0" fillId="27" borderId="24" xfId="0" applyFont="1" applyFill="1" applyBorder="1" applyAlignment="1">
      <alignment/>
    </xf>
    <xf numFmtId="0" fontId="27" fillId="27" borderId="24" xfId="0" applyFont="1" applyFill="1" applyBorder="1" applyAlignment="1">
      <alignment/>
    </xf>
    <xf numFmtId="0" fontId="27" fillId="27" borderId="24" xfId="0" applyFont="1" applyFill="1" applyBorder="1" applyAlignment="1" applyProtection="1">
      <alignment/>
      <protection locked="0"/>
    </xf>
    <xf numFmtId="0" fontId="0" fillId="27" borderId="24" xfId="0" applyFont="1" applyFill="1" applyBorder="1" applyAlignment="1" applyProtection="1" quotePrefix="1">
      <alignment horizontal="center"/>
      <protection locked="0"/>
    </xf>
    <xf numFmtId="0" fontId="27" fillId="27" borderId="27" xfId="0" applyFont="1" applyFill="1" applyBorder="1" applyAlignment="1">
      <alignment/>
    </xf>
    <xf numFmtId="0" fontId="21" fillId="27" borderId="26" xfId="0" applyFont="1" applyFill="1" applyBorder="1" applyAlignment="1">
      <alignment horizontal="center" vertical="top" wrapText="1"/>
    </xf>
    <xf numFmtId="5" fontId="27" fillId="27" borderId="26" xfId="0" applyNumberFormat="1" applyFont="1" applyFill="1" applyBorder="1" applyAlignment="1" applyProtection="1">
      <alignment/>
      <protection locked="0"/>
    </xf>
    <xf numFmtId="0" fontId="0" fillId="27" borderId="26" xfId="0" applyFill="1" applyBorder="1" applyAlignment="1" applyProtection="1">
      <alignment/>
      <protection locked="0"/>
    </xf>
    <xf numFmtId="0" fontId="21" fillId="27" borderId="26" xfId="0" applyFont="1" applyFill="1" applyBorder="1" applyAlignment="1" applyProtection="1">
      <alignment/>
      <protection locked="0"/>
    </xf>
    <xf numFmtId="0" fontId="27" fillId="27" borderId="26" xfId="0" applyFont="1" applyFill="1" applyBorder="1" applyAlignment="1" applyProtection="1">
      <alignment horizontal="center"/>
      <protection locked="0"/>
    </xf>
    <xf numFmtId="0" fontId="0" fillId="27" borderId="30" xfId="0" applyFill="1" applyBorder="1" applyAlignment="1" applyProtection="1">
      <alignment/>
      <protection locked="0"/>
    </xf>
    <xf numFmtId="0" fontId="0" fillId="0" borderId="37" xfId="0" applyBorder="1" applyAlignment="1">
      <alignment/>
    </xf>
    <xf numFmtId="0" fontId="21" fillId="27" borderId="33" xfId="0" applyFont="1" applyFill="1" applyBorder="1" applyAlignment="1">
      <alignment horizontal="center" vertical="top" wrapText="1"/>
    </xf>
    <xf numFmtId="0" fontId="21" fillId="27" borderId="33" xfId="0" applyFont="1" applyFill="1" applyBorder="1" applyAlignment="1">
      <alignment horizontal="left" vertical="top" wrapText="1"/>
    </xf>
    <xf numFmtId="0" fontId="21" fillId="27" borderId="33" xfId="0" applyFont="1" applyFill="1" applyBorder="1" applyAlignment="1">
      <alignment vertical="top" wrapText="1"/>
    </xf>
    <xf numFmtId="0" fontId="21" fillId="26" borderId="0" xfId="0" applyFont="1" applyFill="1" applyBorder="1" applyAlignment="1">
      <alignment/>
    </xf>
    <xf numFmtId="5" fontId="27" fillId="26" borderId="0" xfId="0" applyNumberFormat="1" applyFont="1" applyFill="1" applyBorder="1" applyAlignment="1">
      <alignment/>
    </xf>
    <xf numFmtId="5" fontId="27" fillId="26" borderId="0" xfId="0" applyNumberFormat="1" applyFont="1" applyFill="1" applyBorder="1" applyAlignment="1">
      <alignment horizontal="center"/>
    </xf>
    <xf numFmtId="179" fontId="27" fillId="29" borderId="12" xfId="0" applyNumberFormat="1" applyFont="1" applyFill="1" applyBorder="1" applyAlignment="1">
      <alignment horizontal="center"/>
    </xf>
    <xf numFmtId="5" fontId="27" fillId="29" borderId="12" xfId="0" applyNumberFormat="1" applyFont="1" applyFill="1" applyBorder="1" applyAlignment="1">
      <alignment horizontal="center"/>
    </xf>
    <xf numFmtId="0" fontId="22" fillId="0" borderId="30" xfId="0" applyFont="1" applyBorder="1" applyAlignment="1">
      <alignment vertical="top" wrapText="1"/>
    </xf>
    <xf numFmtId="0" fontId="22" fillId="26" borderId="14" xfId="0" applyFont="1" applyFill="1" applyBorder="1" applyAlignment="1">
      <alignment vertical="top" wrapText="1"/>
    </xf>
    <xf numFmtId="0" fontId="26" fillId="0" borderId="28" xfId="0" applyFont="1" applyBorder="1" applyAlignment="1">
      <alignment wrapText="1"/>
    </xf>
    <xf numFmtId="0" fontId="22" fillId="26" borderId="33" xfId="0" applyFont="1" applyFill="1" applyBorder="1" applyAlignment="1">
      <alignment vertical="top" wrapText="1"/>
    </xf>
    <xf numFmtId="0" fontId="22" fillId="26" borderId="28" xfId="0" applyFont="1" applyFill="1" applyBorder="1" applyAlignment="1">
      <alignment vertical="top" wrapText="1"/>
    </xf>
    <xf numFmtId="0" fontId="49" fillId="28" borderId="12" xfId="0" applyFont="1" applyFill="1" applyBorder="1" applyAlignment="1" applyProtection="1">
      <alignment horizontal="left" indent="2"/>
      <protection/>
    </xf>
    <xf numFmtId="0" fontId="27" fillId="26" borderId="12" xfId="0" applyFont="1" applyFill="1" applyBorder="1" applyAlignment="1">
      <alignment horizontal="center"/>
    </xf>
    <xf numFmtId="165" fontId="35" fillId="25" borderId="12" xfId="59" applyNumberFormat="1" applyFont="1" applyFill="1" applyBorder="1" applyAlignment="1" applyProtection="1">
      <alignment horizontal="center"/>
      <protection locked="0"/>
    </xf>
    <xf numFmtId="165" fontId="30" fillId="25" borderId="12" xfId="59" applyNumberFormat="1" applyFont="1" applyFill="1" applyBorder="1" applyAlignment="1" applyProtection="1">
      <alignment horizontal="center"/>
      <protection locked="0"/>
    </xf>
    <xf numFmtId="167" fontId="0" fillId="26" borderId="43" xfId="42" applyNumberFormat="1" applyFont="1" applyFill="1" applyBorder="1" applyAlignment="1" applyProtection="1">
      <alignment/>
      <protection locked="0"/>
    </xf>
    <xf numFmtId="0" fontId="27" fillId="26" borderId="21"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40" fillId="0" borderId="0" xfId="57" applyNumberFormat="1" applyFont="1" applyFill="1" applyBorder="1" applyAlignment="1">
      <alignment vertical="top" wrapText="1"/>
      <protection/>
    </xf>
    <xf numFmtId="0" fontId="53" fillId="0" borderId="0" xfId="57" applyFill="1" applyBorder="1" applyAlignment="1">
      <alignment vertical="top" wrapText="1"/>
      <protection/>
    </xf>
    <xf numFmtId="0" fontId="30" fillId="28" borderId="15" xfId="59" applyFont="1" applyFill="1" applyBorder="1" applyAlignment="1" applyProtection="1">
      <alignment horizontal="left" vertical="top"/>
      <protection locked="0"/>
    </xf>
    <xf numFmtId="0" fontId="37" fillId="29" borderId="12" xfId="59" applyFont="1" applyFill="1" applyBorder="1" applyAlignment="1" applyProtection="1">
      <alignment horizontal="left" indent="1"/>
      <protection/>
    </xf>
    <xf numFmtId="0" fontId="53" fillId="0" borderId="0" xfId="57" applyFill="1" applyBorder="1" applyAlignment="1">
      <alignment vertical="top" wrapText="1"/>
      <protection/>
    </xf>
    <xf numFmtId="169" fontId="50" fillId="28" borderId="12" xfId="59" applyNumberFormat="1" applyFont="1" applyFill="1" applyBorder="1" applyAlignment="1" applyProtection="1">
      <alignment horizontal="right"/>
      <protection/>
    </xf>
    <xf numFmtId="166" fontId="0" fillId="0" borderId="0" xfId="0" applyNumberFormat="1" applyAlignment="1">
      <alignment/>
    </xf>
    <xf numFmtId="166" fontId="50" fillId="28" borderId="12" xfId="59" applyNumberFormat="1" applyFont="1" applyFill="1" applyBorder="1" applyAlignment="1" applyProtection="1">
      <alignment horizontal="right"/>
      <protection/>
    </xf>
    <xf numFmtId="0" fontId="32" fillId="28" borderId="12" xfId="0" applyNumberFormat="1" applyFont="1" applyFill="1" applyBorder="1" applyAlignment="1" applyProtection="1">
      <alignment horizontal="left" wrapText="1" indent="2"/>
      <protection locked="0"/>
    </xf>
    <xf numFmtId="0" fontId="32" fillId="28" borderId="12" xfId="0" applyNumberFormat="1" applyFont="1" applyFill="1" applyBorder="1" applyAlignment="1" applyProtection="1">
      <alignment horizontal="left" indent="2"/>
      <protection locked="0"/>
    </xf>
    <xf numFmtId="0" fontId="30" fillId="28" borderId="10"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protection/>
    </xf>
    <xf numFmtId="0" fontId="36" fillId="28" borderId="10" xfId="59" applyFont="1" applyFill="1" applyBorder="1" applyAlignment="1" applyProtection="1">
      <alignment horizontal="left" vertical="top" wrapText="1"/>
      <protection/>
    </xf>
    <xf numFmtId="0" fontId="30" fillId="28" borderId="14" xfId="59" applyFont="1" applyFill="1" applyBorder="1" applyAlignment="1" applyProtection="1">
      <alignment horizontal="left" vertical="top"/>
      <protection/>
    </xf>
    <xf numFmtId="0" fontId="30" fillId="28" borderId="55" xfId="59"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5" xfId="59" applyFont="1" applyFill="1" applyBorder="1" applyAlignment="1" applyProtection="1">
      <alignment horizontal="left" indent="2"/>
      <protection/>
    </xf>
    <xf numFmtId="0" fontId="30" fillId="28" borderId="10" xfId="59" applyFont="1" applyFill="1" applyBorder="1" applyAlignment="1" applyProtection="1">
      <alignment horizontal="left" indent="2"/>
      <protection/>
    </xf>
    <xf numFmtId="0" fontId="30" fillId="28" borderId="17" xfId="59" applyFont="1" applyFill="1" applyBorder="1" applyAlignment="1" applyProtection="1">
      <alignment horizontal="left" vertical="top"/>
      <protection/>
    </xf>
    <xf numFmtId="0" fontId="22" fillId="26" borderId="12" xfId="0" applyFont="1" applyFill="1" applyBorder="1" applyAlignment="1">
      <alignment horizontal="left" vertical="top" wrapText="1"/>
    </xf>
    <xf numFmtId="0" fontId="27" fillId="26" borderId="14" xfId="0" applyFont="1" applyFill="1" applyBorder="1" applyAlignment="1">
      <alignment horizontal="center"/>
    </xf>
    <xf numFmtId="0" fontId="27" fillId="26" borderId="28" xfId="0" applyFont="1" applyFill="1" applyBorder="1" applyAlignment="1">
      <alignment horizontal="center"/>
    </xf>
    <xf numFmtId="0" fontId="27" fillId="26" borderId="33" xfId="0" applyFont="1" applyFill="1" applyBorder="1" applyAlignment="1">
      <alignment horizontal="center"/>
    </xf>
    <xf numFmtId="49" fontId="22" fillId="0" borderId="14"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top" wrapText="1"/>
    </xf>
    <xf numFmtId="49" fontId="22" fillId="0" borderId="2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0" fontId="0" fillId="28" borderId="29" xfId="0" applyFill="1" applyBorder="1" applyAlignment="1">
      <alignment/>
    </xf>
    <xf numFmtId="0" fontId="22" fillId="0" borderId="33" xfId="0" applyFont="1" applyFill="1" applyBorder="1" applyAlignment="1">
      <alignment wrapText="1"/>
    </xf>
    <xf numFmtId="0" fontId="26" fillId="0" borderId="12" xfId="0" applyFont="1" applyFill="1" applyBorder="1" applyAlignment="1">
      <alignment vertical="top" wrapText="1"/>
    </xf>
    <xf numFmtId="0" fontId="22" fillId="26" borderId="12" xfId="0" applyNumberFormat="1" applyFont="1" applyFill="1" applyBorder="1" applyAlignment="1">
      <alignment horizontal="left" vertical="top" wrapText="1"/>
    </xf>
    <xf numFmtId="0" fontId="41" fillId="0" borderId="12" xfId="0" applyFont="1" applyBorder="1" applyAlignment="1">
      <alignment wrapText="1"/>
    </xf>
    <xf numFmtId="0" fontId="21" fillId="25" borderId="37" xfId="0" applyFont="1" applyFill="1" applyBorder="1" applyAlignment="1">
      <alignment horizontal="center" wrapText="1"/>
    </xf>
    <xf numFmtId="0" fontId="22" fillId="0" borderId="37" xfId="0" applyFont="1" applyBorder="1" applyAlignment="1">
      <alignment vertical="top" wrapText="1"/>
    </xf>
    <xf numFmtId="0" fontId="26" fillId="25" borderId="37" xfId="0" applyFont="1" applyFill="1" applyBorder="1" applyAlignment="1">
      <alignment horizontal="center" wrapText="1"/>
    </xf>
    <xf numFmtId="0" fontId="27" fillId="32" borderId="12"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16"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locked="0"/>
    </xf>
    <xf numFmtId="0" fontId="0" fillId="0" borderId="19" xfId="0" applyBorder="1" applyAlignment="1" applyProtection="1">
      <alignment horizontal="left" indent="1"/>
      <protection/>
    </xf>
    <xf numFmtId="0" fontId="0" fillId="0" borderId="48" xfId="0" applyFill="1" applyBorder="1" applyAlignment="1" applyProtection="1">
      <alignment/>
      <protection locked="0"/>
    </xf>
    <xf numFmtId="0" fontId="0" fillId="0" borderId="16"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56" xfId="0" applyFill="1" applyBorder="1" applyAlignment="1" applyProtection="1">
      <alignment/>
      <protection locked="0"/>
    </xf>
    <xf numFmtId="0" fontId="0" fillId="28" borderId="34" xfId="0" applyFont="1" applyFill="1" applyBorder="1" applyAlignment="1" applyProtection="1">
      <alignment/>
      <protection/>
    </xf>
    <xf numFmtId="0" fontId="0" fillId="28" borderId="31" xfId="0" applyFill="1" applyBorder="1" applyAlignment="1" applyProtection="1">
      <alignment/>
      <protection/>
    </xf>
    <xf numFmtId="0" fontId="0" fillId="28" borderId="32" xfId="0" applyFill="1" applyBorder="1" applyAlignment="1" applyProtection="1">
      <alignment/>
      <protection/>
    </xf>
    <xf numFmtId="0" fontId="0" fillId="28" borderId="24" xfId="0" applyFill="1" applyBorder="1" applyAlignment="1" applyProtection="1">
      <alignment horizontal="left" indent="1"/>
      <protection/>
    </xf>
    <xf numFmtId="0" fontId="0" fillId="28" borderId="0" xfId="0" applyFill="1" applyBorder="1" applyAlignment="1" applyProtection="1">
      <alignment/>
      <protection/>
    </xf>
    <xf numFmtId="0" fontId="0" fillId="28" borderId="26" xfId="0" applyFill="1" applyBorder="1" applyAlignment="1" applyProtection="1">
      <alignment/>
      <protection/>
    </xf>
    <xf numFmtId="0" fontId="0" fillId="28" borderId="25" xfId="0" applyFill="1" applyBorder="1" applyAlignment="1" applyProtection="1">
      <alignment/>
      <protection/>
    </xf>
    <xf numFmtId="0" fontId="0" fillId="28" borderId="30" xfId="0" applyFill="1" applyBorder="1" applyAlignment="1" applyProtection="1">
      <alignment/>
      <protection/>
    </xf>
    <xf numFmtId="0" fontId="0" fillId="28" borderId="34" xfId="0" applyFill="1" applyBorder="1" applyAlignment="1" applyProtection="1">
      <alignment/>
      <protection/>
    </xf>
    <xf numFmtId="0" fontId="0" fillId="28" borderId="27" xfId="0" applyFont="1" applyFill="1" applyBorder="1" applyAlignment="1" applyProtection="1">
      <alignment horizontal="left" indent="1"/>
      <protection/>
    </xf>
    <xf numFmtId="0" fontId="0" fillId="28" borderId="24" xfId="0" applyFont="1" applyFill="1" applyBorder="1" applyAlignment="1" applyProtection="1">
      <alignment horizontal="left" indent="1"/>
      <protection/>
    </xf>
    <xf numFmtId="0" fontId="21" fillId="28" borderId="12" xfId="0" applyFont="1" applyFill="1" applyBorder="1" applyAlignment="1" applyProtection="1">
      <alignment/>
      <protection/>
    </xf>
    <xf numFmtId="0" fontId="21" fillId="28" borderId="21" xfId="0" applyFont="1" applyFill="1" applyBorder="1" applyAlignment="1" applyProtection="1">
      <alignment/>
      <protection/>
    </xf>
    <xf numFmtId="0" fontId="0" fillId="28" borderId="29" xfId="0" applyFill="1" applyBorder="1" applyAlignment="1" applyProtection="1">
      <alignment/>
      <protection/>
    </xf>
    <xf numFmtId="0" fontId="0" fillId="28" borderId="37" xfId="0" applyFill="1" applyBorder="1" applyAlignment="1" applyProtection="1">
      <alignment/>
      <protection/>
    </xf>
    <xf numFmtId="0" fontId="0" fillId="28" borderId="21" xfId="0" applyFont="1" applyFill="1" applyBorder="1" applyAlignment="1" applyProtection="1">
      <alignment/>
      <protection/>
    </xf>
    <xf numFmtId="0" fontId="0" fillId="28" borderId="15"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2" xfId="0" applyFill="1" applyBorder="1" applyAlignment="1" applyProtection="1">
      <alignment horizontal="left" wrapText="1" indent="1"/>
      <protection/>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6" fillId="32" borderId="12" xfId="0" applyFont="1" applyFill="1" applyBorder="1" applyAlignment="1">
      <alignment horizontal="center" wrapText="1"/>
    </xf>
    <xf numFmtId="0" fontId="30" fillId="28" borderId="15" xfId="0" applyFont="1" applyFill="1" applyBorder="1" applyAlignment="1" applyProtection="1">
      <alignment horizontal="left" vertical="top" wrapText="1" indent="1"/>
      <protection/>
    </xf>
    <xf numFmtId="0" fontId="22" fillId="0" borderId="14" xfId="0" applyNumberFormat="1" applyFont="1" applyBorder="1" applyAlignment="1">
      <alignment vertical="top" wrapText="1"/>
    </xf>
    <xf numFmtId="0" fontId="22" fillId="0" borderId="33" xfId="0" applyNumberFormat="1" applyFont="1" applyBorder="1" applyAlignment="1">
      <alignment vertical="top" wrapText="1"/>
    </xf>
    <xf numFmtId="169" fontId="30" fillId="0" borderId="12" xfId="0" applyNumberFormat="1" applyFont="1" applyBorder="1" applyAlignment="1" applyProtection="1">
      <alignment/>
      <protection locked="0"/>
    </xf>
    <xf numFmtId="0" fontId="32" fillId="26" borderId="12" xfId="0" applyNumberFormat="1" applyFont="1" applyFill="1" applyBorder="1" applyAlignment="1" applyProtection="1">
      <alignment horizontal="left" wrapText="1" indent="2"/>
      <protection locked="0"/>
    </xf>
    <xf numFmtId="0" fontId="0" fillId="26" borderId="11" xfId="0" applyFill="1" applyBorder="1" applyAlignment="1" applyProtection="1">
      <alignment/>
      <protection locked="0"/>
    </xf>
    <xf numFmtId="0" fontId="0" fillId="26" borderId="11" xfId="0" applyFill="1" applyBorder="1" applyAlignment="1" applyProtection="1">
      <alignment horizontal="left" indent="1"/>
      <protection/>
    </xf>
    <xf numFmtId="0" fontId="22" fillId="26" borderId="12" xfId="0" applyNumberFormat="1" applyFont="1" applyFill="1" applyBorder="1" applyAlignment="1">
      <alignment horizontal="left" wrapText="1"/>
    </xf>
    <xf numFmtId="0" fontId="27" fillId="25" borderId="14" xfId="0" applyFont="1" applyFill="1" applyBorder="1" applyAlignment="1">
      <alignment horizontal="center"/>
    </xf>
    <xf numFmtId="0" fontId="0" fillId="28" borderId="10" xfId="0" applyFont="1" applyFill="1" applyBorder="1" applyAlignment="1" applyProtection="1">
      <alignment horizontal="left"/>
      <protection/>
    </xf>
    <xf numFmtId="0" fontId="0" fillId="28" borderId="13" xfId="0" applyFont="1" applyFill="1" applyBorder="1" applyAlignment="1" applyProtection="1">
      <alignment horizontal="left"/>
      <protection/>
    </xf>
    <xf numFmtId="0" fontId="44" fillId="28" borderId="15" xfId="0" applyFont="1" applyFill="1" applyBorder="1" applyAlignment="1" applyProtection="1" quotePrefix="1">
      <alignment vertical="top"/>
      <protection/>
    </xf>
    <xf numFmtId="0" fontId="44" fillId="28" borderId="15" xfId="0" applyFont="1" applyFill="1" applyBorder="1" applyAlignment="1" applyProtection="1">
      <alignment vertical="top"/>
      <protection/>
    </xf>
    <xf numFmtId="0" fontId="0" fillId="28" borderId="43" xfId="0" applyFont="1" applyFill="1" applyBorder="1" applyAlignment="1" applyProtection="1">
      <alignment horizontal="left"/>
      <protection/>
    </xf>
    <xf numFmtId="0" fontId="0" fillId="30" borderId="12" xfId="0" applyFill="1" applyBorder="1" applyAlignment="1">
      <alignment/>
    </xf>
    <xf numFmtId="0" fontId="37" fillId="25" borderId="28" xfId="0" applyFont="1" applyFill="1" applyBorder="1" applyAlignment="1" applyProtection="1">
      <alignment horizontal="center"/>
      <protection locked="0"/>
    </xf>
    <xf numFmtId="165" fontId="30" fillId="28" borderId="10" xfId="59" applyNumberFormat="1" applyFont="1" applyFill="1" applyBorder="1" applyAlignment="1" applyProtection="1">
      <alignment horizontal="right"/>
      <protection/>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5" xfId="42" applyNumberFormat="1" applyFont="1" applyFill="1" applyBorder="1" applyAlignment="1" applyProtection="1">
      <alignment horizontal="center"/>
      <protection/>
    </xf>
    <xf numFmtId="0" fontId="0" fillId="28" borderId="15" xfId="0" applyFont="1" applyFill="1" applyBorder="1" applyAlignment="1" applyProtection="1">
      <alignment horizontal="center"/>
      <protection/>
    </xf>
    <xf numFmtId="0" fontId="0" fillId="28" borderId="43" xfId="0" applyFont="1" applyFill="1" applyBorder="1" applyAlignment="1" applyProtection="1">
      <alignment horizontal="center"/>
      <protection/>
    </xf>
    <xf numFmtId="167" fontId="0" fillId="28" borderId="44" xfId="42" applyNumberFormat="1" applyFont="1" applyFill="1" applyBorder="1" applyAlignment="1" applyProtection="1">
      <alignment/>
      <protection/>
    </xf>
    <xf numFmtId="167" fontId="44" fillId="28" borderId="10" xfId="42" applyNumberFormat="1" applyFont="1" applyFill="1" applyBorder="1" applyAlignment="1" applyProtection="1">
      <alignment horizontal="center"/>
      <protection/>
    </xf>
    <xf numFmtId="167" fontId="0" fillId="28" borderId="57" xfId="42" applyNumberFormat="1" applyFont="1" applyFill="1" applyBorder="1" applyAlignment="1" applyProtection="1">
      <alignment/>
      <protection/>
    </xf>
    <xf numFmtId="167" fontId="0" fillId="29" borderId="58" xfId="42" applyNumberFormat="1" applyFont="1" applyFill="1" applyBorder="1" applyAlignment="1" applyProtection="1">
      <alignment/>
      <protection/>
    </xf>
    <xf numFmtId="167" fontId="0" fillId="28" borderId="12" xfId="42" applyNumberFormat="1" applyFont="1" applyFill="1" applyBorder="1" applyAlignment="1" applyProtection="1">
      <alignment/>
      <protection/>
    </xf>
    <xf numFmtId="0" fontId="0" fillId="27" borderId="0" xfId="0" applyFill="1" applyAlignment="1" applyProtection="1">
      <alignment/>
      <protection/>
    </xf>
    <xf numFmtId="167" fontId="0" fillId="28" borderId="10" xfId="42" applyNumberFormat="1" applyFont="1" applyFill="1" applyBorder="1" applyAlignment="1" applyProtection="1">
      <alignment horizontal="center"/>
      <protection/>
    </xf>
    <xf numFmtId="0" fontId="27" fillId="27" borderId="0" xfId="0" applyFont="1" applyFill="1" applyAlignment="1" applyProtection="1">
      <alignment/>
      <protection/>
    </xf>
    <xf numFmtId="0" fontId="27" fillId="29" borderId="21" xfId="0" applyFont="1" applyFill="1" applyBorder="1" applyAlignment="1" applyProtection="1">
      <alignment/>
      <protection/>
    </xf>
    <xf numFmtId="0" fontId="27" fillId="29" borderId="12" xfId="0" applyFont="1" applyFill="1" applyBorder="1" applyAlignment="1" applyProtection="1">
      <alignment wrapText="1"/>
      <protection/>
    </xf>
    <xf numFmtId="0" fontId="0" fillId="28" borderId="48" xfId="0" applyFont="1" applyFill="1" applyBorder="1" applyAlignment="1" applyProtection="1">
      <alignment horizontal="center"/>
      <protection/>
    </xf>
    <xf numFmtId="3" fontId="27" fillId="28" borderId="12" xfId="0" applyNumberFormat="1" applyFont="1" applyFill="1" applyBorder="1" applyAlignment="1" applyProtection="1">
      <alignment wrapText="1"/>
      <protection/>
    </xf>
    <xf numFmtId="5" fontId="27" fillId="27" borderId="42" xfId="0" applyNumberFormat="1" applyFont="1" applyFill="1" applyBorder="1" applyAlignment="1" applyProtection="1">
      <alignment/>
      <protection/>
    </xf>
    <xf numFmtId="5" fontId="27" fillId="27" borderId="10" xfId="0" applyNumberFormat="1" applyFont="1" applyFill="1" applyBorder="1" applyAlignment="1" applyProtection="1">
      <alignment/>
      <protection/>
    </xf>
    <xf numFmtId="37" fontId="0" fillId="27" borderId="18" xfId="0" applyNumberFormat="1" applyFill="1" applyBorder="1" applyAlignment="1" applyProtection="1">
      <alignment/>
      <protection/>
    </xf>
    <xf numFmtId="37" fontId="0" fillId="27" borderId="0" xfId="0" applyNumberFormat="1" applyFill="1" applyBorder="1" applyAlignment="1" applyProtection="1">
      <alignment/>
      <protection/>
    </xf>
    <xf numFmtId="5" fontId="0" fillId="27" borderId="42" xfId="0" applyNumberFormat="1" applyFill="1" applyBorder="1" applyAlignment="1" applyProtection="1">
      <alignment/>
      <protection/>
    </xf>
    <xf numFmtId="5" fontId="0" fillId="27" borderId="10" xfId="0" applyNumberFormat="1" applyFill="1" applyBorder="1" applyAlignment="1" applyProtection="1">
      <alignment/>
      <protection/>
    </xf>
    <xf numFmtId="0" fontId="0" fillId="27" borderId="10" xfId="0" applyFill="1" applyBorder="1" applyAlignment="1" applyProtection="1">
      <alignment/>
      <protection/>
    </xf>
    <xf numFmtId="0" fontId="0" fillId="27" borderId="19" xfId="0" applyFill="1" applyBorder="1" applyAlignment="1" applyProtection="1">
      <alignment/>
      <protection/>
    </xf>
    <xf numFmtId="0" fontId="0" fillId="27" borderId="0" xfId="0" applyFill="1" applyBorder="1" applyAlignment="1" applyProtection="1">
      <alignment/>
      <protection/>
    </xf>
    <xf numFmtId="167" fontId="0" fillId="26" borderId="10" xfId="42" applyNumberFormat="1" applyFont="1" applyFill="1" applyBorder="1" applyAlignment="1" applyProtection="1">
      <alignment/>
      <protection locked="0"/>
    </xf>
    <xf numFmtId="167" fontId="0" fillId="27" borderId="59" xfId="42" applyNumberFormat="1" applyFont="1" applyFill="1" applyBorder="1" applyAlignment="1" applyProtection="1">
      <alignment/>
      <protection/>
    </xf>
    <xf numFmtId="167" fontId="0" fillId="29" borderId="12" xfId="42" applyNumberFormat="1" applyFont="1" applyFill="1" applyBorder="1" applyAlignment="1" applyProtection="1">
      <alignment/>
      <protection/>
    </xf>
    <xf numFmtId="43" fontId="39" fillId="29" borderId="11" xfId="42" applyFont="1" applyFill="1" applyBorder="1" applyAlignment="1" applyProtection="1">
      <alignment/>
      <protection/>
    </xf>
    <xf numFmtId="43" fontId="39" fillId="29" borderId="12" xfId="42" applyFont="1" applyFill="1" applyBorder="1" applyAlignment="1" applyProtection="1">
      <alignment/>
      <protection/>
    </xf>
    <xf numFmtId="43" fontId="27" fillId="29" borderId="12" xfId="42" applyFont="1" applyFill="1" applyBorder="1" applyAlignment="1" applyProtection="1">
      <alignment/>
      <protection/>
    </xf>
    <xf numFmtId="43" fontId="27" fillId="29" borderId="37" xfId="42" applyFont="1" applyFill="1" applyBorder="1" applyAlignment="1" applyProtection="1">
      <alignment/>
      <protection/>
    </xf>
    <xf numFmtId="43" fontId="0" fillId="8" borderId="10" xfId="42" applyFont="1" applyFill="1" applyBorder="1" applyAlignment="1" applyProtection="1">
      <alignment/>
      <protection/>
    </xf>
    <xf numFmtId="43" fontId="0" fillId="0" borderId="15" xfId="42" applyFont="1" applyFill="1" applyBorder="1" applyAlignment="1" applyProtection="1">
      <alignment/>
      <protection/>
    </xf>
    <xf numFmtId="43" fontId="0" fillId="8" borderId="13" xfId="42" applyFont="1" applyFill="1" applyBorder="1" applyAlignment="1" applyProtection="1">
      <alignment/>
      <protection/>
    </xf>
    <xf numFmtId="43" fontId="0" fillId="0" borderId="13" xfId="42" applyFont="1" applyFill="1" applyBorder="1" applyAlignment="1" applyProtection="1">
      <alignment/>
      <protection/>
    </xf>
    <xf numFmtId="167" fontId="44" fillId="28" borderId="43" xfId="42" applyNumberFormat="1" applyFont="1" applyFill="1" applyBorder="1" applyAlignment="1" applyProtection="1">
      <alignment horizontal="center"/>
      <protection/>
    </xf>
    <xf numFmtId="167" fontId="0" fillId="27" borderId="43" xfId="42" applyNumberFormat="1" applyFont="1" applyFill="1" applyBorder="1" applyAlignment="1" applyProtection="1">
      <alignment/>
      <protection/>
    </xf>
    <xf numFmtId="0" fontId="0" fillId="27" borderId="0" xfId="0" applyFill="1" applyBorder="1" applyAlignment="1" applyProtection="1">
      <alignment wrapText="1"/>
      <protection/>
    </xf>
    <xf numFmtId="0" fontId="27" fillId="27" borderId="0" xfId="0" applyFont="1" applyFill="1" applyBorder="1" applyAlignment="1" applyProtection="1">
      <alignment wrapText="1"/>
      <protection/>
    </xf>
    <xf numFmtId="3" fontId="27" fillId="26" borderId="0" xfId="0" applyNumberFormat="1" applyFont="1" applyFill="1" applyBorder="1" applyAlignment="1" applyProtection="1">
      <alignment wrapText="1"/>
      <protection/>
    </xf>
    <xf numFmtId="37" fontId="0" fillId="27" borderId="22" xfId="0" applyNumberFormat="1" applyFill="1" applyBorder="1" applyAlignment="1" applyProtection="1">
      <alignment/>
      <protection/>
    </xf>
    <xf numFmtId="37" fontId="0" fillId="27" borderId="0" xfId="0" applyNumberFormat="1" applyFill="1" applyAlignment="1" applyProtection="1">
      <alignment/>
      <protection/>
    </xf>
    <xf numFmtId="5" fontId="27" fillId="27" borderId="22" xfId="0" applyNumberFormat="1" applyFont="1" applyFill="1" applyBorder="1" applyAlignment="1" applyProtection="1">
      <alignment/>
      <protection/>
    </xf>
    <xf numFmtId="5" fontId="27" fillId="27" borderId="0" xfId="0" applyNumberFormat="1" applyFont="1" applyFill="1" applyAlignment="1" applyProtection="1">
      <alignment/>
      <protection/>
    </xf>
    <xf numFmtId="5" fontId="0" fillId="27" borderId="0" xfId="0" applyNumberFormat="1" applyFill="1" applyAlignment="1" applyProtection="1">
      <alignment/>
      <protection/>
    </xf>
    <xf numFmtId="5" fontId="27" fillId="28" borderId="15" xfId="0" applyNumberFormat="1" applyFont="1" applyFill="1" applyBorder="1" applyAlignment="1" applyProtection="1">
      <alignment horizontal="center"/>
      <protection/>
    </xf>
    <xf numFmtId="5" fontId="27" fillId="28"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3" xfId="0" applyFont="1" applyFill="1" applyBorder="1" applyAlignment="1" applyProtection="1">
      <alignment/>
      <protection locked="0"/>
    </xf>
    <xf numFmtId="0" fontId="0" fillId="26" borderId="10" xfId="0" applyFill="1" applyBorder="1" applyAlignment="1" applyProtection="1">
      <alignment/>
      <protection locked="0"/>
    </xf>
    <xf numFmtId="0" fontId="0" fillId="26" borderId="13" xfId="0" applyFill="1" applyBorder="1" applyAlignment="1" applyProtection="1">
      <alignment/>
      <protection locked="0"/>
    </xf>
    <xf numFmtId="0" fontId="0" fillId="0" borderId="24" xfId="0" applyFont="1" applyBorder="1" applyAlignment="1" applyProtection="1">
      <alignment/>
      <protection locked="0"/>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28" borderId="10" xfId="0" applyNumberFormat="1" applyFont="1" applyFill="1" applyBorder="1" applyAlignment="1" applyProtection="1">
      <alignment horizontal="center"/>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quotePrefix="1">
      <alignment horizontal="center"/>
      <protection locked="0"/>
    </xf>
    <xf numFmtId="167" fontId="27" fillId="24" borderId="10" xfId="42" applyNumberFormat="1" applyFont="1" applyFill="1" applyBorder="1" applyAlignment="1" applyProtection="1">
      <alignment horizontal="center"/>
      <protection locked="0"/>
    </xf>
    <xf numFmtId="5" fontId="27" fillId="28" borderId="10" xfId="42" applyNumberFormat="1" applyFont="1" applyFill="1" applyBorder="1" applyAlignment="1" applyProtection="1">
      <alignment horizontal="center"/>
      <protection/>
    </xf>
    <xf numFmtId="5" fontId="27" fillId="24" borderId="10" xfId="42" applyNumberFormat="1" applyFont="1" applyFill="1" applyBorder="1" applyAlignment="1" applyProtection="1">
      <alignment horizontal="center"/>
      <protection locked="0"/>
    </xf>
    <xf numFmtId="5" fontId="27" fillId="26" borderId="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locked="0"/>
    </xf>
    <xf numFmtId="5" fontId="27" fillId="0" borderId="0" xfId="0" applyNumberFormat="1" applyFont="1" applyAlignment="1" applyProtection="1">
      <alignment horizontal="center"/>
      <protection locked="0"/>
    </xf>
    <xf numFmtId="5" fontId="27" fillId="28" borderId="12" xfId="0" applyNumberFormat="1"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2" fontId="27" fillId="0" borderId="0" xfId="0" applyNumberFormat="1" applyFont="1" applyAlignment="1" applyProtection="1">
      <alignment horizontal="right"/>
      <protection locked="0"/>
    </xf>
    <xf numFmtId="0" fontId="27" fillId="0" borderId="0" xfId="0" applyFont="1" applyAlignment="1" applyProtection="1">
      <alignment horizontal="right"/>
      <protection locked="0"/>
    </xf>
    <xf numFmtId="167" fontId="27" fillId="28" borderId="10"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9" borderId="28"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wrapText="1"/>
      <protection/>
    </xf>
    <xf numFmtId="0" fontId="33" fillId="29" borderId="12" xfId="59" applyFont="1" applyFill="1" applyBorder="1" applyAlignment="1" applyProtection="1">
      <alignment horizontal="left" vertical="top"/>
      <protection/>
    </xf>
    <xf numFmtId="0" fontId="33" fillId="29" borderId="15" xfId="59"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2" xfId="59" applyNumberFormat="1" applyFont="1" applyFill="1" applyBorder="1" applyAlignment="1" applyProtection="1">
      <alignment horizontal="right"/>
      <protection/>
    </xf>
    <xf numFmtId="165" fontId="33" fillId="0" borderId="0" xfId="59"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59" applyNumberFormat="1" applyFont="1" applyAlignment="1" applyProtection="1">
      <alignment horizontal="left"/>
      <protection/>
    </xf>
    <xf numFmtId="165" fontId="30" fillId="26" borderId="0" xfId="59" applyNumberFormat="1" applyFont="1" applyFill="1" applyAlignment="1" applyProtection="1">
      <alignment horizontal="right"/>
      <protection/>
    </xf>
    <xf numFmtId="165" fontId="33" fillId="26" borderId="0" xfId="59" applyNumberFormat="1" applyFont="1" applyFill="1" applyBorder="1" applyAlignment="1" applyProtection="1">
      <alignment horizontal="right"/>
      <protection/>
    </xf>
    <xf numFmtId="165" fontId="33" fillId="26" borderId="0" xfId="59" applyNumberFormat="1" applyFont="1" applyFill="1" applyAlignment="1" applyProtection="1">
      <alignment horizontal="left"/>
      <protection/>
    </xf>
    <xf numFmtId="165" fontId="30" fillId="26" borderId="0" xfId="59"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59" applyNumberFormat="1" applyFont="1" applyAlignment="1" applyProtection="1">
      <alignment horizontal="right"/>
      <protection/>
    </xf>
    <xf numFmtId="165" fontId="30" fillId="0" borderId="0" xfId="59" applyNumberFormat="1" applyFont="1" applyBorder="1" applyAlignment="1" applyProtection="1">
      <alignment horizontal="right"/>
      <protection/>
    </xf>
    <xf numFmtId="165" fontId="30" fillId="0" borderId="0" xfId="59" applyNumberFormat="1" applyFont="1" applyBorder="1" applyAlignment="1" applyProtection="1">
      <alignment horizontal="left"/>
      <protection/>
    </xf>
    <xf numFmtId="165" fontId="30" fillId="26" borderId="0" xfId="59" applyNumberFormat="1" applyFont="1" applyFill="1" applyBorder="1" applyAlignment="1" applyProtection="1">
      <alignment horizontal="right"/>
      <protection/>
    </xf>
    <xf numFmtId="0" fontId="0" fillId="30" borderId="31" xfId="0" applyFill="1" applyBorder="1" applyAlignment="1" applyProtection="1">
      <alignment/>
      <protection/>
    </xf>
    <xf numFmtId="0" fontId="0" fillId="30" borderId="0" xfId="0" applyFill="1" applyBorder="1" applyAlignment="1" applyProtection="1">
      <alignment/>
      <protection/>
    </xf>
    <xf numFmtId="0" fontId="0" fillId="30" borderId="25" xfId="0" applyFill="1" applyBorder="1" applyAlignment="1" applyProtection="1">
      <alignment/>
      <protection/>
    </xf>
    <xf numFmtId="1" fontId="27" fillId="29" borderId="12" xfId="0" applyNumberFormat="1" applyFont="1" applyFill="1" applyBorder="1" applyAlignment="1" applyProtection="1">
      <alignment horizontal="center"/>
      <protection/>
    </xf>
    <xf numFmtId="169" fontId="0" fillId="28" borderId="15"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2"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2" xfId="59" applyNumberFormat="1" applyFont="1" applyFill="1" applyBorder="1" applyAlignment="1" applyProtection="1">
      <alignment horizontal="right"/>
      <protection/>
    </xf>
    <xf numFmtId="166" fontId="0" fillId="28" borderId="15" xfId="0" applyNumberFormat="1" applyFill="1" applyBorder="1" applyAlignment="1" applyProtection="1">
      <alignment/>
      <protection/>
    </xf>
    <xf numFmtId="166" fontId="26" fillId="28" borderId="12"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2" xfId="59" applyNumberFormat="1" applyFont="1" applyFill="1" applyBorder="1" applyAlignment="1" applyProtection="1">
      <alignment horizontal="right"/>
      <protection/>
    </xf>
    <xf numFmtId="167" fontId="0" fillId="27" borderId="15" xfId="42" applyNumberFormat="1" applyFont="1" applyFill="1" applyBorder="1" applyAlignment="1" applyProtection="1">
      <alignment/>
      <protection/>
    </xf>
    <xf numFmtId="0" fontId="27" fillId="28" borderId="28" xfId="0" applyFont="1" applyFill="1" applyBorder="1" applyAlignment="1" applyProtection="1">
      <alignment horizontal="left"/>
      <protection/>
    </xf>
    <xf numFmtId="0" fontId="0" fillId="26" borderId="13" xfId="0" applyFill="1" applyBorder="1" applyAlignment="1" applyProtection="1">
      <alignment wrapText="1"/>
      <protection locked="0"/>
    </xf>
    <xf numFmtId="10" fontId="27" fillId="0" borderId="12" xfId="0" applyNumberFormat="1" applyFont="1" applyBorder="1" applyAlignment="1" applyProtection="1">
      <alignment horizontal="center"/>
      <protection locked="0"/>
    </xf>
    <xf numFmtId="0" fontId="27" fillId="25" borderId="12" xfId="0" applyFont="1" applyFill="1" applyBorder="1" applyAlignment="1" applyProtection="1">
      <alignment horizontal="center"/>
      <protection locked="0"/>
    </xf>
    <xf numFmtId="0" fontId="28" fillId="28" borderId="12" xfId="0" applyFont="1" applyFill="1" applyBorder="1" applyAlignment="1">
      <alignment horizontal="left" vertical="top"/>
    </xf>
    <xf numFmtId="0" fontId="27" fillId="28" borderId="21" xfId="0" applyFont="1" applyFill="1" applyBorder="1" applyAlignment="1">
      <alignment horizontal="left"/>
    </xf>
    <xf numFmtId="5" fontId="33" fillId="26" borderId="0" xfId="0" applyNumberFormat="1" applyFont="1" applyFill="1" applyBorder="1" applyAlignment="1">
      <alignment/>
    </xf>
    <xf numFmtId="5" fontId="33" fillId="26" borderId="0" xfId="0" applyNumberFormat="1" applyFont="1" applyFill="1" applyBorder="1" applyAlignment="1" applyProtection="1">
      <alignment/>
      <protection/>
    </xf>
    <xf numFmtId="164" fontId="32" fillId="26" borderId="0" xfId="0" applyNumberFormat="1" applyFont="1" applyFill="1" applyBorder="1" applyAlignment="1" applyProtection="1">
      <alignment horizontal="left" indent="2"/>
      <protection locked="0"/>
    </xf>
    <xf numFmtId="0" fontId="26" fillId="0" borderId="33" xfId="0" applyNumberFormat="1" applyFont="1" applyBorder="1" applyAlignment="1">
      <alignment vertical="top" wrapText="1"/>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165" fontId="35" fillId="25" borderId="12" xfId="59" applyNumberFormat="1" applyFont="1" applyFill="1" applyBorder="1" applyAlignment="1" applyProtection="1">
      <alignment horizontal="center"/>
      <protection/>
    </xf>
    <xf numFmtId="165" fontId="35" fillId="0" borderId="12" xfId="59" applyNumberFormat="1" applyFont="1" applyBorder="1" applyAlignment="1" applyProtection="1">
      <alignment horizontal="center"/>
      <protection/>
    </xf>
    <xf numFmtId="169" fontId="35" fillId="0" borderId="12" xfId="59" applyNumberFormat="1" applyFont="1" applyBorder="1" applyAlignment="1" applyProtection="1">
      <alignment horizontal="center"/>
      <protection/>
    </xf>
    <xf numFmtId="165" fontId="30" fillId="0" borderId="10" xfId="0" applyNumberFormat="1" applyFont="1" applyBorder="1" applyAlignment="1" applyProtection="1">
      <alignment/>
      <protection/>
    </xf>
    <xf numFmtId="0" fontId="0" fillId="28" borderId="12" xfId="0" applyFill="1" applyBorder="1" applyAlignment="1">
      <alignment/>
    </xf>
    <xf numFmtId="9" fontId="27" fillId="26" borderId="17" xfId="0" applyNumberFormat="1" applyFont="1" applyFill="1" applyBorder="1" applyAlignment="1">
      <alignment horizontal="right"/>
    </xf>
    <xf numFmtId="5" fontId="27" fillId="26" borderId="0" xfId="0" applyNumberFormat="1" applyFont="1" applyFill="1" applyBorder="1" applyAlignment="1" applyProtection="1">
      <alignment horizontal="center"/>
      <protection/>
    </xf>
    <xf numFmtId="0" fontId="26" fillId="28" borderId="10" xfId="0" applyFont="1" applyFill="1" applyBorder="1" applyAlignment="1">
      <alignment horizontal="left"/>
    </xf>
    <xf numFmtId="0" fontId="26" fillId="29" borderId="46" xfId="0" applyFont="1" applyFill="1" applyBorder="1" applyAlignment="1">
      <alignment horizontal="left"/>
    </xf>
    <xf numFmtId="0" fontId="26" fillId="26" borderId="60" xfId="0" applyFont="1" applyFill="1" applyBorder="1" applyAlignment="1">
      <alignment horizontal="left"/>
    </xf>
    <xf numFmtId="5" fontId="27" fillId="29" borderId="10" xfId="0" applyNumberFormat="1" applyFont="1" applyFill="1" applyBorder="1" applyAlignment="1" applyProtection="1">
      <alignment horizontal="center"/>
      <protection/>
    </xf>
    <xf numFmtId="5" fontId="27" fillId="29" borderId="15" xfId="0" applyNumberFormat="1" applyFont="1" applyFill="1" applyBorder="1" applyAlignment="1" applyProtection="1">
      <alignment horizontal="center"/>
      <protection/>
    </xf>
    <xf numFmtId="0" fontId="26" fillId="29" borderId="48" xfId="0" applyFont="1" applyFill="1" applyBorder="1" applyAlignment="1">
      <alignment horizontal="left"/>
    </xf>
    <xf numFmtId="0" fontId="28" fillId="26" borderId="0" xfId="0" applyFont="1" applyFill="1" applyBorder="1" applyAlignment="1">
      <alignment horizontal="left" wrapText="1"/>
    </xf>
    <xf numFmtId="43" fontId="0" fillId="28" borderId="15" xfId="42" applyFont="1" applyFill="1" applyBorder="1" applyAlignment="1" applyProtection="1">
      <alignment horizontal="center"/>
      <protection/>
    </xf>
    <xf numFmtId="0" fontId="27" fillId="0" borderId="25" xfId="0" applyFont="1" applyFill="1" applyBorder="1" applyAlignment="1" applyProtection="1">
      <alignment/>
      <protection locked="0"/>
    </xf>
    <xf numFmtId="3" fontId="0" fillId="28" borderId="12" xfId="0" applyNumberFormat="1" applyFont="1" applyFill="1" applyBorder="1" applyAlignment="1" applyProtection="1">
      <alignment horizontal="center" wrapText="1"/>
      <protection/>
    </xf>
    <xf numFmtId="5" fontId="0" fillId="28" borderId="10" xfId="42" applyNumberFormat="1" applyFont="1" applyFill="1" applyBorder="1" applyAlignment="1" applyProtection="1">
      <alignment/>
      <protection/>
    </xf>
    <xf numFmtId="5" fontId="27" fillId="28" borderId="12" xfId="0" applyNumberFormat="1" applyFont="1" applyFill="1" applyBorder="1" applyAlignment="1" applyProtection="1">
      <alignment wrapText="1"/>
      <protection/>
    </xf>
    <xf numFmtId="0" fontId="26" fillId="28" borderId="12" xfId="0" applyFont="1" applyFill="1" applyBorder="1" applyAlignment="1" applyProtection="1">
      <alignment horizontal="left" wrapText="1" readingOrder="1"/>
      <protection/>
    </xf>
    <xf numFmtId="0" fontId="0" fillId="28" borderId="10" xfId="0" applyFont="1" applyFill="1" applyBorder="1" applyAlignment="1" applyProtection="1">
      <alignment vertical="top"/>
      <protection/>
    </xf>
    <xf numFmtId="43" fontId="27" fillId="28" borderId="12" xfId="42" applyFont="1" applyFill="1" applyBorder="1" applyAlignment="1" applyProtection="1">
      <alignment/>
      <protection/>
    </xf>
    <xf numFmtId="0" fontId="27" fillId="28" borderId="12" xfId="0" applyFont="1" applyFill="1" applyBorder="1" applyAlignment="1" applyProtection="1">
      <alignment horizontal="center" wrapText="1"/>
      <protection/>
    </xf>
    <xf numFmtId="0" fontId="26" fillId="28" borderId="12" xfId="0" applyFont="1" applyFill="1" applyBorder="1" applyAlignment="1" applyProtection="1">
      <alignment/>
      <protection/>
    </xf>
    <xf numFmtId="0" fontId="26" fillId="28" borderId="12" xfId="0" applyFont="1" applyFill="1" applyBorder="1" applyAlignment="1" applyProtection="1">
      <alignment horizontal="left"/>
      <protection/>
    </xf>
    <xf numFmtId="0" fontId="28" fillId="28" borderId="14" xfId="0" applyFont="1" applyFill="1" applyBorder="1" applyAlignment="1">
      <alignment horizontal="left" wrapText="1"/>
    </xf>
    <xf numFmtId="0" fontId="28" fillId="28" borderId="28" xfId="0" applyFont="1" applyFill="1" applyBorder="1" applyAlignment="1">
      <alignment horizontal="left" wrapText="1"/>
    </xf>
    <xf numFmtId="5" fontId="0" fillId="27" borderId="15" xfId="42" applyNumberFormat="1" applyFont="1" applyFill="1" applyBorder="1" applyAlignment="1" applyProtection="1">
      <alignment/>
      <protection locked="0"/>
    </xf>
    <xf numFmtId="10" fontId="27" fillId="28" borderId="10" xfId="0" applyNumberFormat="1" applyFont="1" applyFill="1" applyBorder="1" applyAlignment="1">
      <alignment horizontal="center"/>
    </xf>
    <xf numFmtId="39" fontId="0" fillId="28" borderId="15" xfId="0" applyNumberFormat="1" applyFill="1" applyBorder="1" applyAlignment="1">
      <alignment horizontal="center"/>
    </xf>
    <xf numFmtId="39" fontId="0" fillId="28" borderId="10" xfId="0" applyNumberFormat="1" applyFill="1" applyBorder="1" applyAlignment="1">
      <alignment horizontal="center"/>
    </xf>
    <xf numFmtId="39" fontId="27" fillId="28" borderId="12" xfId="0" applyNumberFormat="1" applyFont="1" applyFill="1" applyBorder="1" applyAlignment="1">
      <alignment horizontal="center"/>
    </xf>
    <xf numFmtId="0" fontId="0" fillId="28" borderId="13" xfId="0" applyFont="1" applyFill="1" applyBorder="1" applyAlignment="1" applyProtection="1">
      <alignment vertical="top"/>
      <protection/>
    </xf>
    <xf numFmtId="43" fontId="0" fillId="28" borderId="12" xfId="0" applyNumberFormat="1" applyFill="1" applyBorder="1" applyAlignment="1" applyProtection="1">
      <alignment/>
      <protection/>
    </xf>
    <xf numFmtId="0" fontId="27" fillId="28" borderId="12" xfId="0" applyFont="1" applyFill="1" applyBorder="1" applyAlignment="1" applyProtection="1" quotePrefix="1">
      <alignment/>
      <protection/>
    </xf>
    <xf numFmtId="0" fontId="22" fillId="0" borderId="0" xfId="0" applyFont="1" applyBorder="1" applyAlignment="1">
      <alignment vertical="top" wrapText="1"/>
    </xf>
    <xf numFmtId="0" fontId="27" fillId="0" borderId="13" xfId="0" applyFont="1" applyBorder="1" applyAlignment="1">
      <alignment horizontal="center"/>
    </xf>
    <xf numFmtId="0" fontId="27" fillId="25" borderId="10" xfId="0" applyFont="1" applyFill="1" applyBorder="1" applyAlignment="1">
      <alignment horizontal="center"/>
    </xf>
    <xf numFmtId="0" fontId="22" fillId="0" borderId="13" xfId="0" applyFont="1" applyBorder="1" applyAlignment="1">
      <alignment vertical="top" wrapText="1"/>
    </xf>
    <xf numFmtId="0" fontId="21" fillId="25" borderId="10" xfId="0" applyFont="1" applyFill="1" applyBorder="1" applyAlignment="1">
      <alignment horizontal="center" wrapText="1"/>
    </xf>
    <xf numFmtId="0" fontId="22" fillId="26" borderId="10" xfId="0" applyFont="1" applyFill="1" applyBorder="1" applyAlignment="1">
      <alignment horizontal="left" vertical="top" wrapText="1"/>
    </xf>
    <xf numFmtId="0" fontId="27" fillId="0" borderId="34" xfId="0" applyFont="1" applyBorder="1" applyAlignment="1">
      <alignment horizontal="center"/>
    </xf>
    <xf numFmtId="0" fontId="22" fillId="0" borderId="14" xfId="0" applyFont="1" applyBorder="1" applyAlignment="1">
      <alignment horizontal="left" vertical="top" wrapText="1"/>
    </xf>
    <xf numFmtId="0" fontId="22" fillId="0" borderId="10" xfId="0" applyFont="1" applyBorder="1" applyAlignment="1">
      <alignment horizontal="left" vertical="top" wrapText="1"/>
    </xf>
    <xf numFmtId="0" fontId="27" fillId="27" borderId="24" xfId="0" applyFont="1" applyFill="1" applyBorder="1" applyAlignment="1">
      <alignment horizontal="center"/>
    </xf>
    <xf numFmtId="0" fontId="53" fillId="0" borderId="0" xfId="57" applyFill="1" applyBorder="1" applyAlignment="1">
      <alignment vertical="top" wrapText="1"/>
      <protection/>
    </xf>
    <xf numFmtId="9" fontId="27" fillId="26" borderId="10" xfId="0" applyNumberFormat="1" applyFont="1" applyFill="1" applyBorder="1" applyAlignment="1" applyProtection="1">
      <alignment horizontal="center"/>
      <protection locked="0"/>
    </xf>
    <xf numFmtId="0" fontId="22" fillId="0" borderId="42" xfId="0" applyFont="1" applyBorder="1" applyAlignment="1">
      <alignment horizontal="left" vertical="top" wrapText="1"/>
    </xf>
    <xf numFmtId="0" fontId="27" fillId="0" borderId="15" xfId="0" applyFont="1" applyBorder="1" applyAlignment="1">
      <alignment horizontal="center"/>
    </xf>
    <xf numFmtId="0" fontId="0" fillId="26" borderId="15" xfId="0" applyFont="1" applyFill="1" applyBorder="1" applyAlignment="1" applyProtection="1">
      <alignment horizontal="center"/>
      <protection locked="0"/>
    </xf>
    <xf numFmtId="0" fontId="0" fillId="26" borderId="17" xfId="0" applyFont="1" applyFill="1" applyBorder="1" applyAlignment="1" applyProtection="1">
      <alignment horizontal="center"/>
      <protection locked="0"/>
    </xf>
    <xf numFmtId="0" fontId="0" fillId="27" borderId="43" xfId="0" applyFill="1" applyBorder="1" applyAlignment="1" applyProtection="1">
      <alignment/>
      <protection/>
    </xf>
    <xf numFmtId="49" fontId="51" fillId="33" borderId="12" xfId="0" applyNumberFormat="1" applyFont="1" applyFill="1" applyBorder="1" applyAlignment="1">
      <alignment horizontal="left" vertical="top" wrapText="1"/>
    </xf>
    <xf numFmtId="0" fontId="26" fillId="29" borderId="12" xfId="0" applyFont="1" applyFill="1" applyBorder="1" applyAlignment="1" applyProtection="1">
      <alignment horizontal="left" vertical="top" wrapText="1" readingOrder="1"/>
      <protection/>
    </xf>
    <xf numFmtId="0" fontId="26" fillId="29" borderId="12" xfId="0" applyFont="1" applyFill="1" applyBorder="1" applyAlignment="1" applyProtection="1">
      <alignment wrapText="1"/>
      <protection/>
    </xf>
    <xf numFmtId="0" fontId="26" fillId="29" borderId="14" xfId="0" applyFont="1" applyFill="1" applyBorder="1" applyAlignment="1" applyProtection="1">
      <alignment wrapText="1"/>
      <protection/>
    </xf>
    <xf numFmtId="0" fontId="22" fillId="0" borderId="12" xfId="0" applyFont="1" applyFill="1" applyBorder="1" applyAlignment="1">
      <alignment vertical="top" wrapText="1"/>
    </xf>
    <xf numFmtId="0" fontId="22" fillId="0" borderId="37" xfId="0" applyNumberFormat="1" applyFont="1" applyBorder="1" applyAlignment="1">
      <alignment vertical="top" wrapText="1"/>
    </xf>
    <xf numFmtId="0" fontId="22" fillId="26" borderId="37" xfId="0" applyNumberFormat="1" applyFont="1" applyFill="1" applyBorder="1" applyAlignment="1">
      <alignment horizontal="left" vertical="top" wrapText="1"/>
    </xf>
    <xf numFmtId="0" fontId="22" fillId="0" borderId="12" xfId="0" applyNumberFormat="1" applyFont="1" applyBorder="1" applyAlignment="1">
      <alignment wrapText="1"/>
    </xf>
    <xf numFmtId="0" fontId="22" fillId="0" borderId="26" xfId="0" applyFont="1" applyBorder="1" applyAlignment="1">
      <alignment/>
    </xf>
    <xf numFmtId="0" fontId="22" fillId="0" borderId="26" xfId="0" applyFont="1" applyBorder="1" applyAlignment="1">
      <alignment vertical="top" wrapText="1"/>
    </xf>
    <xf numFmtId="0" fontId="41" fillId="0" borderId="26" xfId="0" applyFont="1" applyBorder="1" applyAlignment="1">
      <alignment vertical="top" wrapText="1"/>
    </xf>
    <xf numFmtId="165" fontId="35" fillId="0" borderId="10" xfId="0" applyNumberFormat="1" applyFont="1" applyBorder="1" applyAlignment="1" applyProtection="1">
      <alignment horizontal="left" wrapText="1" indent="1"/>
      <protection/>
    </xf>
    <xf numFmtId="0" fontId="26" fillId="26" borderId="12" xfId="0" applyFont="1" applyFill="1" applyBorder="1" applyAlignment="1">
      <alignment wrapText="1"/>
    </xf>
    <xf numFmtId="165" fontId="24" fillId="0" borderId="0" xfId="0" applyNumberFormat="1" applyFont="1" applyFill="1" applyBorder="1" applyAlignment="1" applyProtection="1">
      <alignment horizontal="left" indent="2"/>
      <protection locked="0"/>
    </xf>
    <xf numFmtId="0" fontId="32" fillId="29" borderId="12" xfId="0" applyNumberFormat="1" applyFont="1" applyFill="1" applyBorder="1" applyAlignment="1" applyProtection="1">
      <alignment horizontal="center" wrapText="1"/>
      <protection/>
    </xf>
    <xf numFmtId="0" fontId="27" fillId="0" borderId="33" xfId="0" applyFont="1" applyFill="1" applyBorder="1" applyAlignment="1">
      <alignment horizontal="center"/>
    </xf>
    <xf numFmtId="0" fontId="22" fillId="0" borderId="33" xfId="0" applyNumberFormat="1" applyFont="1" applyFill="1" applyBorder="1" applyAlignment="1">
      <alignment vertical="top" wrapText="1"/>
    </xf>
    <xf numFmtId="0" fontId="28" fillId="25" borderId="12" xfId="0" applyFont="1" applyFill="1" applyBorder="1" applyAlignment="1">
      <alignment horizontal="center" wrapText="1"/>
    </xf>
    <xf numFmtId="0" fontId="0" fillId="0" borderId="0" xfId="0" applyFill="1" applyAlignment="1">
      <alignment/>
    </xf>
    <xf numFmtId="0" fontId="27" fillId="0" borderId="14" xfId="0" applyFont="1" applyFill="1" applyBorder="1" applyAlignment="1">
      <alignment horizontal="center"/>
    </xf>
    <xf numFmtId="0" fontId="22" fillId="0" borderId="32" xfId="0" applyFont="1" applyFill="1" applyBorder="1" applyAlignment="1">
      <alignment vertical="top" wrapText="1"/>
    </xf>
    <xf numFmtId="0" fontId="27" fillId="0" borderId="21" xfId="0" applyFont="1" applyFill="1" applyBorder="1" applyAlignment="1">
      <alignment horizontal="center"/>
    </xf>
    <xf numFmtId="0" fontId="26" fillId="0" borderId="12" xfId="0" applyNumberFormat="1" applyFont="1" applyFill="1" applyBorder="1" applyAlignment="1" quotePrefix="1">
      <alignment horizontal="left" vertical="top" wrapText="1"/>
    </xf>
    <xf numFmtId="0" fontId="27" fillId="0" borderId="12" xfId="0" applyFont="1" applyFill="1" applyBorder="1" applyAlignment="1">
      <alignment horizontal="center"/>
    </xf>
    <xf numFmtId="0" fontId="26" fillId="0" borderId="12" xfId="0" applyNumberFormat="1" applyFont="1" applyFill="1" applyBorder="1" applyAlignment="1" quotePrefix="1">
      <alignment horizontal="left" wrapText="1"/>
    </xf>
    <xf numFmtId="0" fontId="41" fillId="0" borderId="12" xfId="0" applyNumberFormat="1" applyFont="1" applyFill="1" applyBorder="1" applyAlignment="1" quotePrefix="1">
      <alignment horizontal="left" wrapText="1"/>
    </xf>
    <xf numFmtId="0" fontId="22" fillId="0" borderId="12" xfId="0" applyFont="1" applyFill="1" applyBorder="1" applyAlignment="1">
      <alignment horizontal="left" vertical="top" wrapText="1"/>
    </xf>
    <xf numFmtId="0" fontId="22" fillId="0" borderId="14" xfId="0" applyFont="1" applyFill="1" applyBorder="1" applyAlignment="1">
      <alignment vertical="top" wrapText="1"/>
    </xf>
    <xf numFmtId="0" fontId="22" fillId="0" borderId="12" xfId="0" applyFont="1" applyFill="1" applyBorder="1" applyAlignment="1">
      <alignment horizontal="left" wrapText="1"/>
    </xf>
    <xf numFmtId="0" fontId="41" fillId="0" borderId="33" xfId="0" applyFont="1" applyFill="1" applyBorder="1" applyAlignment="1">
      <alignment vertical="top" wrapText="1"/>
    </xf>
    <xf numFmtId="0" fontId="22" fillId="0" borderId="33" xfId="0" applyFont="1" applyFill="1" applyBorder="1" applyAlignment="1">
      <alignment vertical="top" wrapText="1"/>
    </xf>
    <xf numFmtId="0" fontId="22" fillId="0" borderId="12" xfId="0" applyFont="1" applyFill="1" applyBorder="1" applyAlignment="1">
      <alignment wrapText="1"/>
    </xf>
    <xf numFmtId="0" fontId="0" fillId="0" borderId="10" xfId="0" applyFont="1" applyFill="1" applyBorder="1" applyAlignment="1" applyProtection="1">
      <alignment horizontal="left"/>
      <protection locked="0"/>
    </xf>
    <xf numFmtId="0" fontId="40" fillId="0" borderId="0" xfId="57" applyNumberFormat="1" applyFont="1" applyFill="1" applyBorder="1" applyAlignment="1">
      <alignment vertical="top" wrapText="1"/>
      <protection/>
    </xf>
    <xf numFmtId="0" fontId="53" fillId="0" borderId="0" xfId="57" applyFill="1" applyBorder="1" applyAlignment="1">
      <alignment vertical="top" wrapText="1"/>
      <protection/>
    </xf>
    <xf numFmtId="0" fontId="27" fillId="0" borderId="14" xfId="0" applyFont="1" applyBorder="1" applyAlignment="1">
      <alignment horizontal="center"/>
    </xf>
    <xf numFmtId="0" fontId="27" fillId="0" borderId="33" xfId="0" applyFont="1" applyBorder="1" applyAlignment="1">
      <alignment horizontal="center"/>
    </xf>
    <xf numFmtId="0" fontId="21" fillId="29" borderId="21" xfId="0" applyFont="1" applyFill="1" applyBorder="1" applyAlignment="1" applyProtection="1">
      <alignment horizontal="center"/>
      <protection/>
    </xf>
    <xf numFmtId="0" fontId="21" fillId="29" borderId="29" xfId="0" applyFont="1" applyFill="1" applyBorder="1" applyAlignment="1" applyProtection="1">
      <alignment horizontal="center"/>
      <protection/>
    </xf>
    <xf numFmtId="0" fontId="21" fillId="29" borderId="37" xfId="0" applyFont="1" applyFill="1" applyBorder="1" applyAlignment="1" applyProtection="1">
      <alignment horizontal="center"/>
      <protection/>
    </xf>
    <xf numFmtId="0" fontId="21" fillId="28" borderId="18" xfId="0" applyFont="1" applyFill="1" applyBorder="1" applyAlignment="1" applyProtection="1">
      <alignment horizontal="center"/>
      <protection/>
    </xf>
    <xf numFmtId="0" fontId="25" fillId="28" borderId="42" xfId="0" applyFont="1" applyFill="1" applyBorder="1" applyAlignment="1" applyProtection="1">
      <alignment/>
      <protection/>
    </xf>
    <xf numFmtId="0" fontId="28" fillId="28" borderId="21" xfId="0" applyFont="1" applyFill="1" applyBorder="1" applyAlignment="1">
      <alignment horizontal="left" wrapText="1"/>
    </xf>
    <xf numFmtId="0" fontId="28" fillId="28" borderId="37" xfId="0" applyFont="1" applyFill="1" applyBorder="1" applyAlignment="1">
      <alignment horizontal="left" wrapText="1"/>
    </xf>
    <xf numFmtId="0" fontId="21" fillId="28" borderId="21" xfId="0" applyFont="1" applyFill="1" applyBorder="1" applyAlignment="1" applyProtection="1">
      <alignment horizontal="center"/>
      <protection/>
    </xf>
    <xf numFmtId="0" fontId="21" fillId="28" borderId="29" xfId="0" applyFont="1" applyFill="1" applyBorder="1" applyAlignment="1" applyProtection="1">
      <alignment horizontal="center"/>
      <protection/>
    </xf>
    <xf numFmtId="0" fontId="21" fillId="28" borderId="37" xfId="0" applyFont="1" applyFill="1" applyBorder="1" applyAlignment="1" applyProtection="1">
      <alignment horizontal="center"/>
      <protection/>
    </xf>
    <xf numFmtId="0" fontId="27" fillId="29" borderId="34" xfId="0" applyFont="1" applyFill="1" applyBorder="1" applyAlignment="1">
      <alignment horizontal="center" wrapText="1"/>
    </xf>
    <xf numFmtId="0" fontId="27" fillId="29" borderId="31" xfId="0" applyFont="1" applyFill="1" applyBorder="1" applyAlignment="1">
      <alignment horizontal="center" wrapText="1"/>
    </xf>
    <xf numFmtId="0" fontId="27" fillId="29" borderId="32" xfId="0" applyFont="1" applyFill="1" applyBorder="1" applyAlignment="1">
      <alignment horizontal="center" wrapText="1"/>
    </xf>
    <xf numFmtId="0" fontId="27" fillId="29" borderId="27" xfId="0" applyFont="1" applyFill="1" applyBorder="1" applyAlignment="1">
      <alignment horizontal="center" wrapText="1"/>
    </xf>
    <xf numFmtId="0" fontId="27" fillId="29" borderId="25" xfId="0" applyFont="1" applyFill="1" applyBorder="1" applyAlignment="1">
      <alignment horizontal="center" wrapText="1"/>
    </xf>
    <xf numFmtId="0" fontId="27" fillId="29" borderId="30" xfId="0" applyFont="1" applyFill="1" applyBorder="1" applyAlignment="1">
      <alignment horizontal="center" wrapText="1"/>
    </xf>
    <xf numFmtId="0" fontId="21" fillId="29" borderId="21" xfId="0" applyFont="1" applyFill="1" applyBorder="1" applyAlignment="1">
      <alignment horizontal="center" vertical="top" wrapText="1"/>
    </xf>
    <xf numFmtId="0" fontId="21" fillId="29" borderId="29" xfId="0" applyFont="1" applyFill="1" applyBorder="1" applyAlignment="1">
      <alignment horizontal="center" vertical="top" wrapText="1"/>
    </xf>
    <xf numFmtId="0" fontId="21" fillId="29" borderId="37" xfId="0" applyFont="1" applyFill="1" applyBorder="1" applyAlignment="1">
      <alignment horizontal="center" vertical="top" wrapText="1"/>
    </xf>
    <xf numFmtId="0" fontId="0" fillId="28" borderId="21" xfId="0" applyFont="1" applyFill="1" applyBorder="1" applyAlignment="1">
      <alignment horizontal="left"/>
    </xf>
    <xf numFmtId="0" fontId="0" fillId="28" borderId="37" xfId="0" applyFont="1" applyFill="1" applyBorder="1" applyAlignment="1">
      <alignment horizontal="left"/>
    </xf>
    <xf numFmtId="0" fontId="21" fillId="33" borderId="34" xfId="0" applyFont="1" applyFill="1" applyBorder="1" applyAlignment="1">
      <alignment horizontal="center" wrapText="1"/>
    </xf>
    <xf numFmtId="0" fontId="21" fillId="33" borderId="32" xfId="0" applyFont="1" applyFill="1" applyBorder="1" applyAlignment="1">
      <alignment horizontal="center" wrapText="1"/>
    </xf>
    <xf numFmtId="0" fontId="43" fillId="29" borderId="21" xfId="0" applyFont="1" applyFill="1" applyBorder="1" applyAlignment="1">
      <alignment horizontal="left" wrapText="1"/>
    </xf>
    <xf numFmtId="0" fontId="43" fillId="29" borderId="29" xfId="0" applyFont="1" applyFill="1" applyBorder="1" applyAlignment="1">
      <alignment horizontal="left" wrapText="1"/>
    </xf>
    <xf numFmtId="0" fontId="43" fillId="29" borderId="37" xfId="0" applyFont="1" applyFill="1" applyBorder="1" applyAlignment="1">
      <alignment horizontal="left" wrapText="1"/>
    </xf>
    <xf numFmtId="0" fontId="27" fillId="28" borderId="14" xfId="0" applyFont="1" applyFill="1" applyBorder="1" applyAlignment="1">
      <alignment horizontal="center" wrapText="1"/>
    </xf>
    <xf numFmtId="0" fontId="27" fillId="28" borderId="28" xfId="0" applyFont="1" applyFill="1" applyBorder="1" applyAlignment="1">
      <alignment horizontal="center" wrapText="1"/>
    </xf>
    <xf numFmtId="0" fontId="21" fillId="29" borderId="21" xfId="0" applyFont="1" applyFill="1" applyBorder="1" applyAlignment="1">
      <alignment horizontal="center" wrapText="1"/>
    </xf>
    <xf numFmtId="0" fontId="21" fillId="29" borderId="29" xfId="0" applyFont="1" applyFill="1" applyBorder="1" applyAlignment="1">
      <alignment horizontal="center" wrapText="1"/>
    </xf>
    <xf numFmtId="0" fontId="27" fillId="28" borderId="21" xfId="0" applyFont="1" applyFill="1" applyBorder="1" applyAlignment="1">
      <alignment horizontal="center"/>
    </xf>
    <xf numFmtId="0" fontId="27" fillId="28" borderId="37" xfId="0" applyFont="1" applyFill="1" applyBorder="1" applyAlignment="1">
      <alignment horizontal="center"/>
    </xf>
    <xf numFmtId="0" fontId="26" fillId="29" borderId="21" xfId="0" applyFont="1" applyFill="1" applyBorder="1" applyAlignment="1">
      <alignment horizontal="left" wrapText="1"/>
    </xf>
    <xf numFmtId="0" fontId="26" fillId="29" borderId="29" xfId="0" applyFont="1" applyFill="1" applyBorder="1" applyAlignment="1">
      <alignment horizontal="left" wrapText="1"/>
    </xf>
    <xf numFmtId="0" fontId="43" fillId="29" borderId="34" xfId="0" applyFont="1" applyFill="1" applyBorder="1" applyAlignment="1">
      <alignment horizontal="left" wrapText="1"/>
    </xf>
    <xf numFmtId="0" fontId="43" fillId="29" borderId="31" xfId="0" applyFont="1" applyFill="1" applyBorder="1" applyAlignment="1">
      <alignment horizontal="left" wrapText="1"/>
    </xf>
    <xf numFmtId="0" fontId="43" fillId="29" borderId="32" xfId="0" applyFont="1" applyFill="1" applyBorder="1" applyAlignment="1">
      <alignment horizontal="left" wrapText="1"/>
    </xf>
    <xf numFmtId="0" fontId="43" fillId="29" borderId="27" xfId="0" applyFont="1" applyFill="1" applyBorder="1" applyAlignment="1">
      <alignment horizontal="left" wrapText="1"/>
    </xf>
    <xf numFmtId="0" fontId="43" fillId="29" borderId="25" xfId="0" applyFont="1" applyFill="1" applyBorder="1" applyAlignment="1">
      <alignment horizontal="left" wrapText="1"/>
    </xf>
    <xf numFmtId="0" fontId="43" fillId="29" borderId="30" xfId="0" applyFont="1" applyFill="1" applyBorder="1" applyAlignment="1">
      <alignment horizontal="left" wrapText="1"/>
    </xf>
    <xf numFmtId="0" fontId="21" fillId="29" borderId="34" xfId="0" applyFont="1" applyFill="1" applyBorder="1" applyAlignment="1">
      <alignment horizontal="center"/>
    </xf>
    <xf numFmtId="0" fontId="21" fillId="29" borderId="31" xfId="0" applyFont="1" applyFill="1" applyBorder="1" applyAlignment="1">
      <alignment horizontal="center"/>
    </xf>
    <xf numFmtId="0" fontId="21" fillId="29" borderId="32" xfId="0" applyFont="1" applyFill="1" applyBorder="1" applyAlignment="1">
      <alignment horizontal="center"/>
    </xf>
    <xf numFmtId="0" fontId="21" fillId="29" borderId="27" xfId="0" applyFont="1" applyFill="1" applyBorder="1" applyAlignment="1">
      <alignment horizontal="center"/>
    </xf>
    <xf numFmtId="0" fontId="21" fillId="29" borderId="25" xfId="0" applyFont="1" applyFill="1" applyBorder="1" applyAlignment="1">
      <alignment horizontal="center"/>
    </xf>
    <xf numFmtId="0" fontId="21" fillId="29" borderId="30" xfId="0" applyFont="1" applyFill="1" applyBorder="1" applyAlignment="1">
      <alignment horizontal="center"/>
    </xf>
    <xf numFmtId="0" fontId="27" fillId="29" borderId="21" xfId="0" applyFont="1" applyFill="1" applyBorder="1" applyAlignment="1">
      <alignment horizontal="center"/>
    </xf>
    <xf numFmtId="0" fontId="27" fillId="29" borderId="29" xfId="0" applyFont="1" applyFill="1" applyBorder="1" applyAlignment="1">
      <alignment horizontal="center"/>
    </xf>
    <xf numFmtId="0" fontId="27" fillId="29" borderId="37" xfId="0" applyFont="1" applyFill="1" applyBorder="1" applyAlignment="1">
      <alignment horizontal="center"/>
    </xf>
    <xf numFmtId="0" fontId="27" fillId="28" borderId="14" xfId="0" applyFont="1" applyFill="1" applyBorder="1" applyAlignment="1">
      <alignment horizontal="center"/>
    </xf>
    <xf numFmtId="0" fontId="27" fillId="28" borderId="28" xfId="0" applyFont="1" applyFill="1" applyBorder="1" applyAlignment="1">
      <alignment horizontal="center"/>
    </xf>
    <xf numFmtId="0" fontId="28" fillId="29" borderId="34" xfId="0" applyNumberFormat="1" applyFont="1" applyFill="1" applyBorder="1" applyAlignment="1" applyProtection="1">
      <alignment horizontal="center"/>
      <protection/>
    </xf>
    <xf numFmtId="0" fontId="28" fillId="29" borderId="31" xfId="0" applyNumberFormat="1" applyFont="1" applyFill="1" applyBorder="1" applyAlignment="1" applyProtection="1">
      <alignment horizontal="center"/>
      <protection/>
    </xf>
    <xf numFmtId="0" fontId="28" fillId="29" borderId="27" xfId="0" applyNumberFormat="1" applyFont="1" applyFill="1" applyBorder="1" applyAlignment="1" applyProtection="1">
      <alignment horizontal="center"/>
      <protection/>
    </xf>
    <xf numFmtId="0" fontId="28" fillId="29" borderId="25" xfId="0" applyNumberFormat="1" applyFont="1" applyFill="1" applyBorder="1" applyAlignment="1" applyProtection="1">
      <alignment horizontal="center"/>
      <protection/>
    </xf>
    <xf numFmtId="0" fontId="28" fillId="29" borderId="21" xfId="0" applyFont="1" applyFill="1" applyBorder="1" applyAlignment="1" applyProtection="1" quotePrefix="1">
      <alignment horizontal="center"/>
      <protection locked="0"/>
    </xf>
    <xf numFmtId="0" fontId="28" fillId="29" borderId="37" xfId="0" applyFont="1" applyFill="1" applyBorder="1" applyAlignment="1" applyProtection="1" quotePrefix="1">
      <alignment horizontal="center"/>
      <protection locked="0"/>
    </xf>
    <xf numFmtId="0" fontId="27" fillId="28" borderId="29" xfId="0" applyFont="1" applyFill="1" applyBorder="1" applyAlignment="1">
      <alignment horizontal="center"/>
    </xf>
    <xf numFmtId="1" fontId="28" fillId="29" borderId="31" xfId="0" applyNumberFormat="1" applyFont="1" applyFill="1" applyBorder="1" applyAlignment="1" applyProtection="1">
      <alignment horizontal="center"/>
      <protection/>
    </xf>
    <xf numFmtId="1" fontId="28" fillId="29" borderId="25" xfId="0" applyNumberFormat="1" applyFont="1" applyFill="1" applyBorder="1" applyAlignment="1" applyProtection="1">
      <alignment horizontal="center"/>
      <protection/>
    </xf>
    <xf numFmtId="0" fontId="27" fillId="28" borderId="32" xfId="0" applyFont="1" applyFill="1" applyBorder="1" applyAlignment="1">
      <alignment horizontal="center"/>
    </xf>
    <xf numFmtId="0" fontId="27" fillId="28" borderId="30" xfId="0" applyFont="1" applyFill="1" applyBorder="1" applyAlignment="1">
      <alignment horizontal="center"/>
    </xf>
    <xf numFmtId="0" fontId="0" fillId="28" borderId="29" xfId="0" applyFont="1" applyFill="1" applyBorder="1" applyAlignment="1">
      <alignment horizontal="left"/>
    </xf>
    <xf numFmtId="0" fontId="21" fillId="33" borderId="21" xfId="0" applyFont="1" applyFill="1" applyBorder="1" applyAlignment="1">
      <alignment horizontal="center" wrapText="1"/>
    </xf>
    <xf numFmtId="0" fontId="21" fillId="33" borderId="37" xfId="0" applyFont="1" applyFill="1" applyBorder="1" applyAlignment="1">
      <alignment horizontal="center" wrapText="1"/>
    </xf>
    <xf numFmtId="0" fontId="0" fillId="28" borderId="29" xfId="0" applyFont="1" applyFill="1" applyBorder="1" applyAlignment="1">
      <alignment horizontal="left" wrapText="1"/>
    </xf>
    <xf numFmtId="0" fontId="0" fillId="28" borderId="37" xfId="0" applyFont="1" applyFill="1" applyBorder="1" applyAlignment="1">
      <alignment horizontal="left" wrapText="1"/>
    </xf>
    <xf numFmtId="0" fontId="21" fillId="29" borderId="37" xfId="0" applyFont="1" applyFill="1" applyBorder="1" applyAlignment="1">
      <alignment horizontal="center" wrapText="1"/>
    </xf>
    <xf numFmtId="0" fontId="28" fillId="29" borderId="29" xfId="0" applyFont="1" applyFill="1" applyBorder="1" applyAlignment="1" applyProtection="1" quotePrefix="1">
      <alignment horizontal="center"/>
      <protection locked="0"/>
    </xf>
    <xf numFmtId="0" fontId="26" fillId="29" borderId="37" xfId="0" applyFont="1" applyFill="1" applyBorder="1" applyAlignment="1">
      <alignment horizontal="left" wrapText="1"/>
    </xf>
    <xf numFmtId="0" fontId="26" fillId="29" borderId="29" xfId="0" applyFont="1" applyFill="1" applyBorder="1" applyAlignment="1">
      <alignment horizontal="center"/>
    </xf>
    <xf numFmtId="0" fontId="26" fillId="29" borderId="29" xfId="0" applyFont="1" applyFill="1" applyBorder="1" applyAlignment="1" quotePrefix="1">
      <alignment horizontal="center"/>
    </xf>
    <xf numFmtId="0" fontId="26" fillId="29" borderId="37" xfId="0" applyFont="1" applyFill="1" applyBorder="1" applyAlignment="1" quotePrefix="1">
      <alignment horizontal="center"/>
    </xf>
    <xf numFmtId="0" fontId="28" fillId="29" borderId="21" xfId="0" applyFont="1" applyFill="1" applyBorder="1" applyAlignment="1" quotePrefix="1">
      <alignment horizontal="center"/>
    </xf>
    <xf numFmtId="0" fontId="28" fillId="29" borderId="29" xfId="0" applyFont="1" applyFill="1" applyBorder="1" applyAlignment="1" quotePrefix="1">
      <alignment horizontal="center"/>
    </xf>
    <xf numFmtId="0" fontId="28" fillId="29" borderId="37" xfId="0" applyFont="1" applyFill="1" applyBorder="1" applyAlignment="1" quotePrefix="1">
      <alignment horizontal="center"/>
    </xf>
    <xf numFmtId="0" fontId="26" fillId="29" borderId="21" xfId="0" applyFont="1" applyFill="1" applyBorder="1" applyAlignment="1">
      <alignment horizontal="center"/>
    </xf>
    <xf numFmtId="0" fontId="27" fillId="29" borderId="21" xfId="0" applyFont="1" applyFill="1" applyBorder="1" applyAlignment="1" applyProtection="1">
      <alignment horizontal="center"/>
      <protection/>
    </xf>
    <xf numFmtId="0" fontId="27" fillId="29" borderId="29" xfId="0" applyFont="1" applyFill="1" applyBorder="1" applyAlignment="1" applyProtection="1">
      <alignment horizontal="center"/>
      <protection/>
    </xf>
    <xf numFmtId="0" fontId="27" fillId="29" borderId="37" xfId="0" applyFont="1" applyFill="1" applyBorder="1" applyAlignment="1" applyProtection="1">
      <alignment horizontal="center"/>
      <protection/>
    </xf>
    <xf numFmtId="0" fontId="26" fillId="29" borderId="14" xfId="0" applyFont="1" applyFill="1" applyBorder="1" applyAlignment="1" applyProtection="1">
      <alignment horizontal="center" wrapText="1"/>
      <protection/>
    </xf>
    <xf numFmtId="0" fontId="26" fillId="29" borderId="28" xfId="0" applyFont="1" applyFill="1" applyBorder="1" applyAlignment="1" applyProtection="1">
      <alignment horizontal="center" wrapText="1"/>
      <protection/>
    </xf>
    <xf numFmtId="0" fontId="27" fillId="25" borderId="61" xfId="0" applyFont="1" applyFill="1" applyBorder="1" applyAlignment="1" applyProtection="1">
      <alignment horizontal="center" wrapText="1"/>
      <protection locked="0"/>
    </xf>
    <xf numFmtId="0" fontId="27" fillId="25" borderId="62" xfId="0" applyFont="1" applyFill="1" applyBorder="1" applyAlignment="1" applyProtection="1">
      <alignment horizontal="center" wrapText="1"/>
      <protection locked="0"/>
    </xf>
    <xf numFmtId="165" fontId="33" fillId="29" borderId="32" xfId="0" applyNumberFormat="1" applyFont="1" applyFill="1" applyBorder="1" applyAlignment="1" applyProtection="1">
      <alignment horizontal="center" wrapText="1"/>
      <protection/>
    </xf>
    <xf numFmtId="165" fontId="33" fillId="29" borderId="26" xfId="0" applyNumberFormat="1" applyFont="1" applyFill="1" applyBorder="1" applyAlignment="1" applyProtection="1">
      <alignment horizontal="center" wrapText="1"/>
      <protection/>
    </xf>
    <xf numFmtId="165" fontId="33" fillId="29" borderId="30" xfId="0" applyNumberFormat="1" applyFont="1" applyFill="1" applyBorder="1" applyAlignment="1" applyProtection="1">
      <alignment horizontal="center" wrapText="1"/>
      <protection/>
    </xf>
    <xf numFmtId="165" fontId="33" fillId="29" borderId="14" xfId="0" applyNumberFormat="1" applyFont="1" applyFill="1" applyBorder="1" applyAlignment="1" applyProtection="1">
      <alignment horizontal="center" wrapText="1"/>
      <protection/>
    </xf>
    <xf numFmtId="165" fontId="33" fillId="29" borderId="33" xfId="0" applyNumberFormat="1" applyFont="1" applyFill="1" applyBorder="1" applyAlignment="1" applyProtection="1">
      <alignment horizontal="center" wrapText="1"/>
      <protection/>
    </xf>
    <xf numFmtId="165" fontId="33" fillId="29" borderId="28" xfId="0" applyNumberFormat="1" applyFont="1" applyFill="1" applyBorder="1" applyAlignment="1" applyProtection="1">
      <alignment horizontal="center" wrapText="1"/>
      <protection/>
    </xf>
    <xf numFmtId="0" fontId="37" fillId="29" borderId="21" xfId="0" applyFont="1" applyFill="1" applyBorder="1" applyAlignment="1">
      <alignment horizontal="center"/>
    </xf>
    <xf numFmtId="0" fontId="37" fillId="29" borderId="29" xfId="0" applyFont="1" applyFill="1" applyBorder="1" applyAlignment="1">
      <alignment horizontal="center"/>
    </xf>
    <xf numFmtId="0" fontId="37" fillId="29" borderId="37" xfId="0" applyFont="1" applyFill="1" applyBorder="1" applyAlignment="1">
      <alignment horizontal="center"/>
    </xf>
    <xf numFmtId="0" fontId="41" fillId="29" borderId="14" xfId="0" applyFont="1" applyFill="1" applyBorder="1" applyAlignment="1" applyProtection="1">
      <alignment horizontal="center" vertical="top" wrapText="1"/>
      <protection/>
    </xf>
    <xf numFmtId="0" fontId="41" fillId="29" borderId="28" xfId="0" applyFont="1" applyFill="1" applyBorder="1" applyAlignment="1" applyProtection="1">
      <alignment horizontal="center" vertical="top" wrapText="1"/>
      <protection/>
    </xf>
    <xf numFmtId="165" fontId="30" fillId="29" borderId="14" xfId="0" applyNumberFormat="1" applyFont="1" applyFill="1" applyBorder="1" applyAlignment="1" applyProtection="1">
      <alignment horizontal="center"/>
      <protection/>
    </xf>
    <xf numFmtId="165" fontId="30" fillId="29" borderId="33" xfId="0" applyNumberFormat="1" applyFont="1" applyFill="1" applyBorder="1" applyAlignment="1" applyProtection="1">
      <alignment horizontal="center"/>
      <protection/>
    </xf>
    <xf numFmtId="165" fontId="30" fillId="29" borderId="28" xfId="0" applyNumberFormat="1" applyFont="1" applyFill="1" applyBorder="1" applyAlignment="1" applyProtection="1">
      <alignment horizontal="center"/>
      <protection/>
    </xf>
    <xf numFmtId="165" fontId="33" fillId="29" borderId="14" xfId="0" applyNumberFormat="1" applyFont="1" applyFill="1" applyBorder="1" applyAlignment="1">
      <alignment horizontal="center" wrapText="1"/>
    </xf>
    <xf numFmtId="165" fontId="33" fillId="29" borderId="33" xfId="0" applyNumberFormat="1" applyFont="1" applyFill="1" applyBorder="1" applyAlignment="1">
      <alignment horizontal="center" wrapText="1"/>
    </xf>
    <xf numFmtId="165" fontId="33" fillId="29" borderId="28" xfId="0" applyNumberFormat="1" applyFont="1" applyFill="1" applyBorder="1" applyAlignment="1">
      <alignment horizontal="center" wrapText="1"/>
    </xf>
    <xf numFmtId="169" fontId="21" fillId="29" borderId="21" xfId="0" applyNumberFormat="1" applyFont="1" applyFill="1" applyBorder="1" applyAlignment="1" applyProtection="1">
      <alignment horizontal="center"/>
      <protection/>
    </xf>
    <xf numFmtId="169" fontId="21" fillId="29" borderId="29" xfId="0" applyNumberFormat="1" applyFont="1" applyFill="1" applyBorder="1" applyAlignment="1" applyProtection="1">
      <alignment horizontal="center"/>
      <protection/>
    </xf>
    <xf numFmtId="169" fontId="21" fillId="29" borderId="37" xfId="0" applyNumberFormat="1" applyFont="1" applyFill="1" applyBorder="1" applyAlignment="1" applyProtection="1">
      <alignment horizontal="center"/>
      <protection/>
    </xf>
    <xf numFmtId="0" fontId="41" fillId="29" borderId="14" xfId="0" applyFont="1" applyFill="1" applyBorder="1" applyAlignment="1" applyProtection="1">
      <alignment horizontal="center" wrapText="1"/>
      <protection/>
    </xf>
    <xf numFmtId="0" fontId="41" fillId="29" borderId="28" xfId="0" applyFont="1" applyFill="1" applyBorder="1" applyAlignment="1" applyProtection="1">
      <alignment horizontal="center" wrapText="1"/>
      <protection/>
    </xf>
    <xf numFmtId="0" fontId="21" fillId="28" borderId="21" xfId="0" applyFont="1" applyFill="1" applyBorder="1" applyAlignment="1" applyProtection="1">
      <alignment horizontal="left"/>
      <protection/>
    </xf>
    <xf numFmtId="0" fontId="21" fillId="28" borderId="37" xfId="0" applyFont="1" applyFill="1" applyBorder="1" applyAlignment="1" applyProtection="1">
      <alignment horizontal="left"/>
      <protection/>
    </xf>
    <xf numFmtId="0" fontId="0" fillId="28" borderId="21" xfId="0" applyFont="1" applyFill="1" applyBorder="1" applyAlignment="1" applyProtection="1">
      <alignment horizontal="left"/>
      <protection/>
    </xf>
    <xf numFmtId="0" fontId="0" fillId="28" borderId="29" xfId="0" applyFont="1" applyFill="1" applyBorder="1" applyAlignment="1" applyProtection="1">
      <alignment horizontal="left"/>
      <protection/>
    </xf>
    <xf numFmtId="0" fontId="0" fillId="28" borderId="37" xfId="0" applyFont="1" applyFill="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15">
    <dxf>
      <fill>
        <patternFill>
          <bgColor indexed="10"/>
        </patternFill>
      </fill>
    </dxf>
    <dxf>
      <fill>
        <patternFill>
          <bgColor indexed="44"/>
        </patternFill>
      </fill>
    </dxf>
    <dxf>
      <fill>
        <patternFill>
          <bgColor indexed="22"/>
        </patternFill>
      </fill>
    </dxf>
    <dxf>
      <fill>
        <patternFill>
          <bgColor indexed="44"/>
        </patternFill>
      </fill>
    </dxf>
    <dxf>
      <fill>
        <patternFill>
          <bgColor indexed="22"/>
        </patternFill>
      </fill>
    </dxf>
    <dxf>
      <fill>
        <patternFill>
          <bgColor indexed="22"/>
        </patternFill>
      </fill>
    </dxf>
    <dxf>
      <fill>
        <patternFill>
          <bgColor indexed="22"/>
        </patternFill>
      </fill>
    </dxf>
    <dxf>
      <fill>
        <patternFill>
          <bgColor indexed="44"/>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80975" cy="266700"/>
    <xdr:sp fLocksText="0">
      <xdr:nvSpPr>
        <xdr:cNvPr id="1" name="TextBox 1"/>
        <xdr:cNvSpPr txBox="1">
          <a:spLocks noChangeArrowheads="1"/>
        </xdr:cNvSpPr>
      </xdr:nvSpPr>
      <xdr:spPr>
        <a:xfrm>
          <a:off x="2686050" y="304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80975" cy="266700"/>
    <xdr:sp fLocksText="0">
      <xdr:nvSpPr>
        <xdr:cNvPr id="2" name="TextBox 2"/>
        <xdr:cNvSpPr txBox="1">
          <a:spLocks noChangeArrowheads="1"/>
        </xdr:cNvSpPr>
      </xdr:nvSpPr>
      <xdr:spPr>
        <a:xfrm>
          <a:off x="8705850" y="33670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11</xdr:row>
      <xdr:rowOff>85725</xdr:rowOff>
    </xdr:from>
    <xdr:ext cx="180975" cy="266700"/>
    <xdr:sp fLocksText="0">
      <xdr:nvSpPr>
        <xdr:cNvPr id="1" name="TextBox 1"/>
        <xdr:cNvSpPr txBox="1">
          <a:spLocks noChangeArrowheads="1"/>
        </xdr:cNvSpPr>
      </xdr:nvSpPr>
      <xdr:spPr>
        <a:xfrm>
          <a:off x="2686050" y="2305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1000125</xdr:colOff>
      <xdr:row>32</xdr:row>
      <xdr:rowOff>0</xdr:rowOff>
    </xdr:from>
    <xdr:ext cx="180975" cy="266700"/>
    <xdr:sp fLocksText="0">
      <xdr:nvSpPr>
        <xdr:cNvPr id="2" name="TextBox 2"/>
        <xdr:cNvSpPr txBox="1">
          <a:spLocks noChangeArrowheads="1"/>
        </xdr:cNvSpPr>
      </xdr:nvSpPr>
      <xdr:spPr>
        <a:xfrm>
          <a:off x="7315200" y="5867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R278"/>
  <sheetViews>
    <sheetView workbookViewId="0" topLeftCell="A1">
      <selection activeCell="A1" sqref="A1"/>
    </sheetView>
  </sheetViews>
  <sheetFormatPr defaultColWidth="9.140625" defaultRowHeight="12.75"/>
  <cols>
    <col min="1" max="1" width="9.140625" style="5" customWidth="1"/>
    <col min="2" max="2" width="84.57421875" style="0" customWidth="1"/>
  </cols>
  <sheetData>
    <row r="1" spans="1:2" ht="18" customHeight="1" thickBot="1">
      <c r="A1" s="5" t="s">
        <v>67</v>
      </c>
      <c r="B1" s="1009" t="s">
        <v>598</v>
      </c>
    </row>
    <row r="3" ht="15">
      <c r="B3" s="649"/>
    </row>
    <row r="4" ht="13.5" thickBot="1"/>
    <row r="5" spans="1:2" ht="24" customHeight="1" thickBot="1">
      <c r="A5" s="114"/>
      <c r="B5" s="116" t="s">
        <v>375</v>
      </c>
    </row>
    <row r="6" spans="1:2" ht="43.5" thickBot="1">
      <c r="A6" s="695">
        <v>1</v>
      </c>
      <c r="B6" s="721" t="s">
        <v>599</v>
      </c>
    </row>
    <row r="7" spans="1:2" ht="45.75" customHeight="1" thickBot="1">
      <c r="A7" s="1015">
        <v>2</v>
      </c>
      <c r="B7" s="1018" t="s">
        <v>584</v>
      </c>
    </row>
    <row r="8" spans="1:2" ht="31.5" customHeight="1" thickBot="1">
      <c r="A8" s="695">
        <v>3</v>
      </c>
      <c r="B8" s="721" t="s">
        <v>408</v>
      </c>
    </row>
    <row r="9" spans="1:2" ht="30.75" customHeight="1" thickBot="1">
      <c r="A9" s="695">
        <v>4</v>
      </c>
      <c r="B9" s="721" t="s">
        <v>371</v>
      </c>
    </row>
    <row r="10" spans="1:2" ht="48" customHeight="1">
      <c r="A10" s="722"/>
      <c r="B10" s="725" t="s">
        <v>560</v>
      </c>
    </row>
    <row r="11" spans="1:2" ht="6" customHeight="1">
      <c r="A11" s="724"/>
      <c r="B11" s="726"/>
    </row>
    <row r="12" spans="1:2" ht="15.75" customHeight="1">
      <c r="A12" s="724"/>
      <c r="B12" s="727" t="s">
        <v>428</v>
      </c>
    </row>
    <row r="13" spans="1:2" ht="5.25" customHeight="1">
      <c r="A13" s="724"/>
      <c r="B13" s="727"/>
    </row>
    <row r="14" spans="1:2" ht="16.5" customHeight="1" thickBot="1">
      <c r="A14" s="723">
        <v>5</v>
      </c>
      <c r="B14" s="728" t="s">
        <v>470</v>
      </c>
    </row>
    <row r="15" spans="1:2" ht="18.75" customHeight="1" thickBot="1">
      <c r="A15" s="695">
        <v>6</v>
      </c>
      <c r="B15" s="729" t="s">
        <v>561</v>
      </c>
    </row>
    <row r="16" spans="1:2" ht="33.75" customHeight="1" thickBot="1">
      <c r="A16" s="695">
        <v>7</v>
      </c>
      <c r="B16" s="729" t="s">
        <v>409</v>
      </c>
    </row>
    <row r="17" spans="1:2" ht="59.25" customHeight="1" thickBot="1">
      <c r="A17" s="695">
        <v>8</v>
      </c>
      <c r="B17" s="992" t="s">
        <v>496</v>
      </c>
    </row>
    <row r="18" spans="1:2" ht="30" thickBot="1">
      <c r="A18" s="102">
        <v>9</v>
      </c>
      <c r="B18" s="461" t="s">
        <v>366</v>
      </c>
    </row>
    <row r="19" spans="1:2" ht="15">
      <c r="A19" s="1027">
        <v>10</v>
      </c>
      <c r="B19" s="278" t="s">
        <v>398</v>
      </c>
    </row>
    <row r="20" spans="1:2" ht="14.25">
      <c r="A20" s="1028"/>
      <c r="B20" s="279" t="s">
        <v>399</v>
      </c>
    </row>
    <row r="21" spans="1:4" ht="14.25">
      <c r="A21" s="1028"/>
      <c r="B21" s="279" t="s">
        <v>374</v>
      </c>
      <c r="D21" s="97"/>
    </row>
    <row r="22" spans="1:4" ht="14.25">
      <c r="A22" s="1028"/>
      <c r="B22" s="279" t="s">
        <v>497</v>
      </c>
      <c r="D22" s="97"/>
    </row>
    <row r="23" spans="1:4" ht="14.25">
      <c r="A23" s="1028"/>
      <c r="B23" s="279" t="s">
        <v>498</v>
      </c>
      <c r="D23" s="97"/>
    </row>
    <row r="24" spans="1:4" ht="14.25">
      <c r="A24" s="1028"/>
      <c r="B24" s="731" t="s">
        <v>499</v>
      </c>
      <c r="D24" s="97"/>
    </row>
    <row r="25" spans="1:4" ht="14.25">
      <c r="A25" s="1028"/>
      <c r="B25" s="279" t="s">
        <v>500</v>
      </c>
      <c r="D25" s="97"/>
    </row>
    <row r="26" spans="1:4" ht="14.25" customHeight="1">
      <c r="A26" s="1028"/>
      <c r="B26" s="731" t="s">
        <v>501</v>
      </c>
      <c r="D26" s="99"/>
    </row>
    <row r="27" spans="1:4" ht="14.25" customHeight="1">
      <c r="A27" s="1028"/>
      <c r="B27" s="731" t="s">
        <v>502</v>
      </c>
      <c r="D27" s="99"/>
    </row>
    <row r="28" spans="1:4" ht="15" thickBot="1">
      <c r="A28" s="1028"/>
      <c r="B28" s="279" t="s">
        <v>503</v>
      </c>
      <c r="D28" s="97"/>
    </row>
    <row r="29" spans="1:2" ht="48" customHeight="1" thickBot="1">
      <c r="A29" s="85">
        <v>11</v>
      </c>
      <c r="B29" s="734" t="s">
        <v>468</v>
      </c>
    </row>
    <row r="30" spans="1:2" ht="16.5" customHeight="1" thickBot="1">
      <c r="A30" s="86"/>
      <c r="B30" s="99"/>
    </row>
    <row r="31" spans="1:2" ht="24" customHeight="1" thickBot="1">
      <c r="A31" s="114"/>
      <c r="B31" s="115" t="s">
        <v>373</v>
      </c>
    </row>
    <row r="32" spans="1:2" ht="25.5" customHeight="1" thickBot="1">
      <c r="A32" s="114"/>
      <c r="B32" s="115" t="s">
        <v>61</v>
      </c>
    </row>
    <row r="33" spans="1:2" ht="115.5">
      <c r="A33" s="1011"/>
      <c r="B33" s="1019" t="s">
        <v>590</v>
      </c>
    </row>
    <row r="34" spans="1:2" ht="6.75" customHeight="1" thickBot="1">
      <c r="A34" s="277"/>
      <c r="B34" s="279"/>
    </row>
    <row r="35" spans="1:2" ht="28.5" customHeight="1" thickBot="1">
      <c r="A35" s="783"/>
      <c r="B35" s="465" t="s">
        <v>313</v>
      </c>
    </row>
    <row r="36" spans="1:2" ht="61.5" customHeight="1">
      <c r="A36" s="102"/>
      <c r="B36" s="776" t="s">
        <v>522</v>
      </c>
    </row>
    <row r="37" spans="1:2" ht="35.25" customHeight="1">
      <c r="A37" s="277"/>
      <c r="B37" s="777" t="s">
        <v>523</v>
      </c>
    </row>
    <row r="38" spans="1:2" ht="33" customHeight="1">
      <c r="A38" s="277"/>
      <c r="B38" s="777" t="s">
        <v>524</v>
      </c>
    </row>
    <row r="39" spans="1:2" ht="79.5" customHeight="1">
      <c r="A39" s="1007"/>
      <c r="B39" s="1008" t="s">
        <v>525</v>
      </c>
    </row>
    <row r="40" spans="1:2" ht="9" customHeight="1">
      <c r="A40" s="1007"/>
      <c r="B40" s="1008"/>
    </row>
    <row r="41" spans="1:2" s="1010" customFormat="1" ht="32.25" customHeight="1">
      <c r="A41" s="1007"/>
      <c r="B41" s="1008" t="s">
        <v>407</v>
      </c>
    </row>
    <row r="42" spans="1:2" s="1010" customFormat="1" ht="15" customHeight="1">
      <c r="A42" s="1007"/>
      <c r="B42" s="1008" t="s">
        <v>410</v>
      </c>
    </row>
    <row r="43" spans="1:2" s="1010" customFormat="1" ht="15" customHeight="1">
      <c r="A43" s="1007"/>
      <c r="B43" s="1008" t="s">
        <v>403</v>
      </c>
    </row>
    <row r="44" spans="1:2" s="1010" customFormat="1" ht="15" customHeight="1">
      <c r="A44" s="1007"/>
      <c r="B44" s="1008" t="s">
        <v>404</v>
      </c>
    </row>
    <row r="45" spans="1:2" s="1010" customFormat="1" ht="15" customHeight="1">
      <c r="A45" s="1007"/>
      <c r="B45" s="1008" t="s">
        <v>405</v>
      </c>
    </row>
    <row r="46" spans="1:2" s="1010" customFormat="1" ht="15" customHeight="1">
      <c r="A46" s="1007"/>
      <c r="B46" s="1008" t="s">
        <v>406</v>
      </c>
    </row>
    <row r="47" spans="1:2" s="1010" customFormat="1" ht="15" customHeight="1">
      <c r="A47" s="1007"/>
      <c r="B47" s="1008" t="s">
        <v>435</v>
      </c>
    </row>
    <row r="48" spans="1:2" ht="6.75" customHeight="1">
      <c r="A48" s="277"/>
      <c r="B48" s="777"/>
    </row>
    <row r="49" spans="1:2" ht="58.5" customHeight="1">
      <c r="A49" s="277">
        <v>2</v>
      </c>
      <c r="B49" s="777" t="s">
        <v>504</v>
      </c>
    </row>
    <row r="50" spans="1:2" ht="6.75" customHeight="1" thickBot="1">
      <c r="A50" s="277"/>
      <c r="B50" s="777"/>
    </row>
    <row r="51" spans="1:2" ht="80.25" customHeight="1" hidden="1" thickBot="1">
      <c r="A51" s="277">
        <v>2</v>
      </c>
      <c r="B51" s="937"/>
    </row>
    <row r="52" spans="1:2" ht="141" customHeight="1" thickBot="1">
      <c r="A52" s="85">
        <v>3</v>
      </c>
      <c r="B52" s="475" t="s">
        <v>572</v>
      </c>
    </row>
    <row r="53" spans="1:2" ht="87" customHeight="1" thickBot="1">
      <c r="A53" s="85">
        <v>4</v>
      </c>
      <c r="B53" s="732" t="s">
        <v>526</v>
      </c>
    </row>
    <row r="54" spans="1:2" ht="51" customHeight="1" thickBot="1">
      <c r="A54" s="85">
        <v>5</v>
      </c>
      <c r="B54" s="996" t="s">
        <v>527</v>
      </c>
    </row>
    <row r="55" spans="1:2" ht="36.75" customHeight="1" thickBot="1">
      <c r="A55" s="85">
        <v>6</v>
      </c>
      <c r="B55" s="996" t="s">
        <v>573</v>
      </c>
    </row>
    <row r="56" spans="1:2" ht="56.25" customHeight="1" thickBot="1">
      <c r="A56" s="85">
        <v>7</v>
      </c>
      <c r="B56" s="464" t="s">
        <v>505</v>
      </c>
    </row>
    <row r="57" spans="1:2" ht="89.25" thickBot="1">
      <c r="A57" s="85">
        <v>8</v>
      </c>
      <c r="B57" s="476" t="s">
        <v>602</v>
      </c>
    </row>
    <row r="58" spans="1:2" ht="74.25" thickBot="1">
      <c r="A58" s="1015">
        <v>9</v>
      </c>
      <c r="B58" s="1018" t="s">
        <v>591</v>
      </c>
    </row>
    <row r="59" spans="1:2" ht="45" thickBot="1">
      <c r="A59" s="1015">
        <v>10</v>
      </c>
      <c r="B59" s="1018" t="s">
        <v>342</v>
      </c>
    </row>
    <row r="60" spans="1:2" ht="45.75" thickBot="1">
      <c r="A60" s="1015">
        <v>11</v>
      </c>
      <c r="B60" s="1018" t="s">
        <v>592</v>
      </c>
    </row>
    <row r="61" spans="1:2" ht="30" customHeight="1" thickBot="1">
      <c r="A61" s="85">
        <v>12</v>
      </c>
      <c r="B61" s="476" t="s">
        <v>343</v>
      </c>
    </row>
    <row r="62" spans="1:2" ht="48" customHeight="1" thickBot="1">
      <c r="A62" s="85">
        <v>13</v>
      </c>
      <c r="B62" s="477" t="s">
        <v>412</v>
      </c>
    </row>
    <row r="63" spans="1:2" ht="21" customHeight="1" thickBot="1">
      <c r="A63" s="85">
        <v>14</v>
      </c>
      <c r="B63" s="464" t="s">
        <v>430</v>
      </c>
    </row>
    <row r="64" spans="1:2" ht="93.75" customHeight="1" thickBot="1">
      <c r="A64" s="1015">
        <v>15</v>
      </c>
      <c r="B64" s="996" t="s">
        <v>593</v>
      </c>
    </row>
    <row r="65" spans="1:2" ht="79.5" customHeight="1" thickBot="1">
      <c r="A65" s="1015">
        <v>16</v>
      </c>
      <c r="B65" s="1020" t="s">
        <v>594</v>
      </c>
    </row>
    <row r="66" spans="1:2" ht="60.75" thickBot="1">
      <c r="A66" s="85">
        <v>17</v>
      </c>
      <c r="B66" s="475" t="s">
        <v>431</v>
      </c>
    </row>
    <row r="67" spans="1:2" ht="45.75" thickBot="1">
      <c r="A67" s="85">
        <v>18</v>
      </c>
      <c r="B67" s="475" t="s">
        <v>411</v>
      </c>
    </row>
    <row r="68" spans="1:2" ht="122.25" customHeight="1" thickBot="1">
      <c r="A68" s="85">
        <v>19</v>
      </c>
      <c r="B68" s="464" t="s">
        <v>506</v>
      </c>
    </row>
    <row r="69" spans="1:2" ht="40.5" customHeight="1" thickBot="1">
      <c r="A69" s="86"/>
      <c r="B69" s="975"/>
    </row>
    <row r="70" spans="1:2" ht="37.5" customHeight="1" thickBot="1">
      <c r="A70" s="114"/>
      <c r="B70" s="115" t="s">
        <v>513</v>
      </c>
    </row>
    <row r="71" spans="1:2" ht="36" customHeight="1">
      <c r="A71" s="783"/>
      <c r="B71" s="465" t="s">
        <v>61</v>
      </c>
    </row>
    <row r="72" spans="1:2" ht="60" customHeight="1">
      <c r="A72" s="976">
        <v>1</v>
      </c>
      <c r="B72" s="978" t="s">
        <v>605</v>
      </c>
    </row>
    <row r="73" spans="1:2" ht="28.5" customHeight="1">
      <c r="A73" s="977"/>
      <c r="B73" s="979" t="s">
        <v>313</v>
      </c>
    </row>
    <row r="74" spans="1:2" ht="64.5" customHeight="1">
      <c r="A74" s="378">
        <v>2</v>
      </c>
      <c r="B74" s="980" t="s">
        <v>603</v>
      </c>
    </row>
    <row r="75" spans="1:2" ht="49.5" customHeight="1">
      <c r="A75" s="378">
        <v>3</v>
      </c>
      <c r="B75" s="980" t="s">
        <v>562</v>
      </c>
    </row>
    <row r="76" spans="1:2" ht="38.25" customHeight="1">
      <c r="A76" s="378">
        <v>4</v>
      </c>
      <c r="B76" s="980" t="s">
        <v>515</v>
      </c>
    </row>
    <row r="77" spans="1:2" ht="38.25" customHeight="1">
      <c r="A77" s="378">
        <v>5</v>
      </c>
      <c r="B77" s="980" t="s">
        <v>540</v>
      </c>
    </row>
    <row r="78" spans="1:2" ht="77.25" customHeight="1">
      <c r="A78" s="378">
        <v>6</v>
      </c>
      <c r="B78" s="980" t="s">
        <v>563</v>
      </c>
    </row>
    <row r="79" spans="1:2" s="97" customFormat="1" ht="18.75" customHeight="1" thickBot="1">
      <c r="A79" s="86"/>
      <c r="B79" s="96"/>
    </row>
    <row r="80" spans="1:2" s="97" customFormat="1" ht="24.75" customHeight="1" thickBot="1">
      <c r="A80" s="114"/>
      <c r="B80" s="735" t="s">
        <v>514</v>
      </c>
    </row>
    <row r="81" spans="1:2" s="97" customFormat="1" ht="24.75" customHeight="1" thickBot="1">
      <c r="A81" s="114"/>
      <c r="B81" s="735" t="s">
        <v>61</v>
      </c>
    </row>
    <row r="82" spans="1:2" s="97" customFormat="1" ht="65.25" customHeight="1" thickBot="1">
      <c r="A82" s="85">
        <v>1</v>
      </c>
      <c r="B82" s="736" t="s">
        <v>541</v>
      </c>
    </row>
    <row r="83" spans="1:2" s="97" customFormat="1" ht="30.75" customHeight="1" thickBot="1">
      <c r="A83" s="114"/>
      <c r="B83" s="737" t="s">
        <v>314</v>
      </c>
    </row>
    <row r="84" spans="1:2" s="97" customFormat="1" ht="15.75" customHeight="1">
      <c r="A84" s="102"/>
      <c r="B84" s="463" t="s">
        <v>310</v>
      </c>
    </row>
    <row r="85" spans="1:2" s="97" customFormat="1" ht="30.75" customHeight="1">
      <c r="A85" s="277"/>
      <c r="B85" s="279" t="s">
        <v>433</v>
      </c>
    </row>
    <row r="86" spans="1:2" s="97" customFormat="1" ht="29.25">
      <c r="A86" s="277"/>
      <c r="B86" s="279" t="s">
        <v>434</v>
      </c>
    </row>
    <row r="87" spans="1:2" s="97" customFormat="1" ht="28.5">
      <c r="A87" s="277"/>
      <c r="B87" s="279" t="s">
        <v>432</v>
      </c>
    </row>
    <row r="88" spans="1:2" s="97" customFormat="1" ht="15">
      <c r="A88" s="277"/>
      <c r="B88" s="279" t="s">
        <v>507</v>
      </c>
    </row>
    <row r="89" spans="1:2" s="97" customFormat="1" ht="15">
      <c r="A89" s="277"/>
      <c r="B89" s="279" t="s">
        <v>508</v>
      </c>
    </row>
    <row r="90" spans="1:2" s="97" customFormat="1" ht="71.25">
      <c r="A90" s="277"/>
      <c r="B90" s="279" t="s">
        <v>509</v>
      </c>
    </row>
    <row r="91" spans="1:2" s="97" customFormat="1" ht="16.5" customHeight="1">
      <c r="A91" s="1007"/>
      <c r="B91" s="731" t="s">
        <v>589</v>
      </c>
    </row>
    <row r="92" spans="1:2" s="97" customFormat="1" ht="9.75" customHeight="1">
      <c r="A92" s="277"/>
      <c r="B92" s="279"/>
    </row>
    <row r="93" spans="1:8" s="97" customFormat="1" ht="56.25" customHeight="1">
      <c r="A93" s="277"/>
      <c r="B93" s="279" t="s">
        <v>510</v>
      </c>
      <c r="H93" s="462" t="s">
        <v>60</v>
      </c>
    </row>
    <row r="94" spans="1:2" s="97" customFormat="1" ht="6" customHeight="1">
      <c r="A94" s="277"/>
      <c r="B94" s="279"/>
    </row>
    <row r="95" spans="1:2" s="97" customFormat="1" ht="47.25" customHeight="1">
      <c r="A95" s="277"/>
      <c r="B95" s="279" t="s">
        <v>511</v>
      </c>
    </row>
    <row r="96" spans="1:2" s="97" customFormat="1" ht="5.25" customHeight="1">
      <c r="A96" s="277"/>
      <c r="B96" s="279"/>
    </row>
    <row r="97" spans="1:2" s="97" customFormat="1" ht="74.25" customHeight="1">
      <c r="A97" s="277"/>
      <c r="B97" s="279" t="s">
        <v>604</v>
      </c>
    </row>
    <row r="98" spans="1:2" s="97" customFormat="1" ht="14.25">
      <c r="A98" s="277"/>
      <c r="B98" s="279"/>
    </row>
    <row r="99" spans="1:2" s="97" customFormat="1" ht="29.25" thickBot="1">
      <c r="A99" s="192">
        <v>2</v>
      </c>
      <c r="B99" s="276" t="s">
        <v>311</v>
      </c>
    </row>
    <row r="100" spans="1:2" s="97" customFormat="1" ht="27" customHeight="1" thickBot="1">
      <c r="A100" s="114"/>
      <c r="B100" s="478" t="s">
        <v>344</v>
      </c>
    </row>
    <row r="101" spans="1:2" s="97" customFormat="1" ht="71.25" customHeight="1" thickBot="1">
      <c r="A101" s="85">
        <v>3</v>
      </c>
      <c r="B101" s="464" t="s">
        <v>542</v>
      </c>
    </row>
    <row r="102" spans="1:2" s="97" customFormat="1" ht="27" customHeight="1" thickBot="1">
      <c r="A102" s="783"/>
      <c r="B102" s="466" t="s">
        <v>312</v>
      </c>
    </row>
    <row r="103" spans="1:2" s="97" customFormat="1" ht="98.25" customHeight="1" thickBot="1">
      <c r="A103" s="102"/>
      <c r="B103" s="736" t="s">
        <v>531</v>
      </c>
    </row>
    <row r="104" spans="1:2" s="97" customFormat="1" ht="16.5" customHeight="1" thickBot="1">
      <c r="A104" s="277"/>
      <c r="B104" s="736" t="s">
        <v>528</v>
      </c>
    </row>
    <row r="105" spans="1:2" s="97" customFormat="1" ht="16.5" customHeight="1" thickBot="1">
      <c r="A105" s="277"/>
      <c r="B105" s="736" t="s">
        <v>529</v>
      </c>
    </row>
    <row r="106" spans="1:2" s="97" customFormat="1" ht="16.5" customHeight="1" thickBot="1">
      <c r="A106" s="277"/>
      <c r="B106" s="736" t="s">
        <v>543</v>
      </c>
    </row>
    <row r="107" spans="1:2" s="97" customFormat="1" ht="51.75" customHeight="1" thickBot="1">
      <c r="A107" s="192">
        <v>4</v>
      </c>
      <c r="B107" s="997" t="s">
        <v>530</v>
      </c>
    </row>
    <row r="108" spans="1:2" s="97" customFormat="1" ht="13.5" customHeight="1" thickBot="1">
      <c r="A108" s="192"/>
      <c r="B108" s="464"/>
    </row>
    <row r="109" spans="1:2" s="97" customFormat="1" ht="33.75" customHeight="1" thickBot="1">
      <c r="A109" s="114"/>
      <c r="B109" s="466" t="s">
        <v>362</v>
      </c>
    </row>
    <row r="110" spans="1:2" s="97" customFormat="1" ht="45.75" thickBot="1">
      <c r="A110" s="85">
        <v>5</v>
      </c>
      <c r="B110" s="464" t="s">
        <v>564</v>
      </c>
    </row>
    <row r="111" spans="1:2" s="97" customFormat="1" ht="4.5" customHeight="1">
      <c r="A111" s="102"/>
      <c r="B111" s="479"/>
    </row>
    <row r="112" spans="1:2" s="97" customFormat="1" ht="45">
      <c r="A112" s="277"/>
      <c r="B112" s="479" t="s">
        <v>545</v>
      </c>
    </row>
    <row r="113" spans="1:2" s="97" customFormat="1" ht="3" customHeight="1">
      <c r="A113" s="277"/>
      <c r="B113" s="479"/>
    </row>
    <row r="114" spans="1:2" s="97" customFormat="1" ht="44.25">
      <c r="A114" s="277"/>
      <c r="B114" s="479" t="s">
        <v>544</v>
      </c>
    </row>
    <row r="115" spans="1:2" s="97" customFormat="1" ht="3.75" customHeight="1">
      <c r="A115" s="277"/>
      <c r="B115" s="479"/>
    </row>
    <row r="116" spans="1:2" s="97" customFormat="1" ht="61.5" customHeight="1">
      <c r="A116" s="277"/>
      <c r="B116" s="479" t="s">
        <v>546</v>
      </c>
    </row>
    <row r="117" spans="1:2" s="97" customFormat="1" ht="3.75" customHeight="1">
      <c r="A117" s="277"/>
      <c r="B117" s="479"/>
    </row>
    <row r="118" spans="1:2" s="97" customFormat="1" ht="46.5" customHeight="1" thickBot="1">
      <c r="A118" s="192">
        <v>6</v>
      </c>
      <c r="B118" s="480" t="s">
        <v>512</v>
      </c>
    </row>
    <row r="119" spans="1:2" s="97" customFormat="1" ht="8.25" customHeight="1">
      <c r="A119" s="102"/>
      <c r="B119" s="479"/>
    </row>
    <row r="120" spans="1:2" s="97" customFormat="1" ht="30" customHeight="1">
      <c r="A120" s="1007"/>
      <c r="B120" s="1021" t="s">
        <v>400</v>
      </c>
    </row>
    <row r="121" spans="1:2" s="97" customFormat="1" ht="17.25" customHeight="1">
      <c r="A121" s="1007"/>
      <c r="B121" s="1022" t="s">
        <v>401</v>
      </c>
    </row>
    <row r="122" spans="1:2" s="97" customFormat="1" ht="17.25" customHeight="1">
      <c r="A122" s="1007"/>
      <c r="B122" s="1022" t="s">
        <v>402</v>
      </c>
    </row>
    <row r="123" spans="1:2" s="97" customFormat="1" ht="17.25" customHeight="1">
      <c r="A123" s="1007"/>
      <c r="B123" s="1022" t="s">
        <v>422</v>
      </c>
    </row>
    <row r="124" spans="1:2" s="97" customFormat="1" ht="5.25" customHeight="1">
      <c r="A124" s="277"/>
      <c r="B124" s="479"/>
    </row>
    <row r="125" spans="1:2" s="97" customFormat="1" ht="63.75" customHeight="1" thickBot="1">
      <c r="A125" s="192">
        <v>7</v>
      </c>
      <c r="B125" s="479" t="s">
        <v>547</v>
      </c>
    </row>
    <row r="126" spans="1:2" s="97" customFormat="1" ht="27" customHeight="1" thickBot="1">
      <c r="A126" s="114"/>
      <c r="B126" s="478" t="s">
        <v>345</v>
      </c>
    </row>
    <row r="127" spans="1:2" s="97" customFormat="1" ht="66.75" customHeight="1" thickBot="1">
      <c r="A127" s="85">
        <v>8</v>
      </c>
      <c r="B127" s="481" t="s">
        <v>574</v>
      </c>
    </row>
    <row r="128" spans="1:4" s="97" customFormat="1" ht="25.5" customHeight="1" thickBot="1">
      <c r="A128" s="114"/>
      <c r="B128" s="466" t="s">
        <v>346</v>
      </c>
      <c r="D128" s="99"/>
    </row>
    <row r="129" spans="1:2" s="97" customFormat="1" ht="153.75" customHeight="1" thickBot="1">
      <c r="A129" s="102">
        <v>9</v>
      </c>
      <c r="B129" s="982" t="s">
        <v>575</v>
      </c>
    </row>
    <row r="130" spans="1:2" s="97" customFormat="1" ht="94.5" customHeight="1">
      <c r="A130" s="981">
        <v>10</v>
      </c>
      <c r="B130" s="983" t="s">
        <v>595</v>
      </c>
    </row>
    <row r="131" spans="1:2" s="97" customFormat="1" ht="207.75" customHeight="1">
      <c r="A131" s="976"/>
      <c r="B131" s="987" t="s">
        <v>581</v>
      </c>
    </row>
    <row r="132" spans="1:2" s="97" customFormat="1" ht="30.75" thickBot="1">
      <c r="A132" s="988">
        <v>11</v>
      </c>
      <c r="B132" s="689" t="s">
        <v>553</v>
      </c>
    </row>
    <row r="133" spans="1:2" s="97" customFormat="1" ht="12.75">
      <c r="A133" s="86"/>
      <c r="B133" s="96"/>
    </row>
    <row r="134" spans="1:2" s="97" customFormat="1" ht="14.25">
      <c r="A134" s="86"/>
      <c r="B134" s="99"/>
    </row>
    <row r="135" spans="1:2" s="97" customFormat="1" ht="13.5" thickBot="1">
      <c r="A135" s="86"/>
      <c r="B135" s="96"/>
    </row>
    <row r="136" spans="1:2" s="97" customFormat="1" ht="24" customHeight="1" thickBot="1">
      <c r="A136" s="114"/>
      <c r="B136" s="280" t="s">
        <v>516</v>
      </c>
    </row>
    <row r="137" spans="1:2" s="97" customFormat="1" ht="30">
      <c r="A137" s="102"/>
      <c r="B137" s="278" t="s">
        <v>363</v>
      </c>
    </row>
    <row r="138" spans="1:2" s="97" customFormat="1" ht="15" customHeight="1">
      <c r="A138" s="277"/>
      <c r="B138" s="279" t="s">
        <v>413</v>
      </c>
    </row>
    <row r="139" spans="1:2" s="97" customFormat="1" ht="15" customHeight="1">
      <c r="A139" s="277"/>
      <c r="B139" s="279" t="s">
        <v>414</v>
      </c>
    </row>
    <row r="140" spans="1:2" s="97" customFormat="1" ht="15" customHeight="1">
      <c r="A140" s="277"/>
      <c r="B140" s="279" t="s">
        <v>415</v>
      </c>
    </row>
    <row r="141" spans="1:2" s="97" customFormat="1" ht="15" customHeight="1">
      <c r="A141" s="277"/>
      <c r="B141" s="279" t="s">
        <v>423</v>
      </c>
    </row>
    <row r="142" spans="1:2" s="97" customFormat="1" ht="15" customHeight="1" thickBot="1">
      <c r="A142" s="192">
        <v>1</v>
      </c>
      <c r="B142" s="276" t="s">
        <v>416</v>
      </c>
    </row>
    <row r="143" spans="1:2" s="97" customFormat="1" ht="158.25" customHeight="1" thickBot="1">
      <c r="A143" s="85">
        <v>2</v>
      </c>
      <c r="B143" s="693" t="s">
        <v>596</v>
      </c>
    </row>
    <row r="144" spans="1:2" ht="103.5" customHeight="1">
      <c r="A144" s="102"/>
      <c r="B144" s="690" t="s">
        <v>568</v>
      </c>
    </row>
    <row r="145" spans="1:2" ht="8.25" customHeight="1">
      <c r="A145" s="277"/>
      <c r="B145" s="692"/>
    </row>
    <row r="146" spans="1:2" ht="63" customHeight="1">
      <c r="A146" s="277"/>
      <c r="B146" s="692" t="s">
        <v>576</v>
      </c>
    </row>
    <row r="147" spans="1:2" ht="8.25" customHeight="1">
      <c r="A147" s="277"/>
      <c r="B147" s="692"/>
    </row>
    <row r="148" spans="1:2" ht="60.75" customHeight="1" thickBot="1">
      <c r="A148" s="192">
        <v>3</v>
      </c>
      <c r="B148" s="693" t="s">
        <v>469</v>
      </c>
    </row>
    <row r="149" spans="1:2" ht="60.75" thickBot="1">
      <c r="A149" s="192">
        <v>4</v>
      </c>
      <c r="B149" s="691" t="s">
        <v>582</v>
      </c>
    </row>
    <row r="150" spans="1:2" ht="95.25" customHeight="1">
      <c r="A150" s="1011"/>
      <c r="B150" s="1012" t="s">
        <v>597</v>
      </c>
    </row>
    <row r="151" spans="1:2" ht="6" customHeight="1">
      <c r="A151" s="277"/>
      <c r="B151" s="279"/>
    </row>
    <row r="152" spans="1:2" ht="153.75" customHeight="1" thickBot="1">
      <c r="A152" s="192">
        <v>5</v>
      </c>
      <c r="B152" s="689" t="s">
        <v>471</v>
      </c>
    </row>
    <row r="153" spans="1:2" ht="104.25" thickBot="1">
      <c r="A153" s="85">
        <v>6</v>
      </c>
      <c r="B153" s="1004" t="s">
        <v>554</v>
      </c>
    </row>
    <row r="154" spans="1:2" ht="45" thickBot="1">
      <c r="A154" s="85">
        <v>7</v>
      </c>
      <c r="B154" s="98" t="s">
        <v>555</v>
      </c>
    </row>
    <row r="155" spans="1:2" ht="14.25">
      <c r="A155" s="86"/>
      <c r="B155" s="99"/>
    </row>
    <row r="156" spans="1:2" ht="15" thickBot="1">
      <c r="A156" s="86"/>
      <c r="B156" s="99"/>
    </row>
    <row r="157" spans="1:2" ht="24" customHeight="1" thickBot="1">
      <c r="A157" s="114"/>
      <c r="B157" s="115" t="s">
        <v>517</v>
      </c>
    </row>
    <row r="158" spans="1:2" ht="24" customHeight="1" thickBot="1">
      <c r="A158" s="114"/>
      <c r="B158" s="465" t="s">
        <v>61</v>
      </c>
    </row>
    <row r="159" spans="1:2" s="338" customFormat="1" ht="18" customHeight="1" thickBot="1">
      <c r="A159" s="699">
        <v>1</v>
      </c>
      <c r="B159" s="721" t="s">
        <v>376</v>
      </c>
    </row>
    <row r="160" spans="1:2" s="338" customFormat="1" ht="48" customHeight="1" thickBot="1">
      <c r="A160" s="695">
        <v>2</v>
      </c>
      <c r="B160" s="721" t="s">
        <v>424</v>
      </c>
    </row>
    <row r="161" spans="1:2" s="338" customFormat="1" ht="47.25" customHeight="1" thickBot="1">
      <c r="A161" s="722">
        <v>3</v>
      </c>
      <c r="B161" s="721" t="s">
        <v>436</v>
      </c>
    </row>
    <row r="162" spans="1:2" s="338" customFormat="1" ht="31.5" customHeight="1" thickBot="1">
      <c r="A162" s="722"/>
      <c r="B162" s="998" t="s">
        <v>569</v>
      </c>
    </row>
    <row r="163" spans="1:2" s="338" customFormat="1" ht="16.5" customHeight="1" thickBot="1">
      <c r="A163" s="724"/>
      <c r="B163" s="998" t="s">
        <v>532</v>
      </c>
    </row>
    <row r="164" spans="1:2" s="338" customFormat="1" ht="16.5" customHeight="1" thickBot="1">
      <c r="A164" s="724"/>
      <c r="B164" s="998" t="s">
        <v>533</v>
      </c>
    </row>
    <row r="165" spans="1:2" s="338" customFormat="1" ht="16.5" customHeight="1" thickBot="1">
      <c r="A165" s="724"/>
      <c r="B165" s="998" t="s">
        <v>536</v>
      </c>
    </row>
    <row r="166" spans="1:2" s="338" customFormat="1" ht="16.5" customHeight="1" thickBot="1">
      <c r="A166" s="724"/>
      <c r="B166" s="998" t="s">
        <v>534</v>
      </c>
    </row>
    <row r="167" spans="1:2" s="338" customFormat="1" ht="16.5" customHeight="1" thickBot="1">
      <c r="A167" s="724"/>
      <c r="B167" s="998" t="s">
        <v>537</v>
      </c>
    </row>
    <row r="168" spans="1:2" s="338" customFormat="1" ht="32.25" customHeight="1" thickBot="1">
      <c r="A168" s="723">
        <v>4</v>
      </c>
      <c r="B168" s="998" t="s">
        <v>535</v>
      </c>
    </row>
    <row r="169" spans="1:2" s="338" customFormat="1" ht="36.75" customHeight="1" thickBot="1">
      <c r="A169" s="188">
        <v>5</v>
      </c>
      <c r="B169" s="721" t="s">
        <v>437</v>
      </c>
    </row>
    <row r="170" spans="1:2" s="338" customFormat="1" ht="34.5" customHeight="1" thickBot="1">
      <c r="A170" s="699">
        <v>6</v>
      </c>
      <c r="B170" s="721" t="s">
        <v>438</v>
      </c>
    </row>
    <row r="171" spans="1:2" ht="48.75" customHeight="1" thickBot="1">
      <c r="A171" s="695">
        <v>7</v>
      </c>
      <c r="B171" s="782" t="s">
        <v>421</v>
      </c>
    </row>
    <row r="172" spans="1:2" ht="34.5" customHeight="1" thickBot="1">
      <c r="A172" s="1013">
        <v>8</v>
      </c>
      <c r="B172" s="1014" t="s">
        <v>439</v>
      </c>
    </row>
    <row r="173" spans="1:2" ht="36.75" customHeight="1" thickBot="1">
      <c r="A173" s="1015">
        <v>9</v>
      </c>
      <c r="B173" s="1016" t="s">
        <v>377</v>
      </c>
    </row>
    <row r="174" spans="1:2" ht="30" customHeight="1" thickBot="1">
      <c r="A174" s="1011">
        <v>10</v>
      </c>
      <c r="B174" s="1014" t="s">
        <v>378</v>
      </c>
    </row>
    <row r="175" spans="1:2" ht="36" customHeight="1" thickBot="1">
      <c r="A175" s="1011">
        <v>11</v>
      </c>
      <c r="B175" s="1017" t="s">
        <v>556</v>
      </c>
    </row>
    <row r="176" spans="1:2" ht="17.25" customHeight="1" thickBot="1">
      <c r="A176" s="722">
        <v>12</v>
      </c>
      <c r="B176" s="464" t="s">
        <v>557</v>
      </c>
    </row>
    <row r="177" spans="1:2" ht="58.5" customHeight="1" thickBot="1">
      <c r="A177" s="695">
        <v>13</v>
      </c>
      <c r="B177" s="733" t="s">
        <v>440</v>
      </c>
    </row>
    <row r="178" spans="1:2" ht="24.75" customHeight="1" thickBot="1">
      <c r="A178" s="738"/>
      <c r="B178" s="774" t="s">
        <v>380</v>
      </c>
    </row>
    <row r="179" spans="1:2" ht="22.5" customHeight="1" thickBot="1">
      <c r="A179" s="85">
        <v>14</v>
      </c>
      <c r="B179" s="477" t="s">
        <v>538</v>
      </c>
    </row>
    <row r="180" spans="1:2" ht="0.75" customHeight="1" thickBot="1">
      <c r="A180" s="85">
        <v>2</v>
      </c>
      <c r="B180" s="98"/>
    </row>
    <row r="181" spans="1:2" ht="0.75" customHeight="1" thickBot="1">
      <c r="A181" s="85"/>
      <c r="B181" s="98"/>
    </row>
    <row r="182" spans="1:2" ht="66.75" customHeight="1" thickBot="1">
      <c r="A182" s="85">
        <v>15</v>
      </c>
      <c r="B182" s="999" t="s">
        <v>570</v>
      </c>
    </row>
    <row r="183" spans="1:2" ht="40.5" customHeight="1" thickBot="1">
      <c r="A183" s="85">
        <v>16</v>
      </c>
      <c r="B183" s="476" t="s">
        <v>441</v>
      </c>
    </row>
    <row r="184" spans="1:2" ht="117" thickBot="1">
      <c r="A184" s="1015">
        <v>17</v>
      </c>
      <c r="B184" s="1023" t="s">
        <v>600</v>
      </c>
    </row>
    <row r="185" spans="1:2" ht="62.25" customHeight="1">
      <c r="A185" s="102"/>
      <c r="B185" s="482" t="s">
        <v>472</v>
      </c>
    </row>
    <row r="186" spans="1:18" ht="12.75" customHeight="1">
      <c r="A186" s="277"/>
      <c r="B186" s="1000" t="s">
        <v>381</v>
      </c>
      <c r="D186" s="1025"/>
      <c r="E186" s="1026"/>
      <c r="F186" s="1026"/>
      <c r="G186" s="1026"/>
      <c r="H186" s="1026"/>
      <c r="I186" s="1026"/>
      <c r="J186" s="1026"/>
      <c r="K186" s="1026"/>
      <c r="L186" s="1026"/>
      <c r="M186" s="1026"/>
      <c r="N186" s="1026"/>
      <c r="O186" s="1026"/>
      <c r="P186" s="97"/>
      <c r="Q186" s="97"/>
      <c r="R186" s="97"/>
    </row>
    <row r="187" spans="1:18" ht="12.75" customHeight="1">
      <c r="A187" s="277"/>
      <c r="B187" s="1000" t="s">
        <v>382</v>
      </c>
      <c r="D187" s="702"/>
      <c r="E187" s="703"/>
      <c r="F187" s="703"/>
      <c r="G187" s="703"/>
      <c r="H187" s="703"/>
      <c r="I187" s="703"/>
      <c r="J187" s="703"/>
      <c r="K187" s="703"/>
      <c r="L187" s="703"/>
      <c r="M187" s="703"/>
      <c r="N187" s="703"/>
      <c r="O187" s="703"/>
      <c r="P187" s="97"/>
      <c r="Q187" s="97"/>
      <c r="R187" s="97"/>
    </row>
    <row r="188" spans="1:18" ht="12.75" customHeight="1">
      <c r="A188" s="277"/>
      <c r="B188" s="1000" t="s">
        <v>383</v>
      </c>
      <c r="D188" s="702"/>
      <c r="E188" s="703"/>
      <c r="F188" s="703"/>
      <c r="G188" s="703"/>
      <c r="H188" s="703"/>
      <c r="I188" s="703"/>
      <c r="J188" s="703"/>
      <c r="K188" s="703"/>
      <c r="L188" s="703"/>
      <c r="M188" s="703"/>
      <c r="N188" s="703"/>
      <c r="O188" s="703"/>
      <c r="P188" s="97"/>
      <c r="Q188" s="97"/>
      <c r="R188" s="97"/>
    </row>
    <row r="189" spans="1:18" ht="12.75" customHeight="1">
      <c r="A189" s="277"/>
      <c r="B189" s="1000" t="s">
        <v>384</v>
      </c>
      <c r="D189" s="702"/>
      <c r="E189" s="703"/>
      <c r="F189" s="703"/>
      <c r="G189" s="703"/>
      <c r="H189" s="703"/>
      <c r="I189" s="703"/>
      <c r="J189" s="703"/>
      <c r="K189" s="703"/>
      <c r="L189" s="703"/>
      <c r="M189" s="703"/>
      <c r="N189" s="703"/>
      <c r="O189" s="703"/>
      <c r="P189" s="97"/>
      <c r="Q189" s="97"/>
      <c r="R189" s="97"/>
    </row>
    <row r="190" spans="1:18" ht="12.75" customHeight="1">
      <c r="A190" s="277"/>
      <c r="B190" s="1000" t="s">
        <v>385</v>
      </c>
      <c r="D190" s="702"/>
      <c r="E190" s="703"/>
      <c r="F190" s="703"/>
      <c r="G190" s="703"/>
      <c r="H190" s="703"/>
      <c r="I190" s="703"/>
      <c r="J190" s="703"/>
      <c r="K190" s="703"/>
      <c r="L190" s="703"/>
      <c r="M190" s="703"/>
      <c r="N190" s="703"/>
      <c r="O190" s="703"/>
      <c r="P190" s="97"/>
      <c r="Q190" s="97"/>
      <c r="R190" s="97"/>
    </row>
    <row r="191" spans="1:18" ht="48" customHeight="1">
      <c r="A191" s="277"/>
      <c r="B191" s="1001" t="s">
        <v>442</v>
      </c>
      <c r="D191" s="702"/>
      <c r="E191" s="703"/>
      <c r="F191" s="703"/>
      <c r="G191" s="703"/>
      <c r="H191" s="703"/>
      <c r="I191" s="703"/>
      <c r="J191" s="703"/>
      <c r="K191" s="703"/>
      <c r="L191" s="703"/>
      <c r="M191" s="703"/>
      <c r="N191" s="703"/>
      <c r="O191" s="703"/>
      <c r="P191" s="97"/>
      <c r="Q191" s="97"/>
      <c r="R191" s="97"/>
    </row>
    <row r="192" spans="1:18" ht="37.5" customHeight="1">
      <c r="A192" s="277"/>
      <c r="B192" s="1001" t="s">
        <v>443</v>
      </c>
      <c r="D192" s="702"/>
      <c r="E192" s="703"/>
      <c r="F192" s="703"/>
      <c r="G192" s="703"/>
      <c r="H192" s="703"/>
      <c r="I192" s="703"/>
      <c r="J192" s="703"/>
      <c r="K192" s="703"/>
      <c r="L192" s="703"/>
      <c r="M192" s="703"/>
      <c r="N192" s="703"/>
      <c r="O192" s="703"/>
      <c r="P192" s="97"/>
      <c r="Q192" s="97"/>
      <c r="R192" s="97"/>
    </row>
    <row r="193" spans="1:18" ht="30.75" customHeight="1">
      <c r="A193" s="277"/>
      <c r="B193" s="1001" t="s">
        <v>444</v>
      </c>
      <c r="D193" s="702"/>
      <c r="E193" s="703"/>
      <c r="F193" s="703"/>
      <c r="G193" s="703"/>
      <c r="H193" s="703"/>
      <c r="I193" s="703"/>
      <c r="J193" s="703"/>
      <c r="K193" s="703"/>
      <c r="L193" s="703"/>
      <c r="M193" s="703"/>
      <c r="N193" s="703"/>
      <c r="O193" s="703"/>
      <c r="P193" s="97"/>
      <c r="Q193" s="97"/>
      <c r="R193" s="97"/>
    </row>
    <row r="194" spans="1:18" ht="74.25" customHeight="1">
      <c r="A194" s="277"/>
      <c r="B194" s="1002" t="s">
        <v>571</v>
      </c>
      <c r="D194" s="702"/>
      <c r="E194" s="703"/>
      <c r="F194" s="703"/>
      <c r="G194" s="703"/>
      <c r="H194" s="703"/>
      <c r="I194" s="703"/>
      <c r="J194" s="703"/>
      <c r="K194" s="703"/>
      <c r="L194" s="703"/>
      <c r="M194" s="703"/>
      <c r="N194" s="703"/>
      <c r="O194" s="703"/>
      <c r="P194" s="97"/>
      <c r="Q194" s="97"/>
      <c r="R194" s="97"/>
    </row>
    <row r="195" spans="1:18" ht="35.25" customHeight="1">
      <c r="A195" s="277"/>
      <c r="B195" s="1001" t="s">
        <v>386</v>
      </c>
      <c r="D195" s="702"/>
      <c r="E195" s="703"/>
      <c r="F195" s="703"/>
      <c r="G195" s="703"/>
      <c r="H195" s="703"/>
      <c r="I195" s="703"/>
      <c r="J195" s="703"/>
      <c r="K195" s="703"/>
      <c r="L195" s="703"/>
      <c r="M195" s="703"/>
      <c r="N195" s="703"/>
      <c r="O195" s="703"/>
      <c r="P195" s="97"/>
      <c r="Q195" s="97"/>
      <c r="R195" s="97"/>
    </row>
    <row r="196" spans="1:18" ht="64.5" customHeight="1" thickBot="1">
      <c r="A196" s="192">
        <v>18</v>
      </c>
      <c r="B196" s="481" t="s">
        <v>445</v>
      </c>
      <c r="D196" s="702"/>
      <c r="E196" s="985"/>
      <c r="F196" s="985"/>
      <c r="G196" s="985"/>
      <c r="H196" s="985"/>
      <c r="I196" s="985"/>
      <c r="J196" s="985"/>
      <c r="K196" s="985"/>
      <c r="L196" s="985"/>
      <c r="M196" s="985"/>
      <c r="N196" s="985"/>
      <c r="O196" s="985"/>
      <c r="P196" s="97"/>
      <c r="Q196" s="97"/>
      <c r="R196" s="97"/>
    </row>
    <row r="197" spans="1:18" ht="72.75" thickBot="1">
      <c r="A197" s="192">
        <v>19</v>
      </c>
      <c r="B197" s="481" t="s">
        <v>583</v>
      </c>
      <c r="D197" s="702"/>
      <c r="E197" s="703"/>
      <c r="F197" s="703"/>
      <c r="G197" s="703"/>
      <c r="H197" s="703"/>
      <c r="I197" s="703"/>
      <c r="J197" s="703"/>
      <c r="K197" s="703"/>
      <c r="L197" s="703"/>
      <c r="M197" s="703"/>
      <c r="N197" s="703"/>
      <c r="O197" s="703"/>
      <c r="P197" s="97"/>
      <c r="Q197" s="97"/>
      <c r="R197" s="97"/>
    </row>
    <row r="198" spans="1:18" ht="20.25" customHeight="1" thickBot="1">
      <c r="A198" s="86"/>
      <c r="B198" s="97"/>
      <c r="C198" s="97"/>
      <c r="D198" s="702"/>
      <c r="E198" s="703"/>
      <c r="F198" s="703"/>
      <c r="G198" s="703"/>
      <c r="H198" s="703"/>
      <c r="I198" s="703"/>
      <c r="J198" s="703"/>
      <c r="K198" s="703"/>
      <c r="L198" s="703"/>
      <c r="M198" s="703"/>
      <c r="N198" s="703"/>
      <c r="O198" s="703"/>
      <c r="P198" s="97"/>
      <c r="Q198" s="97"/>
      <c r="R198" s="97"/>
    </row>
    <row r="199" spans="1:18" ht="20.25" customHeight="1" thickBot="1">
      <c r="A199" s="114"/>
      <c r="B199" s="115" t="s">
        <v>518</v>
      </c>
      <c r="C199" s="97"/>
      <c r="D199" s="702"/>
      <c r="E199" s="706"/>
      <c r="F199" s="706"/>
      <c r="G199" s="706"/>
      <c r="H199" s="706"/>
      <c r="I199" s="706"/>
      <c r="J199" s="706"/>
      <c r="K199" s="706"/>
      <c r="L199" s="706"/>
      <c r="M199" s="706"/>
      <c r="N199" s="706"/>
      <c r="O199" s="706"/>
      <c r="P199" s="97"/>
      <c r="Q199" s="97"/>
      <c r="R199" s="97"/>
    </row>
    <row r="200" spans="1:2" ht="46.5" customHeight="1" thickBot="1">
      <c r="A200" s="85">
        <v>1</v>
      </c>
      <c r="B200" s="464" t="s">
        <v>558</v>
      </c>
    </row>
    <row r="201" spans="1:18" ht="26.25" customHeight="1" thickBot="1">
      <c r="A201" s="86"/>
      <c r="B201" s="3"/>
      <c r="D201" s="97"/>
      <c r="E201" s="97"/>
      <c r="F201" s="97"/>
      <c r="G201" s="97"/>
      <c r="H201" s="97"/>
      <c r="I201" s="97"/>
      <c r="J201" s="97"/>
      <c r="K201" s="97"/>
      <c r="L201" s="97"/>
      <c r="M201" s="97"/>
      <c r="N201" s="97"/>
      <c r="O201" s="97"/>
      <c r="P201" s="97"/>
      <c r="Q201" s="97"/>
      <c r="R201" s="97"/>
    </row>
    <row r="202" spans="1:18" ht="24" customHeight="1" thickBot="1">
      <c r="A202" s="114"/>
      <c r="B202" s="116" t="s">
        <v>519</v>
      </c>
      <c r="D202" s="97"/>
      <c r="E202" s="97"/>
      <c r="F202" s="97"/>
      <c r="G202" s="97"/>
      <c r="H202" s="97"/>
      <c r="I202" s="97"/>
      <c r="J202" s="97"/>
      <c r="K202" s="97"/>
      <c r="L202" s="97"/>
      <c r="M202" s="97"/>
      <c r="N202" s="97"/>
      <c r="O202" s="97"/>
      <c r="P202" s="97"/>
      <c r="Q202" s="97"/>
      <c r="R202" s="97"/>
    </row>
    <row r="203" spans="1:18" ht="34.5" customHeight="1" thickBot="1">
      <c r="A203" s="772">
        <v>1</v>
      </c>
      <c r="B203" s="771" t="s">
        <v>425</v>
      </c>
      <c r="D203" s="97"/>
      <c r="E203" s="97"/>
      <c r="F203" s="97"/>
      <c r="G203" s="97"/>
      <c r="H203" s="97"/>
      <c r="I203" s="97"/>
      <c r="J203" s="97"/>
      <c r="K203" s="97"/>
      <c r="L203" s="97"/>
      <c r="M203" s="97"/>
      <c r="N203" s="97"/>
      <c r="O203" s="97"/>
      <c r="P203" s="97"/>
      <c r="Q203" s="97"/>
      <c r="R203" s="97"/>
    </row>
    <row r="204" spans="1:18" ht="21" customHeight="1" thickBot="1">
      <c r="A204" s="773" t="s">
        <v>394</v>
      </c>
      <c r="B204" s="771" t="s">
        <v>426</v>
      </c>
      <c r="D204" s="97"/>
      <c r="E204" s="97"/>
      <c r="F204" s="97"/>
      <c r="G204" s="97"/>
      <c r="H204" s="97"/>
      <c r="I204" s="97"/>
      <c r="J204" s="97"/>
      <c r="K204" s="97"/>
      <c r="L204" s="97"/>
      <c r="M204" s="97"/>
      <c r="N204" s="97"/>
      <c r="O204" s="97"/>
      <c r="P204" s="97"/>
      <c r="Q204" s="97"/>
      <c r="R204" s="97"/>
    </row>
    <row r="205" spans="1:2" ht="21.75" customHeight="1" thickBot="1">
      <c r="A205" s="772">
        <v>3</v>
      </c>
      <c r="B205" s="771" t="s">
        <v>395</v>
      </c>
    </row>
    <row r="206" spans="1:2" s="97" customFormat="1" ht="24" customHeight="1" thickBot="1">
      <c r="A206" s="772">
        <v>4</v>
      </c>
      <c r="B206" s="771" t="s">
        <v>420</v>
      </c>
    </row>
    <row r="207" spans="1:2" ht="64.5" customHeight="1" thickBot="1">
      <c r="A207" s="772">
        <v>5</v>
      </c>
      <c r="B207" s="771" t="s">
        <v>427</v>
      </c>
    </row>
    <row r="208" ht="14.25">
      <c r="B208" s="1"/>
    </row>
    <row r="209" ht="15" thickBot="1">
      <c r="B209" s="1"/>
    </row>
    <row r="210" spans="1:18" ht="24" customHeight="1" thickBot="1">
      <c r="A210" s="114"/>
      <c r="B210" s="115" t="s">
        <v>520</v>
      </c>
      <c r="D210" s="97"/>
      <c r="E210" s="97"/>
      <c r="F210" s="97"/>
      <c r="G210" s="97"/>
      <c r="H210" s="97"/>
      <c r="I210" s="97"/>
      <c r="J210" s="97"/>
      <c r="K210" s="97"/>
      <c r="L210" s="97"/>
      <c r="M210" s="97"/>
      <c r="N210" s="97"/>
      <c r="O210" s="97"/>
      <c r="P210" s="97"/>
      <c r="Q210" s="97"/>
      <c r="R210" s="97"/>
    </row>
    <row r="211" spans="1:18" ht="45" thickBot="1">
      <c r="A211" s="85">
        <v>1</v>
      </c>
      <c r="B211" s="98" t="s">
        <v>606</v>
      </c>
      <c r="D211" s="97"/>
      <c r="E211" s="97"/>
      <c r="F211" s="97"/>
      <c r="G211" s="97"/>
      <c r="H211" s="97"/>
      <c r="I211" s="97"/>
      <c r="J211" s="97"/>
      <c r="K211" s="97"/>
      <c r="L211" s="97"/>
      <c r="M211" s="97"/>
      <c r="N211" s="97"/>
      <c r="O211" s="97"/>
      <c r="P211" s="97"/>
      <c r="Q211" s="97"/>
      <c r="R211" s="97"/>
    </row>
    <row r="212" ht="14.25">
      <c r="B212" s="1"/>
    </row>
    <row r="213" ht="14.25">
      <c r="B213" s="1"/>
    </row>
    <row r="214" ht="14.25">
      <c r="B214" s="1"/>
    </row>
    <row r="215" ht="14.25">
      <c r="B215" s="1"/>
    </row>
    <row r="216" ht="14.25">
      <c r="B216" s="1"/>
    </row>
    <row r="217" ht="14.25">
      <c r="B217" s="1"/>
    </row>
    <row r="218" ht="14.25">
      <c r="B218" s="1"/>
    </row>
    <row r="219" ht="14.25">
      <c r="B219" s="1"/>
    </row>
    <row r="220" ht="14.25">
      <c r="B220" s="1"/>
    </row>
    <row r="221" ht="14.25">
      <c r="B221" s="1"/>
    </row>
    <row r="222" ht="14.25">
      <c r="B222" s="1"/>
    </row>
    <row r="223" ht="14.25">
      <c r="B223" s="1"/>
    </row>
    <row r="224" ht="14.25">
      <c r="B224" s="1"/>
    </row>
    <row r="225" ht="14.25">
      <c r="B225" s="1"/>
    </row>
    <row r="226" ht="14.25">
      <c r="B226" s="1"/>
    </row>
    <row r="227" ht="14.25">
      <c r="B227" s="1"/>
    </row>
    <row r="228" ht="14.25">
      <c r="B228" s="1"/>
    </row>
    <row r="229" ht="14.25">
      <c r="B229" s="1"/>
    </row>
    <row r="230" ht="14.25">
      <c r="B230" s="1"/>
    </row>
    <row r="231" ht="14.25">
      <c r="B231" s="1"/>
    </row>
    <row r="232" ht="14.25">
      <c r="B232" s="1"/>
    </row>
    <row r="233" ht="14.25">
      <c r="B233" s="1"/>
    </row>
    <row r="234" ht="14.25">
      <c r="B234" s="1"/>
    </row>
    <row r="235" ht="14.25">
      <c r="B235" s="1"/>
    </row>
    <row r="236" ht="14.25">
      <c r="B236" s="1"/>
    </row>
    <row r="237" ht="14.25">
      <c r="B237" s="1"/>
    </row>
    <row r="238" ht="14.25">
      <c r="B238" s="1"/>
    </row>
    <row r="239" ht="14.25">
      <c r="B239" s="1"/>
    </row>
    <row r="240" ht="14.25">
      <c r="B240" s="1"/>
    </row>
    <row r="241" ht="14.25">
      <c r="B241" s="1"/>
    </row>
    <row r="242" ht="14.25">
      <c r="B242" s="1"/>
    </row>
    <row r="243" ht="14.25">
      <c r="B243" s="1"/>
    </row>
    <row r="244" ht="14.25">
      <c r="B244" s="1"/>
    </row>
    <row r="245" ht="14.25">
      <c r="B245" s="1"/>
    </row>
    <row r="246" ht="14.25">
      <c r="B246" s="1"/>
    </row>
    <row r="247" ht="14.25">
      <c r="B247" s="1"/>
    </row>
    <row r="248" ht="14.25">
      <c r="B248" s="1"/>
    </row>
    <row r="249" ht="14.25">
      <c r="B249" s="1"/>
    </row>
    <row r="250" ht="14.25">
      <c r="B250" s="1"/>
    </row>
    <row r="251" ht="14.25">
      <c r="B251" s="1"/>
    </row>
    <row r="252" ht="14.25">
      <c r="B252" s="1"/>
    </row>
    <row r="253" ht="14.25">
      <c r="B253" s="1"/>
    </row>
    <row r="254" ht="14.25">
      <c r="B254" s="1"/>
    </row>
    <row r="255" ht="14.25">
      <c r="B255" s="1"/>
    </row>
    <row r="256" ht="14.25">
      <c r="B256" s="1"/>
    </row>
    <row r="257" ht="14.25">
      <c r="B257" s="1"/>
    </row>
    <row r="258" ht="14.25">
      <c r="B258" s="1"/>
    </row>
    <row r="259" ht="14.25">
      <c r="B259" s="1"/>
    </row>
    <row r="260" ht="14.25">
      <c r="B260" s="1"/>
    </row>
    <row r="261" ht="14.25">
      <c r="B261" s="1"/>
    </row>
    <row r="262" ht="14.25">
      <c r="B262" s="1"/>
    </row>
    <row r="263" ht="14.25">
      <c r="B263" s="1"/>
    </row>
    <row r="264" ht="14.25">
      <c r="B264" s="1"/>
    </row>
    <row r="265" ht="14.25">
      <c r="B265" s="1"/>
    </row>
    <row r="266" ht="14.25">
      <c r="B266" s="1"/>
    </row>
    <row r="267" ht="14.25">
      <c r="B267" s="1"/>
    </row>
    <row r="268" ht="14.25">
      <c r="B268" s="1"/>
    </row>
    <row r="269" ht="14.25">
      <c r="B269" s="1"/>
    </row>
    <row r="270" ht="14.25">
      <c r="B270" s="1"/>
    </row>
    <row r="271" ht="14.25">
      <c r="B271" s="1"/>
    </row>
    <row r="272" ht="14.25">
      <c r="B272" s="1"/>
    </row>
    <row r="273" ht="14.25">
      <c r="B273" s="1"/>
    </row>
    <row r="274" ht="14.25">
      <c r="B274" s="1"/>
    </row>
    <row r="275" ht="14.25">
      <c r="B275" s="1"/>
    </row>
    <row r="276" ht="14.25">
      <c r="B276" s="1"/>
    </row>
    <row r="277" ht="14.25">
      <c r="B277" s="1"/>
    </row>
    <row r="278" ht="14.25">
      <c r="B278" s="1"/>
    </row>
  </sheetData>
  <sheetProtection password="CC59" sheet="1" formatColumns="0" formatRows="0"/>
  <mergeCells count="2">
    <mergeCell ref="D186:O186"/>
    <mergeCell ref="A19:A28"/>
  </mergeCells>
  <printOptions/>
  <pageMargins left="0.7" right="0.7" top="0.75" bottom="0.75" header="0.3" footer="0.3"/>
  <pageSetup fitToHeight="0" fitToWidth="1" horizontalDpi="600" verticalDpi="600" orientation="portrait" scale="97" r:id="rId1"/>
  <headerFooter>
    <oddHeader>&amp;C2014 RFP Financial Forms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B19"/>
  <sheetViews>
    <sheetView zoomScalePageLayoutView="0" workbookViewId="0" topLeftCell="A1">
      <selection activeCell="G16" sqref="G16"/>
    </sheetView>
  </sheetViews>
  <sheetFormatPr defaultColWidth="9.140625" defaultRowHeight="12.75"/>
  <cols>
    <col min="1" max="1" width="26.57421875" style="0" bestFit="1" customWidth="1"/>
    <col min="2" max="2" width="9.140625" style="468" customWidth="1"/>
  </cols>
  <sheetData>
    <row r="1" spans="1:2" ht="12.75">
      <c r="A1" t="s">
        <v>323</v>
      </c>
      <c r="B1" s="468">
        <v>0.84</v>
      </c>
    </row>
    <row r="2" spans="1:2" ht="12.75">
      <c r="A2" t="s">
        <v>324</v>
      </c>
      <c r="B2" s="468">
        <v>0.94</v>
      </c>
    </row>
    <row r="3" spans="1:2" ht="12.75">
      <c r="A3" t="s">
        <v>325</v>
      </c>
      <c r="B3" s="468">
        <v>0.89</v>
      </c>
    </row>
    <row r="4" spans="1:2" ht="12.75">
      <c r="A4" t="s">
        <v>326</v>
      </c>
      <c r="B4" s="468">
        <v>0.93</v>
      </c>
    </row>
    <row r="5" spans="1:2" ht="12.75">
      <c r="A5" t="s">
        <v>327</v>
      </c>
      <c r="B5" s="468">
        <v>0.88</v>
      </c>
    </row>
    <row r="6" spans="1:2" ht="12.75">
      <c r="A6" t="s">
        <v>328</v>
      </c>
      <c r="B6" s="468">
        <v>0.92</v>
      </c>
    </row>
    <row r="7" spans="1:2" ht="12.75">
      <c r="A7" t="s">
        <v>329</v>
      </c>
      <c r="B7" s="468">
        <v>0.93</v>
      </c>
    </row>
    <row r="8" spans="1:2" ht="12.75">
      <c r="A8" t="s">
        <v>330</v>
      </c>
      <c r="B8" s="468">
        <v>0.91</v>
      </c>
    </row>
    <row r="9" spans="1:2" ht="12.75">
      <c r="A9" t="s">
        <v>331</v>
      </c>
      <c r="B9" s="468">
        <v>0.72</v>
      </c>
    </row>
    <row r="10" spans="1:2" ht="12.75">
      <c r="A10" t="s">
        <v>332</v>
      </c>
      <c r="B10" s="468">
        <v>0.86</v>
      </c>
    </row>
    <row r="11" spans="1:2" ht="12.75">
      <c r="A11" t="s">
        <v>333</v>
      </c>
      <c r="B11" s="468">
        <v>0.54</v>
      </c>
    </row>
    <row r="12" spans="1:2" ht="12.75">
      <c r="A12" t="s">
        <v>334</v>
      </c>
      <c r="B12" s="468">
        <v>0.44</v>
      </c>
    </row>
    <row r="13" spans="1:2" ht="12.75">
      <c r="A13" t="s">
        <v>335</v>
      </c>
      <c r="B13" s="468">
        <v>0.78</v>
      </c>
    </row>
    <row r="14" spans="1:2" ht="12.75">
      <c r="A14" t="s">
        <v>336</v>
      </c>
      <c r="B14" s="468">
        <v>0.72</v>
      </c>
    </row>
    <row r="15" spans="1:2" ht="12.75">
      <c r="A15" t="s">
        <v>337</v>
      </c>
      <c r="B15" s="468">
        <v>0.93</v>
      </c>
    </row>
    <row r="16" spans="1:2" ht="12.75">
      <c r="A16" t="s">
        <v>338</v>
      </c>
      <c r="B16" s="468">
        <v>0.94</v>
      </c>
    </row>
    <row r="17" spans="1:2" ht="12.75">
      <c r="A17" t="s">
        <v>339</v>
      </c>
      <c r="B17" s="468">
        <v>0.66</v>
      </c>
    </row>
    <row r="18" spans="1:2" ht="12.75">
      <c r="A18" t="s">
        <v>340</v>
      </c>
      <c r="B18" s="468">
        <v>0.44</v>
      </c>
    </row>
    <row r="19" spans="1:2" ht="12.75">
      <c r="A19" s="469" t="s">
        <v>341</v>
      </c>
      <c r="B19" s="468">
        <v>0.83</v>
      </c>
    </row>
  </sheetData>
  <sheetProtection password="CC59" sheet="1"/>
  <printOptions/>
  <pageMargins left="0.7" right="0.7" top="0.75" bottom="0.75"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251"/>
  <sheetViews>
    <sheetView tabSelected="1" zoomScalePageLayoutView="0" workbookViewId="0" topLeftCell="A28">
      <selection activeCell="A31" sqref="A31"/>
    </sheetView>
  </sheetViews>
  <sheetFormatPr defaultColWidth="9.140625" defaultRowHeight="12.75"/>
  <cols>
    <col min="1" max="1" width="79.00390625" style="0" customWidth="1"/>
    <col min="2" max="2" width="17.7109375" style="0" customWidth="1"/>
    <col min="3" max="3" width="12.7109375" style="0" hidden="1" customWidth="1"/>
    <col min="4" max="4" width="1.57421875" style="0" customWidth="1"/>
    <col min="5" max="5" width="15.7109375" style="0" customWidth="1"/>
    <col min="6" max="6" width="1.57421875" style="0" customWidth="1"/>
    <col min="7" max="7" width="15.7109375" style="0" customWidth="1"/>
    <col min="8" max="8" width="1.28515625" style="0" customWidth="1"/>
    <col min="9" max="9" width="15.7109375" style="0" customWidth="1"/>
    <col min="10" max="10" width="1.57421875" style="0" customWidth="1"/>
    <col min="11" max="11" width="15.7109375" style="0" customWidth="1"/>
    <col min="12" max="12" width="1.57421875" style="0" customWidth="1"/>
    <col min="13" max="13" width="15.7109375" style="0" customWidth="1"/>
    <col min="14" max="14" width="1.57421875" style="0" customWidth="1"/>
    <col min="15" max="15" width="15.7109375" style="0" customWidth="1"/>
    <col min="16" max="21" width="9.140625" style="4" customWidth="1"/>
  </cols>
  <sheetData>
    <row r="1" spans="1:15" ht="18.75" thickBot="1">
      <c r="A1" s="1034" t="str">
        <f>'Budget with Assumptions'!$A$2</f>
        <v>Catapult Academy</v>
      </c>
      <c r="B1" s="1035"/>
      <c r="C1" s="93"/>
      <c r="D1" s="93"/>
      <c r="E1" s="93"/>
      <c r="F1" s="93"/>
      <c r="G1" s="92"/>
      <c r="H1" s="92"/>
      <c r="I1" s="92"/>
      <c r="J1" s="92"/>
      <c r="K1" s="73"/>
      <c r="L1" s="73"/>
      <c r="M1" s="73"/>
      <c r="N1" s="73"/>
      <c r="O1" s="73"/>
    </row>
    <row r="2" spans="1:15" ht="19.5" customHeight="1">
      <c r="A2" s="399"/>
      <c r="B2" s="74"/>
      <c r="C2" s="74"/>
      <c r="D2" s="74"/>
      <c r="E2" s="74"/>
      <c r="F2" s="74"/>
      <c r="G2" s="74"/>
      <c r="H2" s="74"/>
      <c r="I2" s="74"/>
      <c r="J2" s="74"/>
      <c r="K2" s="74"/>
      <c r="L2" s="74"/>
      <c r="M2" s="74"/>
      <c r="N2" s="74"/>
      <c r="O2" s="74"/>
    </row>
    <row r="3" spans="1:15" ht="13.5" thickBot="1">
      <c r="A3" s="75"/>
      <c r="B3" s="75"/>
      <c r="C3" s="75"/>
      <c r="D3" s="75"/>
      <c r="E3" s="75"/>
      <c r="F3" s="75"/>
      <c r="G3" s="75"/>
      <c r="H3" s="75"/>
      <c r="I3" s="75"/>
      <c r="J3" s="75"/>
      <c r="K3" s="75"/>
      <c r="L3" s="75"/>
      <c r="M3" s="75"/>
      <c r="N3" s="75"/>
      <c r="O3" s="75"/>
    </row>
    <row r="4" spans="1:15" ht="19.5" customHeight="1" thickBot="1">
      <c r="A4" s="76"/>
      <c r="B4" s="1029" t="s">
        <v>62</v>
      </c>
      <c r="C4" s="1030"/>
      <c r="D4" s="1030"/>
      <c r="E4" s="1030"/>
      <c r="F4" s="1030"/>
      <c r="G4" s="1030"/>
      <c r="H4" s="1030"/>
      <c r="I4" s="1030"/>
      <c r="J4" s="1030"/>
      <c r="K4" s="1030"/>
      <c r="L4" s="1030"/>
      <c r="M4" s="1030"/>
      <c r="N4" s="1030"/>
      <c r="O4" s="1031"/>
    </row>
    <row r="5" spans="1:15" ht="32.25" customHeight="1" thickBot="1">
      <c r="A5" s="449"/>
      <c r="B5" s="285"/>
      <c r="C5" s="286"/>
      <c r="D5" s="1029" t="s">
        <v>172</v>
      </c>
      <c r="E5" s="1030"/>
      <c r="F5" s="1030"/>
      <c r="G5" s="1030"/>
      <c r="H5" s="1030"/>
      <c r="I5" s="1030"/>
      <c r="J5" s="1030"/>
      <c r="K5" s="1030"/>
      <c r="L5" s="1030"/>
      <c r="M5" s="1030"/>
      <c r="N5" s="1030"/>
      <c r="O5" s="1031"/>
    </row>
    <row r="6" spans="1:15" ht="40.5" customHeight="1" thickBot="1">
      <c r="A6" s="993" t="s">
        <v>587</v>
      </c>
      <c r="B6" s="822"/>
      <c r="C6" s="823"/>
      <c r="D6" s="824"/>
      <c r="E6" s="825" t="s">
        <v>171</v>
      </c>
      <c r="F6" s="826"/>
      <c r="G6" s="398">
        <f>'Budget with Assumptions'!L9</f>
        <v>17</v>
      </c>
      <c r="H6" s="398"/>
      <c r="I6" s="398">
        <f>'Budget with Assumptions'!N9</f>
        <v>18</v>
      </c>
      <c r="J6" s="398"/>
      <c r="K6" s="398">
        <f>'Budget with Assumptions'!P9</f>
        <v>19</v>
      </c>
      <c r="L6" s="398"/>
      <c r="M6" s="398">
        <f>'Budget with Assumptions'!R9</f>
        <v>20</v>
      </c>
      <c r="N6" s="398"/>
      <c r="O6" s="398">
        <f>'Budget with Assumptions'!T9</f>
        <v>21</v>
      </c>
    </row>
    <row r="7" spans="1:15" ht="12.75">
      <c r="A7" s="118" t="s">
        <v>68</v>
      </c>
      <c r="B7" s="796" t="s">
        <v>208</v>
      </c>
      <c r="C7" s="827"/>
      <c r="D7" s="828"/>
      <c r="E7" s="450">
        <v>0</v>
      </c>
      <c r="F7" s="143"/>
      <c r="G7" s="110"/>
      <c r="H7" s="110"/>
      <c r="I7" s="110"/>
      <c r="J7" s="110"/>
      <c r="K7" s="110"/>
      <c r="L7" s="110"/>
      <c r="M7" s="110"/>
      <c r="N7" s="110"/>
      <c r="O7" s="110"/>
    </row>
    <row r="8" spans="1:15" ht="12.75">
      <c r="A8" s="494" t="s">
        <v>69</v>
      </c>
      <c r="B8" s="796" t="s">
        <v>208</v>
      </c>
      <c r="C8" s="827"/>
      <c r="D8" s="121"/>
      <c r="E8" s="450">
        <v>0</v>
      </c>
      <c r="F8" s="120"/>
      <c r="G8" s="120"/>
      <c r="H8" s="120"/>
      <c r="I8" s="120"/>
      <c r="J8" s="120"/>
      <c r="K8" s="120"/>
      <c r="L8" s="120"/>
      <c r="M8" s="120"/>
      <c r="N8" s="120"/>
      <c r="O8" s="120"/>
    </row>
    <row r="9" spans="1:15" ht="12.75">
      <c r="A9" s="494" t="s">
        <v>70</v>
      </c>
      <c r="B9" s="796" t="s">
        <v>208</v>
      </c>
      <c r="C9" s="111"/>
      <c r="D9" s="121"/>
      <c r="E9" s="450">
        <v>0</v>
      </c>
      <c r="F9" s="121"/>
      <c r="G9" s="120"/>
      <c r="H9" s="120"/>
      <c r="I9" s="120"/>
      <c r="J9" s="120"/>
      <c r="K9" s="120"/>
      <c r="L9" s="120"/>
      <c r="M9" s="120"/>
      <c r="N9" s="120"/>
      <c r="O9" s="120"/>
    </row>
    <row r="10" spans="1:15" ht="12.75">
      <c r="A10" s="494" t="s">
        <v>71</v>
      </c>
      <c r="B10" s="796" t="s">
        <v>208</v>
      </c>
      <c r="C10" s="827"/>
      <c r="D10" s="121"/>
      <c r="E10" s="450">
        <v>0</v>
      </c>
      <c r="F10" s="120"/>
      <c r="G10" s="120"/>
      <c r="H10" s="120"/>
      <c r="I10" s="120"/>
      <c r="J10" s="120"/>
      <c r="K10" s="120"/>
      <c r="L10" s="120"/>
      <c r="M10" s="120"/>
      <c r="N10" s="120"/>
      <c r="O10" s="120"/>
    </row>
    <row r="11" spans="1:15" ht="12.75">
      <c r="A11" s="494" t="s">
        <v>72</v>
      </c>
      <c r="B11" s="796" t="s">
        <v>208</v>
      </c>
      <c r="C11" s="827"/>
      <c r="D11" s="121"/>
      <c r="E11" s="450">
        <v>0</v>
      </c>
      <c r="F11" s="120"/>
      <c r="G11" s="120"/>
      <c r="H11" s="120"/>
      <c r="I11" s="120"/>
      <c r="J11" s="120"/>
      <c r="K11" s="120"/>
      <c r="L11" s="120"/>
      <c r="M11" s="120"/>
      <c r="N11" s="120"/>
      <c r="O11" s="120"/>
    </row>
    <row r="12" spans="1:21" ht="12.75">
      <c r="A12" s="494" t="s">
        <v>73</v>
      </c>
      <c r="B12" s="796" t="s">
        <v>208</v>
      </c>
      <c r="C12" s="827"/>
      <c r="D12" s="121"/>
      <c r="E12" s="450">
        <v>0</v>
      </c>
      <c r="F12" s="120"/>
      <c r="G12" s="120"/>
      <c r="H12" s="120"/>
      <c r="I12" s="120"/>
      <c r="J12" s="120"/>
      <c r="K12" s="120"/>
      <c r="L12" s="120"/>
      <c r="M12" s="120"/>
      <c r="N12" s="120"/>
      <c r="O12" s="120"/>
      <c r="P12"/>
      <c r="Q12"/>
      <c r="R12"/>
      <c r="S12"/>
      <c r="T12"/>
      <c r="U12"/>
    </row>
    <row r="13" spans="1:21" ht="12.75">
      <c r="A13" s="494" t="s">
        <v>74</v>
      </c>
      <c r="B13" s="796" t="s">
        <v>208</v>
      </c>
      <c r="C13" s="827"/>
      <c r="D13" s="121"/>
      <c r="E13" s="450">
        <v>0</v>
      </c>
      <c r="F13" s="120"/>
      <c r="G13" s="120"/>
      <c r="H13" s="120"/>
      <c r="I13" s="120"/>
      <c r="J13" s="120"/>
      <c r="K13" s="120"/>
      <c r="L13" s="120"/>
      <c r="M13" s="120"/>
      <c r="N13" s="120"/>
      <c r="O13" s="120"/>
      <c r="P13"/>
      <c r="Q13"/>
      <c r="R13"/>
      <c r="S13"/>
      <c r="T13"/>
      <c r="U13"/>
    </row>
    <row r="14" spans="1:21" ht="12.75">
      <c r="A14" s="494" t="s">
        <v>75</v>
      </c>
      <c r="B14" s="796" t="s">
        <v>208</v>
      </c>
      <c r="C14" s="827"/>
      <c r="D14" s="121"/>
      <c r="E14" s="450">
        <v>0</v>
      </c>
      <c r="F14" s="120"/>
      <c r="G14" s="120"/>
      <c r="H14" s="120"/>
      <c r="I14" s="120"/>
      <c r="J14" s="120"/>
      <c r="K14" s="120"/>
      <c r="L14" s="120"/>
      <c r="M14" s="120"/>
      <c r="N14" s="120"/>
      <c r="O14" s="120"/>
      <c r="P14"/>
      <c r="Q14"/>
      <c r="R14"/>
      <c r="S14"/>
      <c r="T14"/>
      <c r="U14"/>
    </row>
    <row r="15" spans="1:21" ht="12.75">
      <c r="A15" s="494" t="s">
        <v>76</v>
      </c>
      <c r="B15" s="796" t="s">
        <v>208</v>
      </c>
      <c r="C15" s="827"/>
      <c r="D15" s="121"/>
      <c r="E15" s="450">
        <v>0</v>
      </c>
      <c r="F15" s="120"/>
      <c r="G15" s="120"/>
      <c r="H15" s="120"/>
      <c r="I15" s="120"/>
      <c r="J15" s="120"/>
      <c r="K15" s="120"/>
      <c r="L15" s="120"/>
      <c r="M15" s="120"/>
      <c r="N15" s="120"/>
      <c r="O15" s="120"/>
      <c r="P15"/>
      <c r="Q15"/>
      <c r="R15"/>
      <c r="S15"/>
      <c r="T15"/>
      <c r="U15"/>
    </row>
    <row r="16" spans="1:21" ht="12.75">
      <c r="A16" s="119" t="s">
        <v>77</v>
      </c>
      <c r="B16" s="796" t="s">
        <v>208</v>
      </c>
      <c r="C16" s="827"/>
      <c r="D16" s="121"/>
      <c r="E16" s="450">
        <v>0</v>
      </c>
      <c r="F16" s="120"/>
      <c r="G16" s="120"/>
      <c r="H16" s="120"/>
      <c r="I16" s="120"/>
      <c r="J16" s="120"/>
      <c r="K16" s="120"/>
      <c r="L16" s="120"/>
      <c r="M16" s="120"/>
      <c r="N16" s="120"/>
      <c r="O16" s="120"/>
      <c r="P16"/>
      <c r="Q16"/>
      <c r="R16"/>
      <c r="S16"/>
      <c r="T16"/>
      <c r="U16"/>
    </row>
    <row r="17" spans="1:21" ht="12.75">
      <c r="A17" s="119" t="s">
        <v>78</v>
      </c>
      <c r="B17" s="796" t="s">
        <v>208</v>
      </c>
      <c r="C17" s="827"/>
      <c r="D17" s="121"/>
      <c r="E17" s="450">
        <v>0</v>
      </c>
      <c r="F17" s="120"/>
      <c r="G17" s="120"/>
      <c r="H17" s="120"/>
      <c r="I17" s="120"/>
      <c r="J17" s="120"/>
      <c r="K17" s="120"/>
      <c r="L17" s="120"/>
      <c r="M17" s="120"/>
      <c r="N17" s="120"/>
      <c r="O17" s="120"/>
      <c r="P17"/>
      <c r="Q17"/>
      <c r="R17"/>
      <c r="S17"/>
      <c r="T17"/>
      <c r="U17"/>
    </row>
    <row r="18" spans="1:21" ht="12.75">
      <c r="A18" s="119" t="s">
        <v>79</v>
      </c>
      <c r="B18" s="796" t="s">
        <v>208</v>
      </c>
      <c r="C18" s="827"/>
      <c r="D18" s="121"/>
      <c r="E18" s="450">
        <v>0</v>
      </c>
      <c r="F18" s="120"/>
      <c r="G18" s="120"/>
      <c r="H18" s="120"/>
      <c r="I18" s="120"/>
      <c r="J18" s="120"/>
      <c r="K18" s="120"/>
      <c r="L18" s="120"/>
      <c r="M18" s="120"/>
      <c r="N18" s="120"/>
      <c r="O18" s="120"/>
      <c r="P18"/>
      <c r="Q18"/>
      <c r="R18"/>
      <c r="S18"/>
      <c r="T18"/>
      <c r="U18"/>
    </row>
    <row r="19" spans="1:21" ht="12.75">
      <c r="A19" s="118" t="s">
        <v>80</v>
      </c>
      <c r="B19" s="796" t="s">
        <v>208</v>
      </c>
      <c r="C19" s="827"/>
      <c r="D19" s="121"/>
      <c r="E19" s="450">
        <v>0</v>
      </c>
      <c r="F19" s="120"/>
      <c r="G19" s="120"/>
      <c r="H19" s="120"/>
      <c r="I19" s="120"/>
      <c r="J19" s="120"/>
      <c r="K19" s="120"/>
      <c r="L19" s="120"/>
      <c r="M19" s="120"/>
      <c r="N19" s="120"/>
      <c r="O19" s="120"/>
      <c r="P19"/>
      <c r="Q19"/>
      <c r="R19"/>
      <c r="S19"/>
      <c r="T19"/>
      <c r="U19"/>
    </row>
    <row r="20" spans="1:21" ht="12.75">
      <c r="A20" s="119" t="s">
        <v>33</v>
      </c>
      <c r="B20" s="796" t="s">
        <v>208</v>
      </c>
      <c r="C20" s="827"/>
      <c r="D20" s="121"/>
      <c r="E20" s="450">
        <v>0</v>
      </c>
      <c r="F20" s="120"/>
      <c r="G20" s="120"/>
      <c r="H20" s="120"/>
      <c r="I20" s="120"/>
      <c r="J20" s="120"/>
      <c r="K20" s="120"/>
      <c r="L20" s="120"/>
      <c r="M20" s="120"/>
      <c r="N20" s="120"/>
      <c r="O20" s="120"/>
      <c r="P20"/>
      <c r="Q20"/>
      <c r="R20"/>
      <c r="S20"/>
      <c r="T20"/>
      <c r="U20"/>
    </row>
    <row r="21" spans="1:21" ht="12.75">
      <c r="A21" s="118" t="s">
        <v>34</v>
      </c>
      <c r="B21" s="796" t="s">
        <v>208</v>
      </c>
      <c r="C21" s="111"/>
      <c r="D21" s="121"/>
      <c r="E21" s="450">
        <v>0</v>
      </c>
      <c r="F21" s="121"/>
      <c r="G21" s="120"/>
      <c r="H21" s="120"/>
      <c r="I21" s="120"/>
      <c r="J21" s="120"/>
      <c r="K21" s="120"/>
      <c r="L21" s="120"/>
      <c r="M21" s="120"/>
      <c r="N21" s="120"/>
      <c r="O21" s="120"/>
      <c r="P21"/>
      <c r="Q21"/>
      <c r="R21"/>
      <c r="S21"/>
      <c r="T21"/>
      <c r="U21"/>
    </row>
    <row r="22" spans="1:21" ht="12.75">
      <c r="A22" s="135" t="s">
        <v>270</v>
      </c>
      <c r="B22" s="796" t="s">
        <v>208</v>
      </c>
      <c r="C22" s="111"/>
      <c r="D22" s="121"/>
      <c r="E22" s="450">
        <v>0</v>
      </c>
      <c r="F22" s="121"/>
      <c r="G22" s="120"/>
      <c r="H22" s="120"/>
      <c r="I22" s="120"/>
      <c r="J22" s="120"/>
      <c r="K22" s="120"/>
      <c r="L22" s="120"/>
      <c r="M22" s="120"/>
      <c r="N22" s="120"/>
      <c r="O22" s="120"/>
      <c r="P22"/>
      <c r="Q22"/>
      <c r="R22"/>
      <c r="S22"/>
      <c r="T22"/>
      <c r="U22"/>
    </row>
    <row r="23" spans="1:21" ht="12.75">
      <c r="A23" s="118" t="s">
        <v>264</v>
      </c>
      <c r="B23" s="796" t="s">
        <v>208</v>
      </c>
      <c r="C23" s="111"/>
      <c r="D23" s="121"/>
      <c r="E23" s="450">
        <v>0</v>
      </c>
      <c r="F23" s="121"/>
      <c r="G23" s="120"/>
      <c r="H23" s="120"/>
      <c r="I23" s="120"/>
      <c r="J23" s="120"/>
      <c r="K23" s="120"/>
      <c r="L23" s="120"/>
      <c r="M23" s="120"/>
      <c r="N23" s="120"/>
      <c r="O23" s="120"/>
      <c r="P23"/>
      <c r="Q23"/>
      <c r="R23"/>
      <c r="S23"/>
      <c r="T23"/>
      <c r="U23"/>
    </row>
    <row r="24" spans="1:21" ht="12.75">
      <c r="A24" s="118" t="s">
        <v>265</v>
      </c>
      <c r="B24" s="796" t="s">
        <v>208</v>
      </c>
      <c r="C24" s="111"/>
      <c r="D24" s="121"/>
      <c r="E24" s="450">
        <v>0</v>
      </c>
      <c r="F24" s="121"/>
      <c r="G24" s="120"/>
      <c r="H24" s="120"/>
      <c r="I24" s="120"/>
      <c r="J24" s="120"/>
      <c r="K24" s="120"/>
      <c r="L24" s="120"/>
      <c r="M24" s="120"/>
      <c r="N24" s="120"/>
      <c r="O24" s="120"/>
      <c r="P24"/>
      <c r="Q24"/>
      <c r="R24"/>
      <c r="S24"/>
      <c r="T24"/>
      <c r="U24"/>
    </row>
    <row r="25" spans="1:21" ht="12.75">
      <c r="A25" s="118" t="s">
        <v>271</v>
      </c>
      <c r="B25" s="796" t="s">
        <v>208</v>
      </c>
      <c r="C25" s="111"/>
      <c r="D25" s="121"/>
      <c r="E25" s="450">
        <v>0</v>
      </c>
      <c r="F25" s="121"/>
      <c r="G25" s="120"/>
      <c r="H25" s="120"/>
      <c r="I25" s="120"/>
      <c r="J25" s="120"/>
      <c r="K25" s="120"/>
      <c r="L25" s="120"/>
      <c r="M25" s="120"/>
      <c r="N25" s="120"/>
      <c r="O25" s="120"/>
      <c r="P25"/>
      <c r="Q25"/>
      <c r="R25"/>
      <c r="S25"/>
      <c r="T25"/>
      <c r="U25"/>
    </row>
    <row r="26" spans="1:21" ht="12.75">
      <c r="A26" s="118" t="s">
        <v>266</v>
      </c>
      <c r="B26" s="796" t="s">
        <v>208</v>
      </c>
      <c r="C26" s="111"/>
      <c r="D26" s="121"/>
      <c r="E26" s="450">
        <v>0</v>
      </c>
      <c r="F26" s="121"/>
      <c r="G26" s="120"/>
      <c r="H26" s="120"/>
      <c r="I26" s="120"/>
      <c r="J26" s="120"/>
      <c r="K26" s="120"/>
      <c r="L26" s="120"/>
      <c r="M26" s="120"/>
      <c r="N26" s="120"/>
      <c r="O26" s="120"/>
      <c r="P26"/>
      <c r="Q26"/>
      <c r="R26"/>
      <c r="S26"/>
      <c r="T26"/>
      <c r="U26"/>
    </row>
    <row r="27" spans="1:21" ht="12.75">
      <c r="A27" s="118" t="s">
        <v>267</v>
      </c>
      <c r="B27" s="796" t="s">
        <v>208</v>
      </c>
      <c r="C27" s="111"/>
      <c r="D27" s="121"/>
      <c r="E27" s="450">
        <v>0</v>
      </c>
      <c r="F27" s="121"/>
      <c r="G27" s="120"/>
      <c r="H27" s="120"/>
      <c r="I27" s="120"/>
      <c r="J27" s="120"/>
      <c r="K27" s="120"/>
      <c r="L27" s="120"/>
      <c r="M27" s="120"/>
      <c r="N27" s="120"/>
      <c r="O27" s="120"/>
      <c r="P27"/>
      <c r="Q27"/>
      <c r="R27"/>
      <c r="S27"/>
      <c r="T27"/>
      <c r="U27"/>
    </row>
    <row r="28" spans="1:21" ht="12.75">
      <c r="A28" s="119" t="s">
        <v>268</v>
      </c>
      <c r="B28" s="796" t="s">
        <v>208</v>
      </c>
      <c r="C28" s="827"/>
      <c r="D28" s="121"/>
      <c r="E28" s="450">
        <v>0</v>
      </c>
      <c r="F28" s="120"/>
      <c r="G28" s="120"/>
      <c r="H28" s="120"/>
      <c r="I28" s="120"/>
      <c r="J28" s="120"/>
      <c r="K28" s="120"/>
      <c r="L28" s="120"/>
      <c r="M28" s="120"/>
      <c r="N28" s="120"/>
      <c r="O28" s="120"/>
      <c r="P28"/>
      <c r="Q28"/>
      <c r="R28"/>
      <c r="S28"/>
      <c r="T28"/>
      <c r="U28"/>
    </row>
    <row r="29" spans="1:21" ht="13.5" thickBot="1">
      <c r="A29" s="119" t="s">
        <v>269</v>
      </c>
      <c r="B29" s="796" t="s">
        <v>208</v>
      </c>
      <c r="C29" s="829"/>
      <c r="D29" s="830"/>
      <c r="E29" s="450">
        <v>0</v>
      </c>
      <c r="F29" s="149"/>
      <c r="G29" s="150"/>
      <c r="H29" s="150"/>
      <c r="I29" s="120"/>
      <c r="J29" s="150"/>
      <c r="K29" s="120"/>
      <c r="L29" s="150"/>
      <c r="M29" s="120"/>
      <c r="N29" s="150"/>
      <c r="O29" s="120"/>
      <c r="P29"/>
      <c r="Q29"/>
      <c r="R29"/>
      <c r="S29"/>
      <c r="T29"/>
      <c r="U29"/>
    </row>
    <row r="30" spans="1:21" ht="48" customHeight="1" thickBot="1">
      <c r="A30" s="397" t="s">
        <v>588</v>
      </c>
      <c r="B30" s="405"/>
      <c r="C30" s="518"/>
      <c r="D30" s="518"/>
      <c r="E30" s="825" t="str">
        <f>E6</f>
        <v>Incubation Year</v>
      </c>
      <c r="F30" s="826"/>
      <c r="G30" s="398">
        <f>G6</f>
        <v>17</v>
      </c>
      <c r="H30" s="398"/>
      <c r="I30" s="398">
        <f>I6</f>
        <v>18</v>
      </c>
      <c r="J30" s="398"/>
      <c r="K30" s="398">
        <f>K6</f>
        <v>19</v>
      </c>
      <c r="L30" s="398"/>
      <c r="M30" s="398">
        <f>M6</f>
        <v>20</v>
      </c>
      <c r="N30" s="398"/>
      <c r="O30" s="398">
        <f>O6</f>
        <v>21</v>
      </c>
      <c r="P30"/>
      <c r="Q30"/>
      <c r="R30"/>
      <c r="S30"/>
      <c r="T30"/>
      <c r="U30"/>
    </row>
    <row r="31" spans="1:21" ht="12.75">
      <c r="A31" s="136" t="s">
        <v>51</v>
      </c>
      <c r="B31" s="796" t="s">
        <v>208</v>
      </c>
      <c r="C31" s="151"/>
      <c r="D31" s="143"/>
      <c r="E31" s="143">
        <v>0</v>
      </c>
      <c r="F31" s="143"/>
      <c r="G31" s="143">
        <v>2</v>
      </c>
      <c r="H31" s="143"/>
      <c r="I31" s="143">
        <v>3.5</v>
      </c>
      <c r="J31" s="143"/>
      <c r="K31" s="143">
        <v>5</v>
      </c>
      <c r="L31" s="143"/>
      <c r="M31" s="143">
        <v>5</v>
      </c>
      <c r="N31" s="143"/>
      <c r="O31" s="143">
        <v>5</v>
      </c>
      <c r="P31"/>
      <c r="Q31"/>
      <c r="R31"/>
      <c r="S31"/>
      <c r="T31"/>
      <c r="U31"/>
    </row>
    <row r="32" spans="1:21" ht="12.75">
      <c r="A32" s="495" t="s">
        <v>81</v>
      </c>
      <c r="B32" s="796" t="s">
        <v>208</v>
      </c>
      <c r="C32" s="77"/>
      <c r="D32" s="110"/>
      <c r="E32" s="143"/>
      <c r="F32" s="110"/>
      <c r="G32" s="110">
        <v>1.33</v>
      </c>
      <c r="H32" s="110"/>
      <c r="I32" s="110">
        <v>2.33</v>
      </c>
      <c r="J32" s="110"/>
      <c r="K32" s="110">
        <v>3.33</v>
      </c>
      <c r="L32" s="110"/>
      <c r="M32" s="110">
        <v>3.33</v>
      </c>
      <c r="N32" s="110"/>
      <c r="O32" s="110">
        <v>3.33</v>
      </c>
      <c r="P32"/>
      <c r="Q32"/>
      <c r="R32"/>
      <c r="S32"/>
      <c r="T32"/>
      <c r="U32"/>
    </row>
    <row r="33" spans="1:21" ht="12.75">
      <c r="A33" s="495" t="s">
        <v>82</v>
      </c>
      <c r="B33" s="796" t="s">
        <v>208</v>
      </c>
      <c r="C33" s="77"/>
      <c r="D33" s="110"/>
      <c r="E33" s="143"/>
      <c r="F33" s="110"/>
      <c r="G33" s="110">
        <v>0</v>
      </c>
      <c r="H33" s="110"/>
      <c r="I33" s="110">
        <v>0</v>
      </c>
      <c r="J33" s="110"/>
      <c r="K33" s="110">
        <v>0</v>
      </c>
      <c r="L33" s="110"/>
      <c r="M33" s="110">
        <v>0</v>
      </c>
      <c r="N33" s="110"/>
      <c r="O33" s="110">
        <v>0</v>
      </c>
      <c r="P33"/>
      <c r="Q33"/>
      <c r="R33"/>
      <c r="S33"/>
      <c r="T33"/>
      <c r="U33"/>
    </row>
    <row r="34" spans="1:21" ht="12.75">
      <c r="A34" s="495" t="s">
        <v>71</v>
      </c>
      <c r="B34" s="796" t="s">
        <v>208</v>
      </c>
      <c r="C34" s="77"/>
      <c r="D34" s="110"/>
      <c r="E34" s="143"/>
      <c r="F34" s="110"/>
      <c r="G34" s="110">
        <v>0</v>
      </c>
      <c r="H34" s="110"/>
      <c r="I34" s="110">
        <v>0</v>
      </c>
      <c r="J34" s="110"/>
      <c r="K34" s="110">
        <v>0</v>
      </c>
      <c r="L34" s="110"/>
      <c r="M34" s="110">
        <v>0</v>
      </c>
      <c r="N34" s="110"/>
      <c r="O34" s="110">
        <v>0</v>
      </c>
      <c r="P34"/>
      <c r="Q34"/>
      <c r="R34"/>
      <c r="S34"/>
      <c r="T34"/>
      <c r="U34"/>
    </row>
    <row r="35" spans="1:21" ht="12.75">
      <c r="A35" s="495" t="s">
        <v>72</v>
      </c>
      <c r="B35" s="796" t="s">
        <v>208</v>
      </c>
      <c r="C35" s="77"/>
      <c r="D35" s="110"/>
      <c r="E35" s="143"/>
      <c r="F35" s="110"/>
      <c r="G35" s="110">
        <v>0</v>
      </c>
      <c r="H35" s="110"/>
      <c r="I35" s="110">
        <v>0</v>
      </c>
      <c r="J35" s="110"/>
      <c r="K35" s="110">
        <v>0</v>
      </c>
      <c r="L35" s="110"/>
      <c r="M35" s="110">
        <v>0</v>
      </c>
      <c r="N35" s="110"/>
      <c r="O35" s="110">
        <v>0</v>
      </c>
      <c r="P35"/>
      <c r="Q35"/>
      <c r="R35"/>
      <c r="S35"/>
      <c r="T35"/>
      <c r="U35"/>
    </row>
    <row r="36" spans="1:21" ht="12.75">
      <c r="A36" s="495" t="s">
        <v>73</v>
      </c>
      <c r="B36" s="796" t="s">
        <v>208</v>
      </c>
      <c r="C36" s="77"/>
      <c r="D36" s="110"/>
      <c r="E36" s="143"/>
      <c r="F36" s="110"/>
      <c r="G36" s="110">
        <v>0</v>
      </c>
      <c r="H36" s="110"/>
      <c r="I36" s="110">
        <v>0</v>
      </c>
      <c r="J36" s="110"/>
      <c r="K36" s="110">
        <v>0</v>
      </c>
      <c r="L36" s="110"/>
      <c r="M36" s="110">
        <v>0</v>
      </c>
      <c r="N36" s="110"/>
      <c r="O36" s="110">
        <v>0</v>
      </c>
      <c r="P36"/>
      <c r="Q36"/>
      <c r="R36"/>
      <c r="S36"/>
      <c r="T36"/>
      <c r="U36"/>
    </row>
    <row r="37" spans="1:21" ht="12.75">
      <c r="A37" s="495" t="s">
        <v>74</v>
      </c>
      <c r="B37" s="796" t="s">
        <v>208</v>
      </c>
      <c r="C37" s="77"/>
      <c r="D37" s="110"/>
      <c r="E37" s="143"/>
      <c r="F37" s="110"/>
      <c r="G37" s="110">
        <v>0</v>
      </c>
      <c r="H37" s="110"/>
      <c r="I37" s="110">
        <v>0</v>
      </c>
      <c r="J37" s="110"/>
      <c r="K37" s="110">
        <v>0</v>
      </c>
      <c r="L37" s="110"/>
      <c r="M37" s="110">
        <v>0</v>
      </c>
      <c r="N37" s="110"/>
      <c r="O37" s="110">
        <v>0</v>
      </c>
      <c r="P37"/>
      <c r="Q37"/>
      <c r="R37"/>
      <c r="S37"/>
      <c r="T37"/>
      <c r="U37"/>
    </row>
    <row r="38" spans="1:21" ht="12.75">
      <c r="A38" s="495" t="s">
        <v>75</v>
      </c>
      <c r="B38" s="796" t="s">
        <v>208</v>
      </c>
      <c r="C38" s="77"/>
      <c r="D38" s="110"/>
      <c r="E38" s="143"/>
      <c r="F38" s="110"/>
      <c r="G38" s="110">
        <v>0</v>
      </c>
      <c r="H38" s="110"/>
      <c r="I38" s="110">
        <v>0</v>
      </c>
      <c r="J38" s="110"/>
      <c r="K38" s="110">
        <v>0</v>
      </c>
      <c r="L38" s="110"/>
      <c r="M38" s="110">
        <v>0</v>
      </c>
      <c r="N38" s="110"/>
      <c r="O38" s="110">
        <v>0</v>
      </c>
      <c r="P38"/>
      <c r="Q38"/>
      <c r="R38"/>
      <c r="S38"/>
      <c r="T38"/>
      <c r="U38"/>
    </row>
    <row r="39" spans="1:21" ht="12.75">
      <c r="A39" s="495" t="s">
        <v>76</v>
      </c>
      <c r="B39" s="796" t="s">
        <v>208</v>
      </c>
      <c r="C39" s="77"/>
      <c r="D39" s="110"/>
      <c r="E39" s="143"/>
      <c r="F39" s="110"/>
      <c r="G39" s="110">
        <v>0</v>
      </c>
      <c r="H39" s="110"/>
      <c r="I39" s="110">
        <v>0</v>
      </c>
      <c r="J39" s="110"/>
      <c r="K39" s="110">
        <v>0</v>
      </c>
      <c r="L39" s="110"/>
      <c r="M39" s="110">
        <v>0</v>
      </c>
      <c r="N39" s="110"/>
      <c r="O39" s="110">
        <v>0</v>
      </c>
      <c r="P39"/>
      <c r="Q39"/>
      <c r="R39"/>
      <c r="S39"/>
      <c r="T39"/>
      <c r="U39"/>
    </row>
    <row r="40" spans="1:21" ht="12.75">
      <c r="A40" s="136" t="s">
        <v>627</v>
      </c>
      <c r="B40" s="796" t="s">
        <v>208</v>
      </c>
      <c r="C40" s="77"/>
      <c r="D40" s="110"/>
      <c r="E40" s="143"/>
      <c r="F40" s="110"/>
      <c r="G40" s="110">
        <v>1</v>
      </c>
      <c r="H40" s="110"/>
      <c r="I40" s="110">
        <v>1.75</v>
      </c>
      <c r="J40" s="110"/>
      <c r="K40" s="110">
        <v>2.5</v>
      </c>
      <c r="L40" s="110"/>
      <c r="M40" s="110">
        <v>2.5</v>
      </c>
      <c r="N40" s="110"/>
      <c r="O40" s="110">
        <v>2.5</v>
      </c>
      <c r="P40"/>
      <c r="Q40"/>
      <c r="R40"/>
      <c r="S40"/>
      <c r="T40"/>
      <c r="U40"/>
    </row>
    <row r="41" spans="1:21" ht="12.75">
      <c r="A41" s="136" t="s">
        <v>78</v>
      </c>
      <c r="B41" s="796" t="s">
        <v>208</v>
      </c>
      <c r="C41" s="77"/>
      <c r="D41" s="110"/>
      <c r="E41" s="143"/>
      <c r="F41" s="110"/>
      <c r="G41" s="110">
        <v>0.67</v>
      </c>
      <c r="H41" s="110"/>
      <c r="I41" s="110">
        <v>1.17</v>
      </c>
      <c r="J41" s="110"/>
      <c r="K41" s="110">
        <v>1.67</v>
      </c>
      <c r="L41" s="110"/>
      <c r="M41" s="110">
        <v>1.67</v>
      </c>
      <c r="N41" s="110"/>
      <c r="O41" s="110">
        <v>1.67</v>
      </c>
      <c r="P41"/>
      <c r="Q41"/>
      <c r="R41"/>
      <c r="S41"/>
      <c r="T41"/>
      <c r="U41"/>
    </row>
    <row r="42" spans="1:21" ht="12.75">
      <c r="A42" s="136" t="s">
        <v>626</v>
      </c>
      <c r="B42" s="796" t="s">
        <v>208</v>
      </c>
      <c r="C42" s="77"/>
      <c r="D42" s="110"/>
      <c r="E42" s="143"/>
      <c r="F42" s="110"/>
      <c r="G42" s="110">
        <v>1</v>
      </c>
      <c r="H42" s="110"/>
      <c r="I42" s="110">
        <v>1</v>
      </c>
      <c r="J42" s="110"/>
      <c r="K42" s="110">
        <v>1</v>
      </c>
      <c r="L42" s="110"/>
      <c r="M42" s="110">
        <v>1</v>
      </c>
      <c r="N42" s="110"/>
      <c r="O42" s="110">
        <v>1</v>
      </c>
      <c r="P42"/>
      <c r="Q42"/>
      <c r="R42"/>
      <c r="S42"/>
      <c r="T42"/>
      <c r="U42"/>
    </row>
    <row r="43" spans="1:21" ht="12.75">
      <c r="A43" s="136" t="s">
        <v>33</v>
      </c>
      <c r="B43" s="796" t="s">
        <v>208</v>
      </c>
      <c r="C43" s="77"/>
      <c r="D43" s="110"/>
      <c r="E43" s="143">
        <v>0.25</v>
      </c>
      <c r="F43" s="110"/>
      <c r="G43" s="110">
        <v>1</v>
      </c>
      <c r="H43" s="110"/>
      <c r="I43" s="110">
        <v>1</v>
      </c>
      <c r="J43" s="110"/>
      <c r="K43" s="110">
        <v>1</v>
      </c>
      <c r="L43" s="110"/>
      <c r="M43" s="110">
        <v>1</v>
      </c>
      <c r="N43" s="110"/>
      <c r="O43" s="110">
        <v>1</v>
      </c>
      <c r="P43"/>
      <c r="Q43"/>
      <c r="R43"/>
      <c r="S43"/>
      <c r="T43"/>
      <c r="U43"/>
    </row>
    <row r="44" spans="1:21" ht="12.75">
      <c r="A44" s="136" t="s">
        <v>607</v>
      </c>
      <c r="B44" s="796" t="s">
        <v>208</v>
      </c>
      <c r="C44" s="77"/>
      <c r="D44" s="110"/>
      <c r="E44" s="143">
        <v>0.25</v>
      </c>
      <c r="F44" s="110"/>
      <c r="G44" s="110">
        <v>1</v>
      </c>
      <c r="H44" s="110"/>
      <c r="I44" s="110">
        <v>1</v>
      </c>
      <c r="J44" s="110"/>
      <c r="K44" s="110">
        <v>1</v>
      </c>
      <c r="L44" s="110"/>
      <c r="M44" s="110">
        <v>1</v>
      </c>
      <c r="N44" s="110"/>
      <c r="O44" s="110">
        <v>1</v>
      </c>
      <c r="P44"/>
      <c r="Q44"/>
      <c r="R44"/>
      <c r="S44"/>
      <c r="T44"/>
      <c r="U44"/>
    </row>
    <row r="45" spans="1:21" ht="12.75">
      <c r="A45" s="136" t="s">
        <v>628</v>
      </c>
      <c r="B45" s="796" t="s">
        <v>208</v>
      </c>
      <c r="C45" s="77"/>
      <c r="D45" s="110"/>
      <c r="E45" s="143">
        <v>0.1</v>
      </c>
      <c r="F45" s="110"/>
      <c r="G45" s="110">
        <v>1</v>
      </c>
      <c r="H45" s="110"/>
      <c r="I45" s="110">
        <v>1.17</v>
      </c>
      <c r="J45" s="110"/>
      <c r="K45" s="110">
        <v>1.67</v>
      </c>
      <c r="L45" s="110"/>
      <c r="M45" s="110">
        <v>1.67</v>
      </c>
      <c r="N45" s="110"/>
      <c r="O45" s="110">
        <v>1.67</v>
      </c>
      <c r="P45"/>
      <c r="Q45"/>
      <c r="R45"/>
      <c r="S45"/>
      <c r="T45"/>
      <c r="U45"/>
    </row>
    <row r="46" spans="1:21" ht="12.75">
      <c r="A46" s="136" t="s">
        <v>54</v>
      </c>
      <c r="B46" s="796" t="s">
        <v>208</v>
      </c>
      <c r="C46" s="77"/>
      <c r="D46" s="110"/>
      <c r="E46" s="143"/>
      <c r="F46" s="110"/>
      <c r="G46" s="110">
        <v>0.5</v>
      </c>
      <c r="H46" s="110"/>
      <c r="I46" s="110">
        <v>1</v>
      </c>
      <c r="J46" s="110"/>
      <c r="K46" s="110">
        <v>1</v>
      </c>
      <c r="L46" s="110"/>
      <c r="M46" s="110">
        <v>1</v>
      </c>
      <c r="N46" s="110"/>
      <c r="O46" s="110">
        <v>1</v>
      </c>
      <c r="P46"/>
      <c r="Q46"/>
      <c r="R46"/>
      <c r="S46"/>
      <c r="T46"/>
      <c r="U46"/>
    </row>
    <row r="47" spans="1:21" ht="12.75">
      <c r="A47" s="136" t="s">
        <v>35</v>
      </c>
      <c r="B47" s="796" t="s">
        <v>208</v>
      </c>
      <c r="C47" s="77"/>
      <c r="D47" s="110"/>
      <c r="E47" s="143"/>
      <c r="F47" s="110"/>
      <c r="G47" s="110">
        <v>1</v>
      </c>
      <c r="H47" s="110"/>
      <c r="I47" s="110">
        <v>1</v>
      </c>
      <c r="J47" s="110"/>
      <c r="K47" s="110">
        <v>1</v>
      </c>
      <c r="L47" s="110"/>
      <c r="M47" s="110">
        <v>1</v>
      </c>
      <c r="N47" s="110"/>
      <c r="O47" s="110">
        <v>1</v>
      </c>
      <c r="P47"/>
      <c r="Q47"/>
      <c r="R47"/>
      <c r="S47"/>
      <c r="T47"/>
      <c r="U47"/>
    </row>
    <row r="48" spans="1:21" ht="12.75">
      <c r="A48" s="136" t="s">
        <v>608</v>
      </c>
      <c r="B48" s="796" t="s">
        <v>208</v>
      </c>
      <c r="C48" s="77"/>
      <c r="D48" s="110"/>
      <c r="E48" s="143"/>
      <c r="F48" s="110"/>
      <c r="G48" s="110">
        <v>1</v>
      </c>
      <c r="H48" s="110"/>
      <c r="I48" s="110">
        <v>1</v>
      </c>
      <c r="J48" s="110"/>
      <c r="K48" s="110">
        <v>1</v>
      </c>
      <c r="L48" s="110"/>
      <c r="M48" s="110">
        <v>1</v>
      </c>
      <c r="N48" s="110"/>
      <c r="O48" s="110">
        <v>1</v>
      </c>
      <c r="P48"/>
      <c r="Q48"/>
      <c r="R48"/>
      <c r="S48"/>
      <c r="T48"/>
      <c r="U48"/>
    </row>
    <row r="49" spans="1:21" ht="12.75">
      <c r="A49" s="136" t="s">
        <v>83</v>
      </c>
      <c r="B49" s="796" t="s">
        <v>208</v>
      </c>
      <c r="C49" s="77"/>
      <c r="D49" s="110"/>
      <c r="E49" s="143"/>
      <c r="F49" s="110"/>
      <c r="G49" s="110">
        <v>1</v>
      </c>
      <c r="H49" s="110"/>
      <c r="I49" s="110">
        <v>1</v>
      </c>
      <c r="J49" s="110"/>
      <c r="K49" s="110">
        <v>1</v>
      </c>
      <c r="L49" s="110"/>
      <c r="M49" s="110">
        <v>1</v>
      </c>
      <c r="N49" s="110"/>
      <c r="O49" s="110">
        <v>1</v>
      </c>
      <c r="P49"/>
      <c r="Q49"/>
      <c r="R49"/>
      <c r="S49"/>
      <c r="T49"/>
      <c r="U49"/>
    </row>
    <row r="50" spans="1:21" ht="12.75">
      <c r="A50" s="139" t="s">
        <v>609</v>
      </c>
      <c r="B50" s="796" t="s">
        <v>208</v>
      </c>
      <c r="C50" s="77"/>
      <c r="D50" s="110"/>
      <c r="E50" s="143"/>
      <c r="F50" s="110"/>
      <c r="G50" s="110">
        <v>0.5</v>
      </c>
      <c r="H50" s="110"/>
      <c r="I50" s="110">
        <v>1</v>
      </c>
      <c r="J50" s="110"/>
      <c r="K50" s="110">
        <v>1</v>
      </c>
      <c r="L50" s="110"/>
      <c r="M50" s="110">
        <v>1</v>
      </c>
      <c r="N50" s="110"/>
      <c r="O50" s="110">
        <v>1</v>
      </c>
      <c r="P50"/>
      <c r="Q50"/>
      <c r="R50"/>
      <c r="S50"/>
      <c r="T50"/>
      <c r="U50"/>
    </row>
    <row r="51" spans="1:21" ht="12.75">
      <c r="A51" s="1024" t="s">
        <v>617</v>
      </c>
      <c r="B51" s="796" t="s">
        <v>208</v>
      </c>
      <c r="C51" s="77"/>
      <c r="D51" s="110"/>
      <c r="E51" s="143"/>
      <c r="F51" s="110"/>
      <c r="G51" s="110">
        <v>0.5</v>
      </c>
      <c r="H51" s="110"/>
      <c r="I51" s="110">
        <v>1</v>
      </c>
      <c r="J51" s="110"/>
      <c r="K51" s="110">
        <v>1</v>
      </c>
      <c r="L51" s="110"/>
      <c r="M51" s="110">
        <v>1</v>
      </c>
      <c r="N51" s="110"/>
      <c r="O51" s="110">
        <v>1</v>
      </c>
      <c r="P51"/>
      <c r="Q51"/>
      <c r="R51"/>
      <c r="S51"/>
      <c r="T51"/>
      <c r="U51"/>
    </row>
    <row r="52" spans="1:21" ht="12.75">
      <c r="A52" s="78" t="s">
        <v>629</v>
      </c>
      <c r="B52" s="796" t="s">
        <v>208</v>
      </c>
      <c r="C52" s="77"/>
      <c r="D52" s="110"/>
      <c r="E52" s="143"/>
      <c r="F52" s="110"/>
      <c r="G52" s="110">
        <v>1</v>
      </c>
      <c r="H52" s="110"/>
      <c r="I52" s="110">
        <v>1</v>
      </c>
      <c r="J52" s="110"/>
      <c r="K52" s="110">
        <v>1</v>
      </c>
      <c r="L52" s="110"/>
      <c r="M52" s="110">
        <v>1</v>
      </c>
      <c r="N52" s="110"/>
      <c r="O52" s="110">
        <v>1</v>
      </c>
      <c r="P52"/>
      <c r="Q52"/>
      <c r="R52"/>
      <c r="S52"/>
      <c r="T52"/>
      <c r="U52"/>
    </row>
    <row r="53" spans="1:21" ht="12.75">
      <c r="A53" s="78" t="s">
        <v>276</v>
      </c>
      <c r="B53" s="796" t="s">
        <v>208</v>
      </c>
      <c r="C53" s="77"/>
      <c r="D53" s="110"/>
      <c r="E53" s="143"/>
      <c r="F53" s="110"/>
      <c r="G53" s="110"/>
      <c r="H53" s="110"/>
      <c r="I53" s="110"/>
      <c r="J53" s="110"/>
      <c r="K53" s="110"/>
      <c r="L53" s="110"/>
      <c r="M53" s="110"/>
      <c r="N53" s="110"/>
      <c r="O53" s="110"/>
      <c r="P53"/>
      <c r="Q53"/>
      <c r="R53"/>
      <c r="S53"/>
      <c r="T53"/>
      <c r="U53"/>
    </row>
    <row r="54" spans="1:21" ht="12.75">
      <c r="A54" s="78" t="s">
        <v>272</v>
      </c>
      <c r="B54" s="796" t="s">
        <v>208</v>
      </c>
      <c r="C54" s="77"/>
      <c r="D54" s="110"/>
      <c r="E54" s="143"/>
      <c r="F54" s="110"/>
      <c r="G54" s="110"/>
      <c r="H54" s="110"/>
      <c r="I54" s="110"/>
      <c r="J54" s="110"/>
      <c r="K54" s="110"/>
      <c r="L54" s="110"/>
      <c r="M54" s="110"/>
      <c r="N54" s="110"/>
      <c r="O54" s="110"/>
      <c r="P54"/>
      <c r="Q54"/>
      <c r="R54"/>
      <c r="S54"/>
      <c r="T54"/>
      <c r="U54"/>
    </row>
    <row r="55" spans="1:21" ht="12.75">
      <c r="A55" s="133" t="s">
        <v>273</v>
      </c>
      <c r="B55" s="796" t="s">
        <v>208</v>
      </c>
      <c r="C55" s="77"/>
      <c r="D55" s="110"/>
      <c r="E55" s="143"/>
      <c r="F55" s="110"/>
      <c r="G55" s="110"/>
      <c r="H55" s="110"/>
      <c r="I55" s="110"/>
      <c r="J55" s="110"/>
      <c r="K55" s="110"/>
      <c r="L55" s="110"/>
      <c r="M55" s="110"/>
      <c r="N55" s="110"/>
      <c r="O55" s="110"/>
      <c r="P55"/>
      <c r="Q55"/>
      <c r="R55"/>
      <c r="S55"/>
      <c r="T55"/>
      <c r="U55"/>
    </row>
    <row r="56" spans="1:21" ht="12.75">
      <c r="A56" s="134" t="s">
        <v>274</v>
      </c>
      <c r="B56" s="796" t="s">
        <v>208</v>
      </c>
      <c r="C56" s="77"/>
      <c r="D56" s="110"/>
      <c r="E56" s="143"/>
      <c r="F56" s="110"/>
      <c r="G56" s="110"/>
      <c r="H56" s="110"/>
      <c r="I56" s="110"/>
      <c r="J56" s="110"/>
      <c r="K56" s="110"/>
      <c r="L56" s="110"/>
      <c r="M56" s="110"/>
      <c r="N56" s="110"/>
      <c r="O56" s="110"/>
      <c r="P56"/>
      <c r="Q56"/>
      <c r="R56"/>
      <c r="S56"/>
      <c r="T56"/>
      <c r="U56"/>
    </row>
    <row r="57" spans="1:21" ht="12.75">
      <c r="A57" s="155" t="s">
        <v>275</v>
      </c>
      <c r="B57" s="796" t="s">
        <v>208</v>
      </c>
      <c r="C57" s="111"/>
      <c r="D57" s="121"/>
      <c r="E57" s="143"/>
      <c r="F57" s="121"/>
      <c r="G57" s="110"/>
      <c r="H57" s="120"/>
      <c r="I57" s="110"/>
      <c r="J57" s="120"/>
      <c r="K57" s="110"/>
      <c r="L57" s="120"/>
      <c r="M57" s="110"/>
      <c r="N57" s="120"/>
      <c r="O57" s="120"/>
      <c r="P57"/>
      <c r="Q57"/>
      <c r="R57"/>
      <c r="S57"/>
      <c r="T57"/>
      <c r="U57"/>
    </row>
    <row r="58" spans="1:21" ht="23.25" customHeight="1">
      <c r="A58" s="79"/>
      <c r="B58" s="79"/>
      <c r="C58" s="79"/>
      <c r="D58" s="79"/>
      <c r="E58" s="79"/>
      <c r="F58" s="79"/>
      <c r="G58" s="79"/>
      <c r="H58" s="79"/>
      <c r="I58" s="79"/>
      <c r="J58" s="79"/>
      <c r="K58" s="79"/>
      <c r="L58" s="79"/>
      <c r="M58" s="79"/>
      <c r="N58" s="79"/>
      <c r="O58" s="79"/>
      <c r="P58"/>
      <c r="Q58"/>
      <c r="R58"/>
      <c r="S58"/>
      <c r="T58"/>
      <c r="U58"/>
    </row>
    <row r="59" spans="1:21" ht="13.5" thickBot="1">
      <c r="A59" s="74"/>
      <c r="B59" s="74"/>
      <c r="C59" s="74"/>
      <c r="D59" s="74"/>
      <c r="E59" s="74"/>
      <c r="F59" s="74"/>
      <c r="G59" s="74"/>
      <c r="H59" s="74"/>
      <c r="I59" s="74"/>
      <c r="J59" s="74"/>
      <c r="K59" s="74"/>
      <c r="L59" s="74"/>
      <c r="M59" s="74"/>
      <c r="N59" s="74"/>
      <c r="O59" s="74"/>
      <c r="P59"/>
      <c r="Q59"/>
      <c r="R59"/>
      <c r="S59"/>
      <c r="T59"/>
      <c r="U59"/>
    </row>
    <row r="60" spans="1:21" ht="23.25" customHeight="1" thickBot="1">
      <c r="A60" s="80"/>
      <c r="B60" s="1029" t="s">
        <v>63</v>
      </c>
      <c r="C60" s="1030"/>
      <c r="D60" s="1030"/>
      <c r="E60" s="1030"/>
      <c r="F60" s="1030"/>
      <c r="G60" s="1030"/>
      <c r="H60" s="1030"/>
      <c r="I60" s="1030"/>
      <c r="J60" s="1030"/>
      <c r="K60" s="1030"/>
      <c r="L60" s="1030"/>
      <c r="M60" s="1030"/>
      <c r="N60" s="1030"/>
      <c r="O60" s="1031"/>
      <c r="P60"/>
      <c r="Q60"/>
      <c r="R60"/>
      <c r="S60"/>
      <c r="T60"/>
      <c r="U60"/>
    </row>
    <row r="61" spans="1:21" ht="25.5">
      <c r="A61" s="81"/>
      <c r="B61" s="130"/>
      <c r="C61" s="131" t="s">
        <v>50</v>
      </c>
      <c r="D61" s="131"/>
      <c r="E61" s="401" t="str">
        <f>E6</f>
        <v>Incubation Year</v>
      </c>
      <c r="F61" s="402"/>
      <c r="G61" s="403">
        <f>$G$6</f>
        <v>17</v>
      </c>
      <c r="H61" s="403"/>
      <c r="I61" s="403">
        <f>$I$6</f>
        <v>18</v>
      </c>
      <c r="J61" s="403"/>
      <c r="K61" s="403">
        <f>$K$6</f>
        <v>19</v>
      </c>
      <c r="L61" s="403"/>
      <c r="M61" s="403">
        <f>$M$6</f>
        <v>20</v>
      </c>
      <c r="N61" s="403"/>
      <c r="O61" s="403">
        <f>$O$6</f>
        <v>21</v>
      </c>
      <c r="P61"/>
      <c r="Q61"/>
      <c r="R61"/>
      <c r="S61"/>
      <c r="T61"/>
      <c r="U61"/>
    </row>
    <row r="62" spans="1:21" ht="19.5" customHeight="1">
      <c r="A62" s="1032" t="s">
        <v>467</v>
      </c>
      <c r="B62" s="1033"/>
      <c r="C62" s="82"/>
      <c r="D62" s="117"/>
      <c r="E62" s="496" t="s">
        <v>208</v>
      </c>
      <c r="F62" s="117"/>
      <c r="G62" s="117">
        <v>0</v>
      </c>
      <c r="H62" s="117"/>
      <c r="I62" s="117">
        <v>0.03</v>
      </c>
      <c r="J62" s="117"/>
      <c r="K62" s="117">
        <v>0.03</v>
      </c>
      <c r="L62" s="117"/>
      <c r="M62" s="117">
        <v>0.03</v>
      </c>
      <c r="N62" s="117"/>
      <c r="O62" s="117">
        <v>0.03</v>
      </c>
      <c r="P62"/>
      <c r="Q62"/>
      <c r="R62"/>
      <c r="S62"/>
      <c r="T62"/>
      <c r="U62"/>
    </row>
    <row r="63" spans="1:21" ht="13.5" thickBot="1">
      <c r="A63" s="4"/>
      <c r="B63" s="4"/>
      <c r="C63" s="83"/>
      <c r="D63" s="147"/>
      <c r="E63" s="147"/>
      <c r="F63" s="147"/>
      <c r="G63" s="147"/>
      <c r="H63" s="147"/>
      <c r="I63" s="147"/>
      <c r="J63" s="147"/>
      <c r="K63" s="147"/>
      <c r="L63" s="147"/>
      <c r="M63" s="147"/>
      <c r="N63" s="147"/>
      <c r="O63" s="147"/>
      <c r="P63"/>
      <c r="Q63"/>
      <c r="R63"/>
      <c r="S63"/>
      <c r="T63"/>
      <c r="U63"/>
    </row>
    <row r="64" spans="1:21" ht="40.5" customHeight="1" thickBot="1">
      <c r="A64" s="994" t="str">
        <f aca="true" t="shared" si="0" ref="A64:A89">A6</f>
        <v>Positions that Participate in the Chicago Teachers Pension Fund (ALL ALOP Program and Contract School employees do NOT participate in the CTPF):         </v>
      </c>
      <c r="B64" s="398" t="s">
        <v>52</v>
      </c>
      <c r="C64" s="404"/>
      <c r="D64" s="405"/>
      <c r="E64" s="406"/>
      <c r="F64" s="406"/>
      <c r="G64" s="407"/>
      <c r="H64" s="407"/>
      <c r="I64" s="407"/>
      <c r="J64" s="407"/>
      <c r="K64" s="407"/>
      <c r="L64" s="407"/>
      <c r="M64" s="407"/>
      <c r="N64" s="407"/>
      <c r="O64" s="408"/>
      <c r="P64"/>
      <c r="Q64"/>
      <c r="R64"/>
      <c r="S64"/>
      <c r="T64"/>
      <c r="U64"/>
    </row>
    <row r="65" spans="1:21" ht="12.75">
      <c r="A65" s="393" t="str">
        <f t="shared" si="0"/>
        <v>Teachers </v>
      </c>
      <c r="B65" s="142"/>
      <c r="C65" s="84">
        <f aca="true" t="shared" si="1" ref="C65:C73">B65*(1+C$62)</f>
        <v>0</v>
      </c>
      <c r="D65" s="148"/>
      <c r="E65" s="927">
        <v>0</v>
      </c>
      <c r="F65" s="148"/>
      <c r="G65" s="460">
        <f aca="true" t="shared" si="2" ref="G65:G87">C65*(1+G$62)</f>
        <v>0</v>
      </c>
      <c r="H65" s="460"/>
      <c r="I65" s="460">
        <f>G65*(1+I$62)</f>
        <v>0</v>
      </c>
      <c r="J65" s="460"/>
      <c r="K65" s="460">
        <f>I65*(1+K$62)</f>
        <v>0</v>
      </c>
      <c r="L65" s="460"/>
      <c r="M65" s="460">
        <f>K65*(1+M$62)</f>
        <v>0</v>
      </c>
      <c r="N65" s="460"/>
      <c r="O65" s="460">
        <f>M65*(1+O$62)</f>
        <v>0</v>
      </c>
      <c r="P65"/>
      <c r="Q65"/>
      <c r="R65"/>
      <c r="S65"/>
      <c r="T65"/>
      <c r="U65"/>
    </row>
    <row r="66" spans="1:21" ht="12.75">
      <c r="A66" s="497" t="str">
        <f t="shared" si="0"/>
        <v>SPED Teachers (reimbursed by CPS)</v>
      </c>
      <c r="B66" s="140"/>
      <c r="C66" s="84">
        <f t="shared" si="1"/>
        <v>0</v>
      </c>
      <c r="D66" s="137"/>
      <c r="E66" s="927">
        <v>0</v>
      </c>
      <c r="F66" s="281"/>
      <c r="G66" s="460">
        <f t="shared" si="2"/>
        <v>0</v>
      </c>
      <c r="H66" s="460"/>
      <c r="I66" s="460">
        <f aca="true" t="shared" si="3" ref="I66:I87">G66*(1+I$62)</f>
        <v>0</v>
      </c>
      <c r="J66" s="460"/>
      <c r="K66" s="460">
        <f aca="true" t="shared" si="4" ref="K66:K87">I66*(1+K$62)</f>
        <v>0</v>
      </c>
      <c r="L66" s="460"/>
      <c r="M66" s="460">
        <f aca="true" t="shared" si="5" ref="M66:M87">K66*(1+M$62)</f>
        <v>0</v>
      </c>
      <c r="N66" s="460"/>
      <c r="O66" s="460">
        <f aca="true" t="shared" si="6" ref="O66:O87">M66*(1+O$62)</f>
        <v>0</v>
      </c>
      <c r="P66"/>
      <c r="Q66"/>
      <c r="R66"/>
      <c r="S66"/>
      <c r="T66"/>
      <c r="U66"/>
    </row>
    <row r="67" spans="1:21" ht="12.75">
      <c r="A67" s="497" t="str">
        <f t="shared" si="0"/>
        <v>SPED Aides (reimbursed by CPS)</v>
      </c>
      <c r="B67" s="140"/>
      <c r="C67" s="109">
        <f t="shared" si="1"/>
        <v>0</v>
      </c>
      <c r="D67" s="138"/>
      <c r="E67" s="927">
        <v>0</v>
      </c>
      <c r="F67" s="281"/>
      <c r="G67" s="460">
        <f t="shared" si="2"/>
        <v>0</v>
      </c>
      <c r="H67" s="460"/>
      <c r="I67" s="460">
        <f t="shared" si="3"/>
        <v>0</v>
      </c>
      <c r="J67" s="460"/>
      <c r="K67" s="460">
        <f t="shared" si="4"/>
        <v>0</v>
      </c>
      <c r="L67" s="460"/>
      <c r="M67" s="460">
        <f t="shared" si="5"/>
        <v>0</v>
      </c>
      <c r="N67" s="460"/>
      <c r="O67" s="460">
        <f t="shared" si="6"/>
        <v>0</v>
      </c>
      <c r="P67"/>
      <c r="Q67"/>
      <c r="R67"/>
      <c r="S67"/>
      <c r="T67"/>
      <c r="U67"/>
    </row>
    <row r="68" spans="1:21" ht="12.75">
      <c r="A68" s="497" t="str">
        <f t="shared" si="0"/>
        <v>SPED Clinicians-Psychologist (reimbursed by CPS)</v>
      </c>
      <c r="B68" s="140"/>
      <c r="C68" s="84">
        <f t="shared" si="1"/>
        <v>0</v>
      </c>
      <c r="D68" s="137"/>
      <c r="E68" s="927">
        <v>0</v>
      </c>
      <c r="F68" s="281"/>
      <c r="G68" s="460">
        <f t="shared" si="2"/>
        <v>0</v>
      </c>
      <c r="H68" s="460"/>
      <c r="I68" s="460">
        <f t="shared" si="3"/>
        <v>0</v>
      </c>
      <c r="J68" s="460"/>
      <c r="K68" s="460">
        <f t="shared" si="4"/>
        <v>0</v>
      </c>
      <c r="L68" s="460"/>
      <c r="M68" s="460">
        <f t="shared" si="5"/>
        <v>0</v>
      </c>
      <c r="N68" s="460"/>
      <c r="O68" s="460">
        <f t="shared" si="6"/>
        <v>0</v>
      </c>
      <c r="P68"/>
      <c r="Q68"/>
      <c r="R68"/>
      <c r="S68"/>
      <c r="T68"/>
      <c r="U68"/>
    </row>
    <row r="69" spans="1:21" ht="12.75">
      <c r="A69" s="497" t="str">
        <f t="shared" si="0"/>
        <v>SPED Clinicians-Social Worker (reimbursed by CPS)</v>
      </c>
      <c r="B69" s="140"/>
      <c r="C69" s="84">
        <f t="shared" si="1"/>
        <v>0</v>
      </c>
      <c r="D69" s="137"/>
      <c r="E69" s="927">
        <v>0</v>
      </c>
      <c r="F69" s="281"/>
      <c r="G69" s="460">
        <f t="shared" si="2"/>
        <v>0</v>
      </c>
      <c r="H69" s="460"/>
      <c r="I69" s="460">
        <f t="shared" si="3"/>
        <v>0</v>
      </c>
      <c r="J69" s="460"/>
      <c r="K69" s="460">
        <f t="shared" si="4"/>
        <v>0</v>
      </c>
      <c r="L69" s="460"/>
      <c r="M69" s="460">
        <f t="shared" si="5"/>
        <v>0</v>
      </c>
      <c r="N69" s="460"/>
      <c r="O69" s="460">
        <f t="shared" si="6"/>
        <v>0</v>
      </c>
      <c r="P69"/>
      <c r="Q69"/>
      <c r="R69"/>
      <c r="S69"/>
      <c r="T69"/>
      <c r="U69"/>
    </row>
    <row r="70" spans="1:21" ht="12.75">
      <c r="A70" s="497" t="str">
        <f t="shared" si="0"/>
        <v>SPED Clinicians-Speech Therapist (reimbursed by CPS)</v>
      </c>
      <c r="B70" s="140"/>
      <c r="C70" s="84">
        <f t="shared" si="1"/>
        <v>0</v>
      </c>
      <c r="D70" s="137"/>
      <c r="E70" s="927">
        <v>0</v>
      </c>
      <c r="F70" s="281"/>
      <c r="G70" s="460">
        <f t="shared" si="2"/>
        <v>0</v>
      </c>
      <c r="H70" s="460"/>
      <c r="I70" s="460">
        <f t="shared" si="3"/>
        <v>0</v>
      </c>
      <c r="J70" s="460"/>
      <c r="K70" s="460">
        <f t="shared" si="4"/>
        <v>0</v>
      </c>
      <c r="L70" s="460"/>
      <c r="M70" s="460">
        <f t="shared" si="5"/>
        <v>0</v>
      </c>
      <c r="N70" s="460"/>
      <c r="O70" s="460">
        <f t="shared" si="6"/>
        <v>0</v>
      </c>
      <c r="P70"/>
      <c r="Q70"/>
      <c r="R70"/>
      <c r="S70"/>
      <c r="T70"/>
      <c r="U70"/>
    </row>
    <row r="71" spans="1:21" ht="12.75">
      <c r="A71" s="497" t="str">
        <f t="shared" si="0"/>
        <v>SPED Clinicians-Physical Therapist (reimbursed by CPS)</v>
      </c>
      <c r="B71" s="140"/>
      <c r="C71" s="84">
        <f t="shared" si="1"/>
        <v>0</v>
      </c>
      <c r="D71" s="137"/>
      <c r="E71" s="927">
        <v>0</v>
      </c>
      <c r="F71" s="281"/>
      <c r="G71" s="460">
        <f t="shared" si="2"/>
        <v>0</v>
      </c>
      <c r="H71" s="460"/>
      <c r="I71" s="460">
        <f t="shared" si="3"/>
        <v>0</v>
      </c>
      <c r="J71" s="460"/>
      <c r="K71" s="460">
        <f t="shared" si="4"/>
        <v>0</v>
      </c>
      <c r="L71" s="460"/>
      <c r="M71" s="460">
        <f t="shared" si="5"/>
        <v>0</v>
      </c>
      <c r="N71" s="460"/>
      <c r="O71" s="460">
        <f t="shared" si="6"/>
        <v>0</v>
      </c>
      <c r="P71"/>
      <c r="Q71"/>
      <c r="R71"/>
      <c r="S71"/>
      <c r="T71"/>
      <c r="U71"/>
    </row>
    <row r="72" spans="1:21" ht="12.75">
      <c r="A72" s="497" t="str">
        <f t="shared" si="0"/>
        <v>SPED Clinicians-Occupational Therapist (reimbursed by CPS)</v>
      </c>
      <c r="B72" s="140"/>
      <c r="C72" s="84">
        <f t="shared" si="1"/>
        <v>0</v>
      </c>
      <c r="D72" s="137"/>
      <c r="E72" s="927">
        <v>0</v>
      </c>
      <c r="F72" s="281"/>
      <c r="G72" s="460">
        <f t="shared" si="2"/>
        <v>0</v>
      </c>
      <c r="H72" s="460"/>
      <c r="I72" s="460">
        <f t="shared" si="3"/>
        <v>0</v>
      </c>
      <c r="J72" s="460"/>
      <c r="K72" s="460">
        <f t="shared" si="4"/>
        <v>0</v>
      </c>
      <c r="L72" s="460"/>
      <c r="M72" s="460">
        <f t="shared" si="5"/>
        <v>0</v>
      </c>
      <c r="N72" s="460"/>
      <c r="O72" s="460">
        <f t="shared" si="6"/>
        <v>0</v>
      </c>
      <c r="P72"/>
      <c r="Q72"/>
      <c r="R72"/>
      <c r="S72"/>
      <c r="T72"/>
      <c r="U72"/>
    </row>
    <row r="73" spans="1:21" ht="12.75" customHeight="1">
      <c r="A73" s="497" t="str">
        <f t="shared" si="0"/>
        <v>SPED Clinicians-Nurse (reimbursed by CPS)</v>
      </c>
      <c r="B73" s="140"/>
      <c r="C73" s="109">
        <f t="shared" si="1"/>
        <v>0</v>
      </c>
      <c r="D73" s="138"/>
      <c r="E73" s="927">
        <v>0</v>
      </c>
      <c r="F73" s="281"/>
      <c r="G73" s="460">
        <f t="shared" si="2"/>
        <v>0</v>
      </c>
      <c r="H73" s="460"/>
      <c r="I73" s="460">
        <f t="shared" si="3"/>
        <v>0</v>
      </c>
      <c r="J73" s="460"/>
      <c r="K73" s="460">
        <f t="shared" si="4"/>
        <v>0</v>
      </c>
      <c r="L73" s="460"/>
      <c r="M73" s="460">
        <f t="shared" si="5"/>
        <v>0</v>
      </c>
      <c r="N73" s="460"/>
      <c r="O73" s="460">
        <f t="shared" si="6"/>
        <v>0</v>
      </c>
      <c r="P73"/>
      <c r="Q73"/>
      <c r="R73"/>
      <c r="S73"/>
      <c r="T73"/>
      <c r="U73"/>
    </row>
    <row r="74" spans="1:21" ht="12.75">
      <c r="A74" s="393" t="str">
        <f t="shared" si="0"/>
        <v>Teachers Aides</v>
      </c>
      <c r="B74" s="140"/>
      <c r="C74" s="84">
        <f aca="true" t="shared" si="7" ref="C74:C87">B74*(1+C$62)</f>
        <v>0</v>
      </c>
      <c r="D74" s="137"/>
      <c r="E74" s="927">
        <v>0</v>
      </c>
      <c r="F74" s="281"/>
      <c r="G74" s="460">
        <f t="shared" si="2"/>
        <v>0</v>
      </c>
      <c r="H74" s="460"/>
      <c r="I74" s="460">
        <f t="shared" si="3"/>
        <v>0</v>
      </c>
      <c r="J74" s="460"/>
      <c r="K74" s="460">
        <f t="shared" si="4"/>
        <v>0</v>
      </c>
      <c r="L74" s="460"/>
      <c r="M74" s="460">
        <f t="shared" si="5"/>
        <v>0</v>
      </c>
      <c r="N74" s="460"/>
      <c r="O74" s="460">
        <f t="shared" si="6"/>
        <v>0</v>
      </c>
      <c r="P74"/>
      <c r="Q74"/>
      <c r="R74"/>
      <c r="S74"/>
      <c r="T74"/>
      <c r="U74"/>
    </row>
    <row r="75" spans="1:21" ht="12.75">
      <c r="A75" s="393" t="str">
        <f t="shared" si="0"/>
        <v>Counselors</v>
      </c>
      <c r="B75" s="140"/>
      <c r="C75" s="84">
        <f t="shared" si="7"/>
        <v>0</v>
      </c>
      <c r="D75" s="137"/>
      <c r="E75" s="927">
        <v>0</v>
      </c>
      <c r="F75" s="281"/>
      <c r="G75" s="460">
        <f t="shared" si="2"/>
        <v>0</v>
      </c>
      <c r="H75" s="460"/>
      <c r="I75" s="460">
        <f t="shared" si="3"/>
        <v>0</v>
      </c>
      <c r="J75" s="460"/>
      <c r="K75" s="460">
        <f t="shared" si="4"/>
        <v>0</v>
      </c>
      <c r="L75" s="460"/>
      <c r="M75" s="460">
        <f t="shared" si="5"/>
        <v>0</v>
      </c>
      <c r="N75" s="460"/>
      <c r="O75" s="460">
        <f t="shared" si="6"/>
        <v>0</v>
      </c>
      <c r="P75"/>
      <c r="Q75"/>
      <c r="R75"/>
      <c r="S75"/>
      <c r="T75"/>
      <c r="U75"/>
    </row>
    <row r="76" spans="1:21" ht="12.75">
      <c r="A76" s="393" t="str">
        <f t="shared" si="0"/>
        <v>Librarians</v>
      </c>
      <c r="B76" s="140"/>
      <c r="C76" s="84">
        <f t="shared" si="7"/>
        <v>0</v>
      </c>
      <c r="D76" s="137"/>
      <c r="E76" s="927">
        <v>0</v>
      </c>
      <c r="F76" s="281"/>
      <c r="G76" s="460">
        <f t="shared" si="2"/>
        <v>0</v>
      </c>
      <c r="H76" s="460"/>
      <c r="I76" s="460">
        <f t="shared" si="3"/>
        <v>0</v>
      </c>
      <c r="J76" s="460"/>
      <c r="K76" s="460">
        <f t="shared" si="4"/>
        <v>0</v>
      </c>
      <c r="L76" s="460"/>
      <c r="M76" s="460">
        <f t="shared" si="5"/>
        <v>0</v>
      </c>
      <c r="N76" s="460"/>
      <c r="O76" s="460">
        <f t="shared" si="6"/>
        <v>0</v>
      </c>
      <c r="P76"/>
      <c r="Q76"/>
      <c r="R76"/>
      <c r="S76"/>
      <c r="T76"/>
      <c r="U76"/>
    </row>
    <row r="77" spans="1:21" ht="12.75">
      <c r="A77" s="393" t="str">
        <f t="shared" si="0"/>
        <v>Deans</v>
      </c>
      <c r="B77" s="140"/>
      <c r="C77" s="84">
        <f t="shared" si="7"/>
        <v>0</v>
      </c>
      <c r="D77" s="137"/>
      <c r="E77" s="927">
        <v>0</v>
      </c>
      <c r="F77" s="281"/>
      <c r="G77" s="460">
        <f t="shared" si="2"/>
        <v>0</v>
      </c>
      <c r="H77" s="460"/>
      <c r="I77" s="460">
        <f t="shared" si="3"/>
        <v>0</v>
      </c>
      <c r="J77" s="460"/>
      <c r="K77" s="460">
        <f t="shared" si="4"/>
        <v>0</v>
      </c>
      <c r="L77" s="460"/>
      <c r="M77" s="460">
        <f t="shared" si="5"/>
        <v>0</v>
      </c>
      <c r="N77" s="460"/>
      <c r="O77" s="460">
        <f t="shared" si="6"/>
        <v>0</v>
      </c>
      <c r="P77"/>
      <c r="Q77"/>
      <c r="R77"/>
      <c r="S77"/>
      <c r="T77"/>
      <c r="U77"/>
    </row>
    <row r="78" spans="1:21" ht="12.75">
      <c r="A78" s="393" t="str">
        <f t="shared" si="0"/>
        <v>Principal</v>
      </c>
      <c r="B78" s="140"/>
      <c r="C78" s="84">
        <f t="shared" si="7"/>
        <v>0</v>
      </c>
      <c r="D78" s="137"/>
      <c r="E78" s="927">
        <v>0</v>
      </c>
      <c r="F78" s="281"/>
      <c r="G78" s="460">
        <f t="shared" si="2"/>
        <v>0</v>
      </c>
      <c r="H78" s="460"/>
      <c r="I78" s="460">
        <f t="shared" si="3"/>
        <v>0</v>
      </c>
      <c r="J78" s="460"/>
      <c r="K78" s="460">
        <f t="shared" si="4"/>
        <v>0</v>
      </c>
      <c r="L78" s="460"/>
      <c r="M78" s="460">
        <f t="shared" si="5"/>
        <v>0</v>
      </c>
      <c r="N78" s="460"/>
      <c r="O78" s="460">
        <f t="shared" si="6"/>
        <v>0</v>
      </c>
      <c r="P78"/>
      <c r="Q78"/>
      <c r="R78"/>
      <c r="S78"/>
      <c r="T78"/>
      <c r="U78"/>
    </row>
    <row r="79" spans="1:21" ht="12.75">
      <c r="A79" s="393" t="str">
        <f t="shared" si="0"/>
        <v>Assistant Principal</v>
      </c>
      <c r="B79" s="140"/>
      <c r="C79" s="84">
        <f t="shared" si="7"/>
        <v>0</v>
      </c>
      <c r="D79" s="137"/>
      <c r="E79" s="927">
        <v>0</v>
      </c>
      <c r="F79" s="281"/>
      <c r="G79" s="460">
        <f t="shared" si="2"/>
        <v>0</v>
      </c>
      <c r="H79" s="460"/>
      <c r="I79" s="460">
        <f t="shared" si="3"/>
        <v>0</v>
      </c>
      <c r="J79" s="460"/>
      <c r="K79" s="460">
        <f t="shared" si="4"/>
        <v>0</v>
      </c>
      <c r="L79" s="460"/>
      <c r="M79" s="460">
        <f t="shared" si="5"/>
        <v>0</v>
      </c>
      <c r="N79" s="460"/>
      <c r="O79" s="460">
        <f t="shared" si="6"/>
        <v>0</v>
      </c>
      <c r="P79"/>
      <c r="Q79"/>
      <c r="R79"/>
      <c r="S79"/>
      <c r="T79"/>
      <c r="U79"/>
    </row>
    <row r="80" spans="1:21" ht="12.75">
      <c r="A80" s="393" t="str">
        <f t="shared" si="0"/>
        <v>A</v>
      </c>
      <c r="B80" s="140"/>
      <c r="C80" s="84">
        <f t="shared" si="7"/>
        <v>0</v>
      </c>
      <c r="D80" s="137"/>
      <c r="E80" s="927">
        <v>0</v>
      </c>
      <c r="F80" s="281"/>
      <c r="G80" s="460">
        <f t="shared" si="2"/>
        <v>0</v>
      </c>
      <c r="H80" s="460"/>
      <c r="I80" s="460">
        <f t="shared" si="3"/>
        <v>0</v>
      </c>
      <c r="J80" s="460"/>
      <c r="K80" s="460">
        <f t="shared" si="4"/>
        <v>0</v>
      </c>
      <c r="L80" s="460"/>
      <c r="M80" s="460">
        <f t="shared" si="5"/>
        <v>0</v>
      </c>
      <c r="N80" s="460"/>
      <c r="O80" s="460">
        <f t="shared" si="6"/>
        <v>0</v>
      </c>
      <c r="P80"/>
      <c r="Q80"/>
      <c r="R80"/>
      <c r="S80"/>
      <c r="T80"/>
      <c r="U80"/>
    </row>
    <row r="81" spans="1:21" ht="12.75">
      <c r="A81" s="510" t="str">
        <f t="shared" si="0"/>
        <v>B</v>
      </c>
      <c r="B81" s="140"/>
      <c r="C81" s="84">
        <f t="shared" si="7"/>
        <v>0</v>
      </c>
      <c r="D81" s="137"/>
      <c r="E81" s="927">
        <v>0</v>
      </c>
      <c r="F81" s="281"/>
      <c r="G81" s="460">
        <f t="shared" si="2"/>
        <v>0</v>
      </c>
      <c r="H81" s="460"/>
      <c r="I81" s="460">
        <f t="shared" si="3"/>
        <v>0</v>
      </c>
      <c r="J81" s="460"/>
      <c r="K81" s="460">
        <f t="shared" si="4"/>
        <v>0</v>
      </c>
      <c r="L81" s="460"/>
      <c r="M81" s="460">
        <f t="shared" si="5"/>
        <v>0</v>
      </c>
      <c r="N81" s="460"/>
      <c r="O81" s="460">
        <f t="shared" si="6"/>
        <v>0</v>
      </c>
      <c r="P81"/>
      <c r="Q81"/>
      <c r="R81"/>
      <c r="S81"/>
      <c r="T81"/>
      <c r="U81"/>
    </row>
    <row r="82" spans="1:21" ht="12.75">
      <c r="A82" s="510" t="str">
        <f t="shared" si="0"/>
        <v>C</v>
      </c>
      <c r="B82" s="140"/>
      <c r="C82" s="84">
        <f t="shared" si="7"/>
        <v>0</v>
      </c>
      <c r="D82" s="137"/>
      <c r="E82" s="927">
        <v>0</v>
      </c>
      <c r="F82" s="281"/>
      <c r="G82" s="460">
        <f t="shared" si="2"/>
        <v>0</v>
      </c>
      <c r="H82" s="460"/>
      <c r="I82" s="460">
        <f t="shared" si="3"/>
        <v>0</v>
      </c>
      <c r="J82" s="460"/>
      <c r="K82" s="460">
        <f t="shared" si="4"/>
        <v>0</v>
      </c>
      <c r="L82" s="460"/>
      <c r="M82" s="460">
        <f t="shared" si="5"/>
        <v>0</v>
      </c>
      <c r="N82" s="460"/>
      <c r="O82" s="460">
        <f t="shared" si="6"/>
        <v>0</v>
      </c>
      <c r="P82"/>
      <c r="Q82"/>
      <c r="R82"/>
      <c r="S82"/>
      <c r="T82"/>
      <c r="U82"/>
    </row>
    <row r="83" spans="1:21" ht="12.75">
      <c r="A83" s="510" t="str">
        <f t="shared" si="0"/>
        <v>D</v>
      </c>
      <c r="B83" s="140"/>
      <c r="C83" s="84">
        <f t="shared" si="7"/>
        <v>0</v>
      </c>
      <c r="D83" s="137"/>
      <c r="E83" s="927">
        <v>0</v>
      </c>
      <c r="F83" s="281"/>
      <c r="G83" s="460">
        <f t="shared" si="2"/>
        <v>0</v>
      </c>
      <c r="H83" s="460"/>
      <c r="I83" s="460">
        <f t="shared" si="3"/>
        <v>0</v>
      </c>
      <c r="J83" s="460"/>
      <c r="K83" s="460">
        <f t="shared" si="4"/>
        <v>0</v>
      </c>
      <c r="L83" s="460"/>
      <c r="M83" s="460">
        <f t="shared" si="5"/>
        <v>0</v>
      </c>
      <c r="N83" s="460"/>
      <c r="O83" s="460">
        <f t="shared" si="6"/>
        <v>0</v>
      </c>
      <c r="P83"/>
      <c r="Q83"/>
      <c r="R83"/>
      <c r="S83"/>
      <c r="T83"/>
      <c r="U83"/>
    </row>
    <row r="84" spans="1:21" ht="12.75">
      <c r="A84" s="510" t="str">
        <f t="shared" si="0"/>
        <v>E</v>
      </c>
      <c r="B84" s="140"/>
      <c r="C84" s="84">
        <f t="shared" si="7"/>
        <v>0</v>
      </c>
      <c r="D84" s="137"/>
      <c r="E84" s="927">
        <v>0</v>
      </c>
      <c r="F84" s="281"/>
      <c r="G84" s="460">
        <f t="shared" si="2"/>
        <v>0</v>
      </c>
      <c r="H84" s="460"/>
      <c r="I84" s="460">
        <f t="shared" si="3"/>
        <v>0</v>
      </c>
      <c r="J84" s="460"/>
      <c r="K84" s="460">
        <f t="shared" si="4"/>
        <v>0</v>
      </c>
      <c r="L84" s="460"/>
      <c r="M84" s="460">
        <f t="shared" si="5"/>
        <v>0</v>
      </c>
      <c r="N84" s="460"/>
      <c r="O84" s="460">
        <f t="shared" si="6"/>
        <v>0</v>
      </c>
      <c r="P84"/>
      <c r="Q84"/>
      <c r="R84"/>
      <c r="S84"/>
      <c r="T84"/>
      <c r="U84"/>
    </row>
    <row r="85" spans="1:21" ht="12.75">
      <c r="A85" s="510" t="str">
        <f t="shared" si="0"/>
        <v>F</v>
      </c>
      <c r="B85" s="140"/>
      <c r="C85" s="84">
        <f t="shared" si="7"/>
        <v>0</v>
      </c>
      <c r="D85" s="84"/>
      <c r="E85" s="927">
        <v>0</v>
      </c>
      <c r="F85" s="148"/>
      <c r="G85" s="460">
        <f t="shared" si="2"/>
        <v>0</v>
      </c>
      <c r="H85" s="460"/>
      <c r="I85" s="460">
        <f t="shared" si="3"/>
        <v>0</v>
      </c>
      <c r="J85" s="460"/>
      <c r="K85" s="460">
        <f t="shared" si="4"/>
        <v>0</v>
      </c>
      <c r="L85" s="460"/>
      <c r="M85" s="460">
        <f t="shared" si="5"/>
        <v>0</v>
      </c>
      <c r="N85" s="460"/>
      <c r="O85" s="460">
        <f t="shared" si="6"/>
        <v>0</v>
      </c>
      <c r="P85"/>
      <c r="Q85"/>
      <c r="R85"/>
      <c r="S85"/>
      <c r="T85"/>
      <c r="U85"/>
    </row>
    <row r="86" spans="1:21" ht="12.75">
      <c r="A86" s="510" t="str">
        <f t="shared" si="0"/>
        <v>G</v>
      </c>
      <c r="B86" s="140"/>
      <c r="C86" s="84">
        <f t="shared" si="7"/>
        <v>0</v>
      </c>
      <c r="D86" s="84"/>
      <c r="E86" s="927">
        <v>0</v>
      </c>
      <c r="F86" s="148"/>
      <c r="G86" s="460">
        <f t="shared" si="2"/>
        <v>0</v>
      </c>
      <c r="H86" s="460"/>
      <c r="I86" s="460">
        <f t="shared" si="3"/>
        <v>0</v>
      </c>
      <c r="J86" s="460"/>
      <c r="K86" s="460">
        <f t="shared" si="4"/>
        <v>0</v>
      </c>
      <c r="L86" s="460"/>
      <c r="M86" s="460">
        <f t="shared" si="5"/>
        <v>0</v>
      </c>
      <c r="N86" s="460"/>
      <c r="O86" s="460">
        <f t="shared" si="6"/>
        <v>0</v>
      </c>
      <c r="P86"/>
      <c r="Q86"/>
      <c r="R86"/>
      <c r="S86"/>
      <c r="T86"/>
      <c r="U86"/>
    </row>
    <row r="87" spans="1:21" ht="13.5" thickBot="1">
      <c r="A87" s="511" t="str">
        <f t="shared" si="0"/>
        <v>H</v>
      </c>
      <c r="B87" s="152"/>
      <c r="C87" s="153">
        <f t="shared" si="7"/>
        <v>0</v>
      </c>
      <c r="D87" s="153"/>
      <c r="E87" s="927">
        <v>0</v>
      </c>
      <c r="F87" s="282"/>
      <c r="G87" s="460">
        <f t="shared" si="2"/>
        <v>0</v>
      </c>
      <c r="H87" s="460"/>
      <c r="I87" s="460">
        <f t="shared" si="3"/>
        <v>0</v>
      </c>
      <c r="J87" s="460"/>
      <c r="K87" s="460">
        <f t="shared" si="4"/>
        <v>0</v>
      </c>
      <c r="L87" s="460"/>
      <c r="M87" s="460">
        <f t="shared" si="5"/>
        <v>0</v>
      </c>
      <c r="N87" s="460"/>
      <c r="O87" s="460">
        <f t="shared" si="6"/>
        <v>0</v>
      </c>
      <c r="P87"/>
      <c r="Q87"/>
      <c r="R87"/>
      <c r="S87"/>
      <c r="T87"/>
      <c r="U87"/>
    </row>
    <row r="88" spans="1:21" ht="45.75" thickBot="1">
      <c r="A88" s="512" t="str">
        <f t="shared" si="0"/>
        <v>Positions that Do NOT Participate in the Chicago Teachers Pension Fund (ALOP Programs and Contract Schools should enter ALL of their employees in this section):         </v>
      </c>
      <c r="B88" s="517"/>
      <c r="C88" s="407"/>
      <c r="D88" s="407"/>
      <c r="E88" s="407"/>
      <c r="F88" s="407"/>
      <c r="G88" s="407"/>
      <c r="H88" s="407"/>
      <c r="I88" s="407"/>
      <c r="J88" s="407"/>
      <c r="K88" s="407"/>
      <c r="L88" s="407"/>
      <c r="M88" s="407"/>
      <c r="N88" s="407"/>
      <c r="O88" s="408"/>
      <c r="P88"/>
      <c r="Q88"/>
      <c r="R88"/>
      <c r="S88"/>
      <c r="T88"/>
      <c r="U88"/>
    </row>
    <row r="89" spans="1:21" ht="12.75">
      <c r="A89" s="409" t="str">
        <f t="shared" si="0"/>
        <v>Teachers</v>
      </c>
      <c r="B89" s="142">
        <v>45000</v>
      </c>
      <c r="C89" s="148">
        <f>B89*(1+C$62)</f>
        <v>45000</v>
      </c>
      <c r="D89" s="148"/>
      <c r="E89" s="148">
        <f>B89</f>
        <v>45000</v>
      </c>
      <c r="F89" s="148"/>
      <c r="G89" s="460">
        <f aca="true" t="shared" si="8" ref="G89:G115">C89*(1+G$62)</f>
        <v>45000</v>
      </c>
      <c r="H89" s="460"/>
      <c r="I89" s="460">
        <f>G89*(1+I$62)</f>
        <v>46350</v>
      </c>
      <c r="J89" s="460"/>
      <c r="K89" s="460">
        <f>I89*(1+K$62)</f>
        <v>47740.5</v>
      </c>
      <c r="L89" s="460"/>
      <c r="M89" s="460">
        <f>K89*(1+M$62)</f>
        <v>49172.715000000004</v>
      </c>
      <c r="N89" s="460"/>
      <c r="O89" s="460">
        <f>M89*(1+O$62)</f>
        <v>50647.89645000001</v>
      </c>
      <c r="P89"/>
      <c r="Q89"/>
      <c r="R89"/>
      <c r="S89"/>
      <c r="T89"/>
      <c r="U89"/>
    </row>
    <row r="90" spans="1:21" ht="12.75">
      <c r="A90" s="498" t="str">
        <f aca="true" t="shared" si="9" ref="A90:A107">A32</f>
        <v>SPED Teachers (positions that are reimbursed by CPS)</v>
      </c>
      <c r="B90" s="142">
        <v>45000</v>
      </c>
      <c r="C90" s="84">
        <f>B90*(1+C$62)</f>
        <v>45000</v>
      </c>
      <c r="D90" s="84"/>
      <c r="E90" s="148">
        <f aca="true" t="shared" si="10" ref="E90:E115">B90</f>
        <v>45000</v>
      </c>
      <c r="F90" s="148"/>
      <c r="G90" s="460">
        <f t="shared" si="8"/>
        <v>45000</v>
      </c>
      <c r="H90" s="460"/>
      <c r="I90" s="460">
        <f aca="true" t="shared" si="11" ref="I90:I115">G90*(1+I$62)</f>
        <v>46350</v>
      </c>
      <c r="J90" s="460"/>
      <c r="K90" s="460">
        <f aca="true" t="shared" si="12" ref="K90:K115">I90*(1+K$62)</f>
        <v>47740.5</v>
      </c>
      <c r="L90" s="460"/>
      <c r="M90" s="460">
        <f aca="true" t="shared" si="13" ref="M90:M115">K90*(1+M$62)</f>
        <v>49172.715000000004</v>
      </c>
      <c r="N90" s="460"/>
      <c r="O90" s="460">
        <f aca="true" t="shared" si="14" ref="O90:O115">M90*(1+O$62)</f>
        <v>50647.89645000001</v>
      </c>
      <c r="P90"/>
      <c r="Q90"/>
      <c r="R90"/>
      <c r="S90"/>
      <c r="T90"/>
      <c r="U90"/>
    </row>
    <row r="91" spans="1:21" ht="12.75">
      <c r="A91" s="498" t="str">
        <f t="shared" si="9"/>
        <v>SPED Aides (positions that are reimbursed by CPS)</v>
      </c>
      <c r="B91" s="142">
        <v>45000</v>
      </c>
      <c r="C91" s="84">
        <f>B91*(1+C$62)</f>
        <v>45000</v>
      </c>
      <c r="D91" s="84"/>
      <c r="E91" s="148">
        <f t="shared" si="10"/>
        <v>45000</v>
      </c>
      <c r="F91" s="148"/>
      <c r="G91" s="460">
        <f t="shared" si="8"/>
        <v>45000</v>
      </c>
      <c r="H91" s="460"/>
      <c r="I91" s="460">
        <f t="shared" si="11"/>
        <v>46350</v>
      </c>
      <c r="J91" s="460"/>
      <c r="K91" s="460">
        <f t="shared" si="12"/>
        <v>47740.5</v>
      </c>
      <c r="L91" s="460"/>
      <c r="M91" s="460">
        <f t="shared" si="13"/>
        <v>49172.715000000004</v>
      </c>
      <c r="N91" s="460"/>
      <c r="O91" s="460">
        <f t="shared" si="14"/>
        <v>50647.89645000001</v>
      </c>
      <c r="P91"/>
      <c r="Q91"/>
      <c r="R91"/>
      <c r="S91"/>
      <c r="T91"/>
      <c r="U91"/>
    </row>
    <row r="92" spans="1:21" ht="12.75">
      <c r="A92" s="498" t="str">
        <f t="shared" si="9"/>
        <v>SPED Clinicians-Psychologist (reimbursed by CPS)</v>
      </c>
      <c r="B92" s="142">
        <v>45000</v>
      </c>
      <c r="C92" s="84">
        <f aca="true" t="shared" si="15" ref="C92:C103">B92*(1+C$62)</f>
        <v>45000</v>
      </c>
      <c r="D92" s="84"/>
      <c r="E92" s="148">
        <f t="shared" si="10"/>
        <v>45000</v>
      </c>
      <c r="F92" s="148"/>
      <c r="G92" s="460">
        <f t="shared" si="8"/>
        <v>45000</v>
      </c>
      <c r="H92" s="460"/>
      <c r="I92" s="460">
        <f t="shared" si="11"/>
        <v>46350</v>
      </c>
      <c r="J92" s="460"/>
      <c r="K92" s="460">
        <f t="shared" si="12"/>
        <v>47740.5</v>
      </c>
      <c r="L92" s="460"/>
      <c r="M92" s="460">
        <f t="shared" si="13"/>
        <v>49172.715000000004</v>
      </c>
      <c r="N92" s="460"/>
      <c r="O92" s="460">
        <f t="shared" si="14"/>
        <v>50647.89645000001</v>
      </c>
      <c r="P92"/>
      <c r="Q92"/>
      <c r="R92"/>
      <c r="S92"/>
      <c r="T92"/>
      <c r="U92"/>
    </row>
    <row r="93" spans="1:21" ht="12.75">
      <c r="A93" s="498" t="str">
        <f t="shared" si="9"/>
        <v>SPED Clinicians-Social Worker (reimbursed by CPS)</v>
      </c>
      <c r="B93" s="142">
        <v>45000</v>
      </c>
      <c r="C93" s="84">
        <f t="shared" si="15"/>
        <v>45000</v>
      </c>
      <c r="D93" s="84"/>
      <c r="E93" s="148">
        <f t="shared" si="10"/>
        <v>45000</v>
      </c>
      <c r="F93" s="148"/>
      <c r="G93" s="460">
        <f t="shared" si="8"/>
        <v>45000</v>
      </c>
      <c r="H93" s="460"/>
      <c r="I93" s="460">
        <f t="shared" si="11"/>
        <v>46350</v>
      </c>
      <c r="J93" s="460"/>
      <c r="K93" s="460">
        <f t="shared" si="12"/>
        <v>47740.5</v>
      </c>
      <c r="L93" s="460"/>
      <c r="M93" s="460">
        <f t="shared" si="13"/>
        <v>49172.715000000004</v>
      </c>
      <c r="N93" s="460"/>
      <c r="O93" s="460">
        <f t="shared" si="14"/>
        <v>50647.89645000001</v>
      </c>
      <c r="P93"/>
      <c r="Q93"/>
      <c r="R93"/>
      <c r="S93"/>
      <c r="T93"/>
      <c r="U93"/>
    </row>
    <row r="94" spans="1:21" ht="12.75">
      <c r="A94" s="498" t="str">
        <f t="shared" si="9"/>
        <v>SPED Clinicians-Speech Therapist (reimbursed by CPS)</v>
      </c>
      <c r="B94" s="142">
        <v>45000</v>
      </c>
      <c r="C94" s="84">
        <f t="shared" si="15"/>
        <v>45000</v>
      </c>
      <c r="D94" s="84"/>
      <c r="E94" s="148">
        <f t="shared" si="10"/>
        <v>45000</v>
      </c>
      <c r="F94" s="148"/>
      <c r="G94" s="460">
        <f t="shared" si="8"/>
        <v>45000</v>
      </c>
      <c r="H94" s="460"/>
      <c r="I94" s="460">
        <f t="shared" si="11"/>
        <v>46350</v>
      </c>
      <c r="J94" s="460"/>
      <c r="K94" s="460">
        <f t="shared" si="12"/>
        <v>47740.5</v>
      </c>
      <c r="L94" s="460"/>
      <c r="M94" s="460">
        <f t="shared" si="13"/>
        <v>49172.715000000004</v>
      </c>
      <c r="N94" s="460"/>
      <c r="O94" s="460">
        <f t="shared" si="14"/>
        <v>50647.89645000001</v>
      </c>
      <c r="P94"/>
      <c r="Q94"/>
      <c r="R94"/>
      <c r="S94"/>
      <c r="T94"/>
      <c r="U94"/>
    </row>
    <row r="95" spans="1:21" ht="12.75">
      <c r="A95" s="498" t="str">
        <f t="shared" si="9"/>
        <v>SPED Clinicians-Physical Therapist (reimbursed by CPS)</v>
      </c>
      <c r="B95" s="142">
        <v>45000</v>
      </c>
      <c r="C95" s="84">
        <f t="shared" si="15"/>
        <v>45000</v>
      </c>
      <c r="D95" s="84"/>
      <c r="E95" s="148">
        <f t="shared" si="10"/>
        <v>45000</v>
      </c>
      <c r="F95" s="148"/>
      <c r="G95" s="460">
        <f t="shared" si="8"/>
        <v>45000</v>
      </c>
      <c r="H95" s="460"/>
      <c r="I95" s="460">
        <f t="shared" si="11"/>
        <v>46350</v>
      </c>
      <c r="J95" s="460"/>
      <c r="K95" s="460">
        <f t="shared" si="12"/>
        <v>47740.5</v>
      </c>
      <c r="L95" s="460"/>
      <c r="M95" s="460">
        <f t="shared" si="13"/>
        <v>49172.715000000004</v>
      </c>
      <c r="N95" s="460"/>
      <c r="O95" s="460">
        <f t="shared" si="14"/>
        <v>50647.89645000001</v>
      </c>
      <c r="P95"/>
      <c r="Q95"/>
      <c r="R95"/>
      <c r="S95"/>
      <c r="T95"/>
      <c r="U95"/>
    </row>
    <row r="96" spans="1:21" ht="12.75">
      <c r="A96" s="498" t="str">
        <f t="shared" si="9"/>
        <v>SPED Clinicians-Occupational Therapist (reimbursed by CPS)</v>
      </c>
      <c r="B96" s="142">
        <v>45000</v>
      </c>
      <c r="C96" s="84">
        <f t="shared" si="15"/>
        <v>45000</v>
      </c>
      <c r="D96" s="84"/>
      <c r="E96" s="148">
        <f t="shared" si="10"/>
        <v>45000</v>
      </c>
      <c r="F96" s="148"/>
      <c r="G96" s="460">
        <f t="shared" si="8"/>
        <v>45000</v>
      </c>
      <c r="H96" s="460"/>
      <c r="I96" s="460">
        <f t="shared" si="11"/>
        <v>46350</v>
      </c>
      <c r="J96" s="460"/>
      <c r="K96" s="460">
        <f t="shared" si="12"/>
        <v>47740.5</v>
      </c>
      <c r="L96" s="460"/>
      <c r="M96" s="460">
        <f t="shared" si="13"/>
        <v>49172.715000000004</v>
      </c>
      <c r="N96" s="460"/>
      <c r="O96" s="460">
        <f t="shared" si="14"/>
        <v>50647.89645000001</v>
      </c>
      <c r="P96"/>
      <c r="Q96"/>
      <c r="R96"/>
      <c r="S96"/>
      <c r="T96"/>
      <c r="U96"/>
    </row>
    <row r="97" spans="1:21" ht="12.75">
      <c r="A97" s="498" t="str">
        <f t="shared" si="9"/>
        <v>SPED Clinicians-Nurse (reimbursed by CPS)</v>
      </c>
      <c r="B97" s="142">
        <v>45000</v>
      </c>
      <c r="C97" s="84">
        <f t="shared" si="15"/>
        <v>45000</v>
      </c>
      <c r="D97" s="84"/>
      <c r="E97" s="148">
        <f t="shared" si="10"/>
        <v>45000</v>
      </c>
      <c r="F97" s="148"/>
      <c r="G97" s="460">
        <f t="shared" si="8"/>
        <v>45000</v>
      </c>
      <c r="H97" s="460"/>
      <c r="I97" s="460">
        <f t="shared" si="11"/>
        <v>46350</v>
      </c>
      <c r="J97" s="460"/>
      <c r="K97" s="460">
        <f t="shared" si="12"/>
        <v>47740.5</v>
      </c>
      <c r="L97" s="460"/>
      <c r="M97" s="460">
        <f t="shared" si="13"/>
        <v>49172.715000000004</v>
      </c>
      <c r="N97" s="460"/>
      <c r="O97" s="460">
        <f t="shared" si="14"/>
        <v>50647.89645000001</v>
      </c>
      <c r="P97"/>
      <c r="Q97"/>
      <c r="R97"/>
      <c r="S97"/>
      <c r="T97"/>
      <c r="U97"/>
    </row>
    <row r="98" spans="1:21" ht="12.75">
      <c r="A98" s="409" t="str">
        <f t="shared" si="9"/>
        <v>Para-professionals</v>
      </c>
      <c r="B98" s="140">
        <v>35000</v>
      </c>
      <c r="C98" s="84">
        <f t="shared" si="15"/>
        <v>35000</v>
      </c>
      <c r="D98" s="84"/>
      <c r="E98" s="148">
        <f t="shared" si="10"/>
        <v>35000</v>
      </c>
      <c r="F98" s="148"/>
      <c r="G98" s="460">
        <f t="shared" si="8"/>
        <v>35000</v>
      </c>
      <c r="H98" s="460"/>
      <c r="I98" s="460">
        <f t="shared" si="11"/>
        <v>36050</v>
      </c>
      <c r="J98" s="460"/>
      <c r="K98" s="460">
        <f t="shared" si="12"/>
        <v>37131.5</v>
      </c>
      <c r="L98" s="460"/>
      <c r="M98" s="460">
        <f t="shared" si="13"/>
        <v>38245.445</v>
      </c>
      <c r="N98" s="460"/>
      <c r="O98" s="460">
        <f t="shared" si="14"/>
        <v>39392.80835</v>
      </c>
      <c r="P98"/>
      <c r="Q98"/>
      <c r="R98"/>
      <c r="S98"/>
      <c r="T98"/>
      <c r="U98"/>
    </row>
    <row r="99" spans="1:21" ht="12.75">
      <c r="A99" s="409" t="str">
        <f t="shared" si="9"/>
        <v>Counselors</v>
      </c>
      <c r="B99" s="137">
        <v>50000</v>
      </c>
      <c r="C99" s="84">
        <f t="shared" si="15"/>
        <v>50000</v>
      </c>
      <c r="D99" s="84"/>
      <c r="E99" s="148">
        <f t="shared" si="10"/>
        <v>50000</v>
      </c>
      <c r="F99" s="148"/>
      <c r="G99" s="460">
        <f t="shared" si="8"/>
        <v>50000</v>
      </c>
      <c r="H99" s="460"/>
      <c r="I99" s="460">
        <f t="shared" si="11"/>
        <v>51500</v>
      </c>
      <c r="J99" s="460"/>
      <c r="K99" s="460">
        <f t="shared" si="12"/>
        <v>53045</v>
      </c>
      <c r="L99" s="460"/>
      <c r="M99" s="460">
        <f t="shared" si="13"/>
        <v>54636.35</v>
      </c>
      <c r="N99" s="460"/>
      <c r="O99" s="460">
        <f t="shared" si="14"/>
        <v>56275.4405</v>
      </c>
      <c r="P99"/>
      <c r="Q99"/>
      <c r="R99"/>
      <c r="S99"/>
      <c r="T99"/>
      <c r="U99"/>
    </row>
    <row r="100" spans="1:21" ht="12.75">
      <c r="A100" s="409" t="str">
        <f t="shared" si="9"/>
        <v>Executive Director</v>
      </c>
      <c r="B100" s="137">
        <v>70000</v>
      </c>
      <c r="C100" s="84">
        <f t="shared" si="15"/>
        <v>70000</v>
      </c>
      <c r="D100" s="84"/>
      <c r="E100" s="148">
        <f t="shared" si="10"/>
        <v>70000</v>
      </c>
      <c r="F100" s="148"/>
      <c r="G100" s="460">
        <f t="shared" si="8"/>
        <v>70000</v>
      </c>
      <c r="H100" s="460"/>
      <c r="I100" s="460">
        <f t="shared" si="11"/>
        <v>72100</v>
      </c>
      <c r="J100" s="460"/>
      <c r="K100" s="460">
        <f t="shared" si="12"/>
        <v>74263</v>
      </c>
      <c r="L100" s="460"/>
      <c r="M100" s="460">
        <f t="shared" si="13"/>
        <v>76490.89</v>
      </c>
      <c r="N100" s="460"/>
      <c r="O100" s="460">
        <f t="shared" si="14"/>
        <v>78785.6167</v>
      </c>
      <c r="P100"/>
      <c r="Q100"/>
      <c r="R100"/>
      <c r="S100"/>
      <c r="T100"/>
      <c r="U100"/>
    </row>
    <row r="101" spans="1:21" ht="12.75">
      <c r="A101" s="409" t="str">
        <f t="shared" si="9"/>
        <v>Principal</v>
      </c>
      <c r="B101" s="137">
        <v>110000</v>
      </c>
      <c r="C101" s="84">
        <f t="shared" si="15"/>
        <v>110000</v>
      </c>
      <c r="D101" s="84"/>
      <c r="E101" s="148">
        <f t="shared" si="10"/>
        <v>110000</v>
      </c>
      <c r="F101" s="148"/>
      <c r="G101" s="460">
        <f t="shared" si="8"/>
        <v>110000</v>
      </c>
      <c r="H101" s="460"/>
      <c r="I101" s="460">
        <f t="shared" si="11"/>
        <v>113300</v>
      </c>
      <c r="J101" s="460"/>
      <c r="K101" s="460">
        <f t="shared" si="12"/>
        <v>116699</v>
      </c>
      <c r="L101" s="460"/>
      <c r="M101" s="460">
        <f t="shared" si="13"/>
        <v>120199.97</v>
      </c>
      <c r="N101" s="460"/>
      <c r="O101" s="460">
        <f t="shared" si="14"/>
        <v>123805.9691</v>
      </c>
      <c r="P101"/>
      <c r="Q101"/>
      <c r="R101"/>
      <c r="S101"/>
      <c r="T101"/>
      <c r="U101"/>
    </row>
    <row r="102" spans="1:21" ht="12.75">
      <c r="A102" s="409" t="str">
        <f t="shared" si="9"/>
        <v>Academic Coordinator</v>
      </c>
      <c r="B102" s="137">
        <v>55000</v>
      </c>
      <c r="C102" s="84">
        <f t="shared" si="15"/>
        <v>55000</v>
      </c>
      <c r="D102" s="84"/>
      <c r="E102" s="148">
        <f t="shared" si="10"/>
        <v>55000</v>
      </c>
      <c r="F102" s="148"/>
      <c r="G102" s="460">
        <f t="shared" si="8"/>
        <v>55000</v>
      </c>
      <c r="H102" s="460"/>
      <c r="I102" s="460">
        <f t="shared" si="11"/>
        <v>56650</v>
      </c>
      <c r="J102" s="460"/>
      <c r="K102" s="460">
        <f t="shared" si="12"/>
        <v>58349.5</v>
      </c>
      <c r="L102" s="460"/>
      <c r="M102" s="460">
        <f t="shared" si="13"/>
        <v>60099.985</v>
      </c>
      <c r="N102" s="460"/>
      <c r="O102" s="460">
        <f t="shared" si="14"/>
        <v>61902.98455</v>
      </c>
      <c r="P102"/>
      <c r="Q102"/>
      <c r="R102"/>
      <c r="S102"/>
      <c r="T102"/>
      <c r="U102"/>
    </row>
    <row r="103" spans="1:21" ht="12.75" customHeight="1">
      <c r="A103" s="409" t="str">
        <f t="shared" si="9"/>
        <v>Enrollment and Retention Specialist</v>
      </c>
      <c r="B103" s="820">
        <v>40000</v>
      </c>
      <c r="C103" s="84">
        <f t="shared" si="15"/>
        <v>40000</v>
      </c>
      <c r="D103" s="138"/>
      <c r="E103" s="148">
        <f t="shared" si="10"/>
        <v>40000</v>
      </c>
      <c r="F103" s="281"/>
      <c r="G103" s="460">
        <f t="shared" si="8"/>
        <v>40000</v>
      </c>
      <c r="H103" s="460"/>
      <c r="I103" s="460">
        <f t="shared" si="11"/>
        <v>41200</v>
      </c>
      <c r="J103" s="460"/>
      <c r="K103" s="460">
        <f t="shared" si="12"/>
        <v>42436</v>
      </c>
      <c r="L103" s="460"/>
      <c r="M103" s="460">
        <f t="shared" si="13"/>
        <v>43709.08</v>
      </c>
      <c r="N103" s="460"/>
      <c r="O103" s="460">
        <f t="shared" si="14"/>
        <v>45020.3524</v>
      </c>
      <c r="P103"/>
      <c r="Q103"/>
      <c r="R103"/>
      <c r="S103"/>
      <c r="T103"/>
      <c r="U103"/>
    </row>
    <row r="104" spans="1:21" ht="12.75">
      <c r="A104" s="409" t="str">
        <f t="shared" si="9"/>
        <v>Custodians</v>
      </c>
      <c r="B104" s="137">
        <v>35000</v>
      </c>
      <c r="C104" s="84">
        <f aca="true" t="shared" si="16" ref="C104:C115">B104*(1+C$62)</f>
        <v>35000</v>
      </c>
      <c r="D104" s="84"/>
      <c r="E104" s="148">
        <f t="shared" si="10"/>
        <v>35000</v>
      </c>
      <c r="F104" s="148"/>
      <c r="G104" s="460">
        <f t="shared" si="8"/>
        <v>35000</v>
      </c>
      <c r="H104" s="460"/>
      <c r="I104" s="460">
        <f t="shared" si="11"/>
        <v>36050</v>
      </c>
      <c r="J104" s="460"/>
      <c r="K104" s="460">
        <f t="shared" si="12"/>
        <v>37131.5</v>
      </c>
      <c r="L104" s="460"/>
      <c r="M104" s="460">
        <f t="shared" si="13"/>
        <v>38245.445</v>
      </c>
      <c r="N104" s="460"/>
      <c r="O104" s="460">
        <f t="shared" si="14"/>
        <v>39392.80835</v>
      </c>
      <c r="P104"/>
      <c r="Q104"/>
      <c r="R104"/>
      <c r="S104"/>
      <c r="T104"/>
      <c r="U104"/>
    </row>
    <row r="105" spans="1:21" ht="12.75">
      <c r="A105" s="409" t="str">
        <f t="shared" si="9"/>
        <v>Security</v>
      </c>
      <c r="B105" s="137">
        <v>35000</v>
      </c>
      <c r="C105" s="84">
        <f t="shared" si="16"/>
        <v>35000</v>
      </c>
      <c r="D105" s="84"/>
      <c r="E105" s="148">
        <f t="shared" si="10"/>
        <v>35000</v>
      </c>
      <c r="F105" s="148"/>
      <c r="G105" s="460">
        <f t="shared" si="8"/>
        <v>35000</v>
      </c>
      <c r="H105" s="460"/>
      <c r="I105" s="460">
        <f t="shared" si="11"/>
        <v>36050</v>
      </c>
      <c r="J105" s="460"/>
      <c r="K105" s="460">
        <f t="shared" si="12"/>
        <v>37131.5</v>
      </c>
      <c r="L105" s="460"/>
      <c r="M105" s="460">
        <f t="shared" si="13"/>
        <v>38245.445</v>
      </c>
      <c r="N105" s="460"/>
      <c r="O105" s="460">
        <f t="shared" si="14"/>
        <v>39392.80835</v>
      </c>
      <c r="P105"/>
      <c r="Q105"/>
      <c r="R105"/>
      <c r="S105"/>
      <c r="T105"/>
      <c r="U105"/>
    </row>
    <row r="106" spans="1:21" ht="12.75">
      <c r="A106" s="409" t="str">
        <f t="shared" si="9"/>
        <v>Registrar</v>
      </c>
      <c r="B106" s="137">
        <v>40000</v>
      </c>
      <c r="C106" s="84">
        <f t="shared" si="16"/>
        <v>40000</v>
      </c>
      <c r="D106" s="84"/>
      <c r="E106" s="148">
        <f t="shared" si="10"/>
        <v>40000</v>
      </c>
      <c r="F106" s="148"/>
      <c r="G106" s="460">
        <f t="shared" si="8"/>
        <v>40000</v>
      </c>
      <c r="H106" s="460"/>
      <c r="I106" s="460">
        <f t="shared" si="11"/>
        <v>41200</v>
      </c>
      <c r="J106" s="460"/>
      <c r="K106" s="460">
        <f t="shared" si="12"/>
        <v>42436</v>
      </c>
      <c r="L106" s="460"/>
      <c r="M106" s="460">
        <f t="shared" si="13"/>
        <v>43709.08</v>
      </c>
      <c r="N106" s="460"/>
      <c r="O106" s="460">
        <f t="shared" si="14"/>
        <v>45020.3524</v>
      </c>
      <c r="P106"/>
      <c r="Q106"/>
      <c r="R106"/>
      <c r="S106"/>
      <c r="T106"/>
      <c r="U106"/>
    </row>
    <row r="107" spans="1:21" ht="12.75">
      <c r="A107" s="409" t="str">
        <f t="shared" si="9"/>
        <v>Full-Time Administrative Staff</v>
      </c>
      <c r="B107" s="137">
        <v>35000</v>
      </c>
      <c r="C107" s="84">
        <f t="shared" si="16"/>
        <v>35000</v>
      </c>
      <c r="D107" s="84"/>
      <c r="E107" s="148">
        <f t="shared" si="10"/>
        <v>35000</v>
      </c>
      <c r="F107" s="148"/>
      <c r="G107" s="460">
        <f t="shared" si="8"/>
        <v>35000</v>
      </c>
      <c r="H107" s="460"/>
      <c r="I107" s="460">
        <f t="shared" si="11"/>
        <v>36050</v>
      </c>
      <c r="J107" s="460"/>
      <c r="K107" s="460">
        <f t="shared" si="12"/>
        <v>37131.5</v>
      </c>
      <c r="L107" s="460"/>
      <c r="M107" s="460">
        <f t="shared" si="13"/>
        <v>38245.445</v>
      </c>
      <c r="N107" s="460"/>
      <c r="O107" s="460">
        <f t="shared" si="14"/>
        <v>39392.80835</v>
      </c>
      <c r="P107"/>
      <c r="Q107"/>
      <c r="R107"/>
      <c r="S107"/>
      <c r="T107"/>
      <c r="U107"/>
    </row>
    <row r="108" spans="1:21" ht="12.75">
      <c r="A108" s="409" t="str">
        <f>A50</f>
        <v>IT Support</v>
      </c>
      <c r="B108" s="137">
        <v>46000</v>
      </c>
      <c r="C108" s="84">
        <f t="shared" si="16"/>
        <v>46000</v>
      </c>
      <c r="D108" s="84"/>
      <c r="E108" s="148">
        <f t="shared" si="10"/>
        <v>46000</v>
      </c>
      <c r="F108" s="148"/>
      <c r="G108" s="460">
        <f t="shared" si="8"/>
        <v>46000</v>
      </c>
      <c r="H108" s="460"/>
      <c r="I108" s="460">
        <f t="shared" si="11"/>
        <v>47380</v>
      </c>
      <c r="J108" s="460"/>
      <c r="K108" s="460">
        <f t="shared" si="12"/>
        <v>48801.4</v>
      </c>
      <c r="L108" s="460"/>
      <c r="M108" s="460">
        <f t="shared" si="13"/>
        <v>50265.442</v>
      </c>
      <c r="N108" s="460"/>
      <c r="O108" s="460">
        <f t="shared" si="14"/>
        <v>51773.40526000001</v>
      </c>
      <c r="P108"/>
      <c r="Q108"/>
      <c r="R108"/>
      <c r="S108"/>
      <c r="T108"/>
      <c r="U108"/>
    </row>
    <row r="109" spans="1:21" ht="12.75">
      <c r="A109" s="409" t="str">
        <f aca="true" t="shared" si="17" ref="A109:A115">A51</f>
        <v>Regional Manager of College, Careers &amp; Community Relations</v>
      </c>
      <c r="B109" s="137">
        <v>45000</v>
      </c>
      <c r="C109" s="84">
        <f t="shared" si="16"/>
        <v>45000</v>
      </c>
      <c r="D109" s="84"/>
      <c r="E109" s="148">
        <f t="shared" si="10"/>
        <v>45000</v>
      </c>
      <c r="F109" s="148"/>
      <c r="G109" s="460">
        <f t="shared" si="8"/>
        <v>45000</v>
      </c>
      <c r="H109" s="460"/>
      <c r="I109" s="460">
        <f t="shared" si="11"/>
        <v>46350</v>
      </c>
      <c r="J109" s="460"/>
      <c r="K109" s="460">
        <f t="shared" si="12"/>
        <v>47740.5</v>
      </c>
      <c r="L109" s="460"/>
      <c r="M109" s="460">
        <f t="shared" si="13"/>
        <v>49172.715000000004</v>
      </c>
      <c r="N109" s="460"/>
      <c r="O109" s="460">
        <f t="shared" si="14"/>
        <v>50647.89645000001</v>
      </c>
      <c r="P109"/>
      <c r="Q109"/>
      <c r="R109"/>
      <c r="S109"/>
      <c r="T109"/>
      <c r="U109"/>
    </row>
    <row r="110" spans="1:21" ht="12.75">
      <c r="A110" s="409" t="str">
        <f t="shared" si="17"/>
        <v>School Community Liason</v>
      </c>
      <c r="B110" s="137">
        <v>45000</v>
      </c>
      <c r="C110" s="84">
        <f t="shared" si="16"/>
        <v>45000</v>
      </c>
      <c r="D110" s="84"/>
      <c r="E110" s="148">
        <f t="shared" si="10"/>
        <v>45000</v>
      </c>
      <c r="F110" s="148"/>
      <c r="G110" s="460">
        <f t="shared" si="8"/>
        <v>45000</v>
      </c>
      <c r="H110" s="460"/>
      <c r="I110" s="460">
        <f t="shared" si="11"/>
        <v>46350</v>
      </c>
      <c r="J110" s="460"/>
      <c r="K110" s="460">
        <f t="shared" si="12"/>
        <v>47740.5</v>
      </c>
      <c r="L110" s="460"/>
      <c r="M110" s="460">
        <f t="shared" si="13"/>
        <v>49172.715000000004</v>
      </c>
      <c r="N110" s="460"/>
      <c r="O110" s="460">
        <f t="shared" si="14"/>
        <v>50647.89645000001</v>
      </c>
      <c r="P110"/>
      <c r="Q110"/>
      <c r="R110"/>
      <c r="S110"/>
      <c r="T110"/>
      <c r="U110"/>
    </row>
    <row r="111" spans="1:21" ht="12.75">
      <c r="A111" s="409" t="str">
        <f t="shared" si="17"/>
        <v>L </v>
      </c>
      <c r="B111" s="137"/>
      <c r="C111" s="84">
        <f t="shared" si="16"/>
        <v>0</v>
      </c>
      <c r="D111" s="84"/>
      <c r="E111" s="148">
        <f t="shared" si="10"/>
        <v>0</v>
      </c>
      <c r="F111" s="148"/>
      <c r="G111" s="460">
        <f t="shared" si="8"/>
        <v>0</v>
      </c>
      <c r="H111" s="460"/>
      <c r="I111" s="460">
        <f t="shared" si="11"/>
        <v>0</v>
      </c>
      <c r="J111" s="460"/>
      <c r="K111" s="460">
        <f t="shared" si="12"/>
        <v>0</v>
      </c>
      <c r="L111" s="460"/>
      <c r="M111" s="460">
        <f t="shared" si="13"/>
        <v>0</v>
      </c>
      <c r="N111" s="460"/>
      <c r="O111" s="460">
        <f t="shared" si="14"/>
        <v>0</v>
      </c>
      <c r="P111"/>
      <c r="Q111"/>
      <c r="R111"/>
      <c r="S111"/>
      <c r="T111"/>
      <c r="U111"/>
    </row>
    <row r="112" spans="1:21" ht="12.75">
      <c r="A112" s="409" t="str">
        <f t="shared" si="17"/>
        <v>M</v>
      </c>
      <c r="B112" s="137"/>
      <c r="C112" s="84">
        <f t="shared" si="16"/>
        <v>0</v>
      </c>
      <c r="D112" s="84"/>
      <c r="E112" s="148">
        <f t="shared" si="10"/>
        <v>0</v>
      </c>
      <c r="F112" s="148"/>
      <c r="G112" s="460">
        <f t="shared" si="8"/>
        <v>0</v>
      </c>
      <c r="H112" s="460"/>
      <c r="I112" s="460">
        <f t="shared" si="11"/>
        <v>0</v>
      </c>
      <c r="J112" s="460"/>
      <c r="K112" s="460">
        <f t="shared" si="12"/>
        <v>0</v>
      </c>
      <c r="L112" s="460"/>
      <c r="M112" s="460">
        <f t="shared" si="13"/>
        <v>0</v>
      </c>
      <c r="N112" s="460"/>
      <c r="O112" s="460">
        <f t="shared" si="14"/>
        <v>0</v>
      </c>
      <c r="P112"/>
      <c r="Q112"/>
      <c r="R112"/>
      <c r="S112"/>
      <c r="T112"/>
      <c r="U112"/>
    </row>
    <row r="113" spans="1:21" ht="12.75">
      <c r="A113" s="409" t="str">
        <f t="shared" si="17"/>
        <v>N</v>
      </c>
      <c r="B113" s="137"/>
      <c r="C113" s="84">
        <f t="shared" si="16"/>
        <v>0</v>
      </c>
      <c r="D113" s="84"/>
      <c r="E113" s="148">
        <f t="shared" si="10"/>
        <v>0</v>
      </c>
      <c r="F113" s="148"/>
      <c r="G113" s="460">
        <f t="shared" si="8"/>
        <v>0</v>
      </c>
      <c r="H113" s="460"/>
      <c r="I113" s="460">
        <f t="shared" si="11"/>
        <v>0</v>
      </c>
      <c r="J113" s="460"/>
      <c r="K113" s="460">
        <f t="shared" si="12"/>
        <v>0</v>
      </c>
      <c r="L113" s="460"/>
      <c r="M113" s="460">
        <f t="shared" si="13"/>
        <v>0</v>
      </c>
      <c r="N113" s="460"/>
      <c r="O113" s="460">
        <f t="shared" si="14"/>
        <v>0</v>
      </c>
      <c r="P113"/>
      <c r="Q113"/>
      <c r="R113"/>
      <c r="S113"/>
      <c r="T113"/>
      <c r="U113"/>
    </row>
    <row r="114" spans="1:21" ht="12.75">
      <c r="A114" s="409" t="str">
        <f t="shared" si="17"/>
        <v>O</v>
      </c>
      <c r="B114" s="137"/>
      <c r="C114" s="84">
        <f t="shared" si="16"/>
        <v>0</v>
      </c>
      <c r="D114" s="84"/>
      <c r="E114" s="148">
        <f t="shared" si="10"/>
        <v>0</v>
      </c>
      <c r="F114" s="148"/>
      <c r="G114" s="460">
        <f t="shared" si="8"/>
        <v>0</v>
      </c>
      <c r="H114" s="460"/>
      <c r="I114" s="460">
        <f t="shared" si="11"/>
        <v>0</v>
      </c>
      <c r="J114" s="460"/>
      <c r="K114" s="460">
        <f t="shared" si="12"/>
        <v>0</v>
      </c>
      <c r="L114" s="460"/>
      <c r="M114" s="460">
        <f t="shared" si="13"/>
        <v>0</v>
      </c>
      <c r="N114" s="460"/>
      <c r="O114" s="460">
        <f t="shared" si="14"/>
        <v>0</v>
      </c>
      <c r="P114"/>
      <c r="Q114"/>
      <c r="R114"/>
      <c r="S114"/>
      <c r="T114"/>
      <c r="U114"/>
    </row>
    <row r="115" spans="1:21" ht="12.75">
      <c r="A115" s="409" t="str">
        <f t="shared" si="17"/>
        <v>P</v>
      </c>
      <c r="B115" s="137"/>
      <c r="C115" s="84">
        <f t="shared" si="16"/>
        <v>0</v>
      </c>
      <c r="D115" s="84"/>
      <c r="E115" s="148">
        <f t="shared" si="10"/>
        <v>0</v>
      </c>
      <c r="F115" s="148"/>
      <c r="G115" s="460">
        <f t="shared" si="8"/>
        <v>0</v>
      </c>
      <c r="H115" s="460"/>
      <c r="I115" s="460">
        <f t="shared" si="11"/>
        <v>0</v>
      </c>
      <c r="J115" s="460"/>
      <c r="K115" s="460">
        <f t="shared" si="12"/>
        <v>0</v>
      </c>
      <c r="L115" s="460"/>
      <c r="M115" s="460">
        <f t="shared" si="13"/>
        <v>0</v>
      </c>
      <c r="N115" s="460"/>
      <c r="O115" s="460">
        <f t="shared" si="14"/>
        <v>0</v>
      </c>
      <c r="P115"/>
      <c r="Q115"/>
      <c r="R115"/>
      <c r="S115"/>
      <c r="T115"/>
      <c r="U115"/>
    </row>
    <row r="116" spans="1:21" ht="38.25" customHeight="1" thickBot="1">
      <c r="A116" s="141"/>
      <c r="B116" s="74"/>
      <c r="C116" s="74"/>
      <c r="D116" s="74"/>
      <c r="E116" s="74"/>
      <c r="F116" s="74"/>
      <c r="G116" s="74"/>
      <c r="H116" s="74"/>
      <c r="I116" s="74"/>
      <c r="J116" s="74"/>
      <c r="K116" s="74"/>
      <c r="L116" s="74"/>
      <c r="M116" s="74"/>
      <c r="N116" s="74"/>
      <c r="O116" s="74"/>
      <c r="P116"/>
      <c r="Q116"/>
      <c r="R116"/>
      <c r="S116"/>
      <c r="T116"/>
      <c r="U116"/>
    </row>
    <row r="117" spans="1:21" ht="24" customHeight="1" thickBot="1">
      <c r="A117" s="144"/>
      <c r="B117" s="1029" t="s">
        <v>64</v>
      </c>
      <c r="C117" s="1030"/>
      <c r="D117" s="1030"/>
      <c r="E117" s="1030"/>
      <c r="F117" s="1030"/>
      <c r="G117" s="1030"/>
      <c r="H117" s="1030"/>
      <c r="I117" s="1030"/>
      <c r="J117" s="1030"/>
      <c r="K117" s="1030"/>
      <c r="L117" s="1030"/>
      <c r="M117" s="1030"/>
      <c r="N117" s="1030"/>
      <c r="O117" s="1031"/>
      <c r="P117"/>
      <c r="Q117"/>
      <c r="R117"/>
      <c r="S117"/>
      <c r="T117"/>
      <c r="U117"/>
    </row>
    <row r="118" spans="1:21" ht="40.5" customHeight="1" thickBot="1">
      <c r="A118" s="995" t="str">
        <f>A6</f>
        <v>Positions that Participate in the Chicago Teachers Pension Fund (ALL ALOP Program and Contract School employees do NOT participate in the CTPF):         </v>
      </c>
      <c r="B118" s="513"/>
      <c r="C118" s="514" t="s">
        <v>50</v>
      </c>
      <c r="D118" s="514"/>
      <c r="E118" s="515" t="str">
        <f>E6</f>
        <v>Incubation Year</v>
      </c>
      <c r="F118" s="514"/>
      <c r="G118" s="514">
        <f>$G$6</f>
        <v>17</v>
      </c>
      <c r="H118" s="514"/>
      <c r="I118" s="514">
        <f>$I$6</f>
        <v>18</v>
      </c>
      <c r="J118" s="514"/>
      <c r="K118" s="514">
        <f>$K$6</f>
        <v>19</v>
      </c>
      <c r="L118" s="514"/>
      <c r="M118" s="514">
        <f>$M$6</f>
        <v>20</v>
      </c>
      <c r="N118" s="514"/>
      <c r="O118" s="516">
        <f>$O$6</f>
        <v>21</v>
      </c>
      <c r="P118"/>
      <c r="Q118"/>
      <c r="R118"/>
      <c r="S118"/>
      <c r="T118"/>
      <c r="U118"/>
    </row>
    <row r="119" spans="1:21" ht="12.75">
      <c r="A119" s="394" t="str">
        <f>A7</f>
        <v>Teachers </v>
      </c>
      <c r="B119" s="797" t="s">
        <v>208</v>
      </c>
      <c r="C119" s="154"/>
      <c r="D119" s="154"/>
      <c r="E119" s="500">
        <f aca="true" t="shared" si="18" ref="E119:E141">E7*E65</f>
        <v>0</v>
      </c>
      <c r="F119" s="154"/>
      <c r="G119" s="500">
        <f aca="true" t="shared" si="19" ref="G119:G141">G7*G65</f>
        <v>0</v>
      </c>
      <c r="H119" s="132"/>
      <c r="I119" s="500">
        <f aca="true" t="shared" si="20" ref="I119:I141">I7*I65</f>
        <v>0</v>
      </c>
      <c r="J119" s="122"/>
      <c r="K119" s="500">
        <f aca="true" t="shared" si="21" ref="K119:K141">K7*K65</f>
        <v>0</v>
      </c>
      <c r="L119" s="122"/>
      <c r="M119" s="500">
        <f aca="true" t="shared" si="22" ref="M119:M141">M7*M65</f>
        <v>0</v>
      </c>
      <c r="N119" s="122"/>
      <c r="O119" s="500">
        <f aca="true" t="shared" si="23" ref="O119:O141">O7*O65</f>
        <v>0</v>
      </c>
      <c r="P119"/>
      <c r="Q119"/>
      <c r="R119"/>
      <c r="S119"/>
      <c r="T119"/>
      <c r="U119"/>
    </row>
    <row r="120" spans="1:21" ht="15.75" customHeight="1">
      <c r="A120" s="499" t="str">
        <f aca="true" t="shared" si="24" ref="A120:A141">A8</f>
        <v>SPED Teachers (reimbursed by CPS)</v>
      </c>
      <c r="B120" s="797" t="s">
        <v>208</v>
      </c>
      <c r="C120" s="122"/>
      <c r="D120" s="122"/>
      <c r="E120" s="500">
        <f t="shared" si="18"/>
        <v>0</v>
      </c>
      <c r="F120" s="122"/>
      <c r="G120" s="500">
        <f t="shared" si="19"/>
        <v>0</v>
      </c>
      <c r="H120" s="132"/>
      <c r="I120" s="500">
        <f t="shared" si="20"/>
        <v>0</v>
      </c>
      <c r="J120" s="122"/>
      <c r="K120" s="500">
        <f t="shared" si="21"/>
        <v>0</v>
      </c>
      <c r="L120" s="122"/>
      <c r="M120" s="500">
        <f t="shared" si="22"/>
        <v>0</v>
      </c>
      <c r="N120" s="122"/>
      <c r="O120" s="500">
        <f t="shared" si="23"/>
        <v>0</v>
      </c>
      <c r="P120"/>
      <c r="Q120"/>
      <c r="R120"/>
      <c r="S120"/>
      <c r="T120"/>
      <c r="U120"/>
    </row>
    <row r="121" spans="1:21" ht="12.75">
      <c r="A121" s="499" t="str">
        <f t="shared" si="24"/>
        <v>SPED Aides (reimbursed by CPS)</v>
      </c>
      <c r="B121" s="797" t="s">
        <v>208</v>
      </c>
      <c r="C121" s="123">
        <f aca="true" t="shared" si="25" ref="C121:C126">C65*C7</f>
        <v>0</v>
      </c>
      <c r="D121" s="123"/>
      <c r="E121" s="500">
        <f t="shared" si="18"/>
        <v>0</v>
      </c>
      <c r="F121" s="123"/>
      <c r="G121" s="500">
        <f t="shared" si="19"/>
        <v>0</v>
      </c>
      <c r="H121" s="132"/>
      <c r="I121" s="500">
        <f t="shared" si="20"/>
        <v>0</v>
      </c>
      <c r="J121" s="122"/>
      <c r="K121" s="500">
        <f t="shared" si="21"/>
        <v>0</v>
      </c>
      <c r="L121" s="122"/>
      <c r="M121" s="500">
        <f t="shared" si="22"/>
        <v>0</v>
      </c>
      <c r="N121" s="122"/>
      <c r="O121" s="500">
        <f t="shared" si="23"/>
        <v>0</v>
      </c>
      <c r="P121"/>
      <c r="Q121"/>
      <c r="R121"/>
      <c r="S121"/>
      <c r="T121"/>
      <c r="U121"/>
    </row>
    <row r="122" spans="1:21" ht="12.75">
      <c r="A122" s="499" t="str">
        <f t="shared" si="24"/>
        <v>SPED Clinicians-Psychologist (reimbursed by CPS)</v>
      </c>
      <c r="B122" s="797" t="s">
        <v>208</v>
      </c>
      <c r="C122" s="123">
        <f t="shared" si="25"/>
        <v>0</v>
      </c>
      <c r="D122" s="123"/>
      <c r="E122" s="500">
        <f t="shared" si="18"/>
        <v>0</v>
      </c>
      <c r="F122" s="123"/>
      <c r="G122" s="500">
        <f t="shared" si="19"/>
        <v>0</v>
      </c>
      <c r="H122" s="132"/>
      <c r="I122" s="500">
        <f t="shared" si="20"/>
        <v>0</v>
      </c>
      <c r="J122" s="122"/>
      <c r="K122" s="500">
        <f t="shared" si="21"/>
        <v>0</v>
      </c>
      <c r="L122" s="122"/>
      <c r="M122" s="500">
        <f t="shared" si="22"/>
        <v>0</v>
      </c>
      <c r="N122" s="122"/>
      <c r="O122" s="500">
        <f t="shared" si="23"/>
        <v>0</v>
      </c>
      <c r="P122"/>
      <c r="Q122"/>
      <c r="R122"/>
      <c r="S122"/>
      <c r="T122"/>
      <c r="U122"/>
    </row>
    <row r="123" spans="1:21" ht="12.75">
      <c r="A123" s="499" t="str">
        <f t="shared" si="24"/>
        <v>SPED Clinicians-Social Worker (reimbursed by CPS)</v>
      </c>
      <c r="B123" s="797" t="s">
        <v>208</v>
      </c>
      <c r="C123" s="122">
        <f t="shared" si="25"/>
        <v>0</v>
      </c>
      <c r="D123" s="122"/>
      <c r="E123" s="500">
        <f t="shared" si="18"/>
        <v>0</v>
      </c>
      <c r="F123" s="122"/>
      <c r="G123" s="500">
        <f t="shared" si="19"/>
        <v>0</v>
      </c>
      <c r="H123" s="132"/>
      <c r="I123" s="500">
        <f t="shared" si="20"/>
        <v>0</v>
      </c>
      <c r="J123" s="122"/>
      <c r="K123" s="500">
        <f t="shared" si="21"/>
        <v>0</v>
      </c>
      <c r="L123" s="122"/>
      <c r="M123" s="500">
        <f t="shared" si="22"/>
        <v>0</v>
      </c>
      <c r="N123" s="122"/>
      <c r="O123" s="500">
        <f t="shared" si="23"/>
        <v>0</v>
      </c>
      <c r="P123"/>
      <c r="Q123"/>
      <c r="R123"/>
      <c r="S123"/>
      <c r="T123"/>
      <c r="U123"/>
    </row>
    <row r="124" spans="1:21" ht="12.75">
      <c r="A124" s="499" t="str">
        <f t="shared" si="24"/>
        <v>SPED Clinicians-Speech Therapist (reimbursed by CPS)</v>
      </c>
      <c r="B124" s="797" t="s">
        <v>208</v>
      </c>
      <c r="C124" s="123">
        <f t="shared" si="25"/>
        <v>0</v>
      </c>
      <c r="D124" s="123"/>
      <c r="E124" s="500">
        <f t="shared" si="18"/>
        <v>0</v>
      </c>
      <c r="F124" s="123"/>
      <c r="G124" s="500">
        <f t="shared" si="19"/>
        <v>0</v>
      </c>
      <c r="H124" s="132"/>
      <c r="I124" s="500">
        <f t="shared" si="20"/>
        <v>0</v>
      </c>
      <c r="J124" s="122"/>
      <c r="K124" s="500">
        <f t="shared" si="21"/>
        <v>0</v>
      </c>
      <c r="L124" s="122"/>
      <c r="M124" s="500">
        <f t="shared" si="22"/>
        <v>0</v>
      </c>
      <c r="N124" s="122"/>
      <c r="O124" s="500">
        <f t="shared" si="23"/>
        <v>0</v>
      </c>
      <c r="P124"/>
      <c r="Q124"/>
      <c r="R124"/>
      <c r="S124"/>
      <c r="T124"/>
      <c r="U124"/>
    </row>
    <row r="125" spans="1:21" ht="12.75">
      <c r="A125" s="499" t="str">
        <f t="shared" si="24"/>
        <v>SPED Clinicians-Physical Therapist (reimbursed by CPS)</v>
      </c>
      <c r="B125" s="797" t="s">
        <v>208</v>
      </c>
      <c r="C125" s="123">
        <f t="shared" si="25"/>
        <v>0</v>
      </c>
      <c r="D125" s="123"/>
      <c r="E125" s="500">
        <f t="shared" si="18"/>
        <v>0</v>
      </c>
      <c r="F125" s="123"/>
      <c r="G125" s="500">
        <f t="shared" si="19"/>
        <v>0</v>
      </c>
      <c r="H125" s="132"/>
      <c r="I125" s="500">
        <f t="shared" si="20"/>
        <v>0</v>
      </c>
      <c r="J125" s="122"/>
      <c r="K125" s="500">
        <f t="shared" si="21"/>
        <v>0</v>
      </c>
      <c r="L125" s="122"/>
      <c r="M125" s="500">
        <f t="shared" si="22"/>
        <v>0</v>
      </c>
      <c r="N125" s="122"/>
      <c r="O125" s="500">
        <f t="shared" si="23"/>
        <v>0</v>
      </c>
      <c r="P125"/>
      <c r="Q125"/>
      <c r="R125"/>
      <c r="S125"/>
      <c r="T125"/>
      <c r="U125"/>
    </row>
    <row r="126" spans="1:21" ht="12.75">
      <c r="A126" s="499" t="str">
        <f t="shared" si="24"/>
        <v>SPED Clinicians-Occupational Therapist (reimbursed by CPS)</v>
      </c>
      <c r="B126" s="797" t="s">
        <v>208</v>
      </c>
      <c r="C126" s="123">
        <f t="shared" si="25"/>
        <v>0</v>
      </c>
      <c r="D126" s="123"/>
      <c r="E126" s="500">
        <f t="shared" si="18"/>
        <v>0</v>
      </c>
      <c r="F126" s="123"/>
      <c r="G126" s="500">
        <f t="shared" si="19"/>
        <v>0</v>
      </c>
      <c r="H126" s="132"/>
      <c r="I126" s="500">
        <f t="shared" si="20"/>
        <v>0</v>
      </c>
      <c r="J126" s="122"/>
      <c r="K126" s="500">
        <f t="shared" si="21"/>
        <v>0</v>
      </c>
      <c r="L126" s="122"/>
      <c r="M126" s="500">
        <f t="shared" si="22"/>
        <v>0</v>
      </c>
      <c r="N126" s="122"/>
      <c r="O126" s="500">
        <f t="shared" si="23"/>
        <v>0</v>
      </c>
      <c r="P126"/>
      <c r="Q126"/>
      <c r="R126"/>
      <c r="S126"/>
      <c r="T126"/>
      <c r="U126"/>
    </row>
    <row r="127" spans="1:21" ht="12.75">
      <c r="A127" s="499" t="str">
        <f t="shared" si="24"/>
        <v>SPED Clinicians-Nurse (reimbursed by CPS)</v>
      </c>
      <c r="B127" s="797" t="s">
        <v>208</v>
      </c>
      <c r="C127" s="123">
        <f>C71*C19</f>
        <v>0</v>
      </c>
      <c r="D127" s="123"/>
      <c r="E127" s="500">
        <f t="shared" si="18"/>
        <v>0</v>
      </c>
      <c r="F127" s="123"/>
      <c r="G127" s="500">
        <f t="shared" si="19"/>
        <v>0</v>
      </c>
      <c r="H127" s="132"/>
      <c r="I127" s="500">
        <f t="shared" si="20"/>
        <v>0</v>
      </c>
      <c r="J127" s="122"/>
      <c r="K127" s="500">
        <f t="shared" si="21"/>
        <v>0</v>
      </c>
      <c r="L127" s="122"/>
      <c r="M127" s="500">
        <f t="shared" si="22"/>
        <v>0</v>
      </c>
      <c r="N127" s="122"/>
      <c r="O127" s="500">
        <f t="shared" si="23"/>
        <v>0</v>
      </c>
      <c r="P127"/>
      <c r="Q127"/>
      <c r="R127"/>
      <c r="S127"/>
      <c r="T127"/>
      <c r="U127"/>
    </row>
    <row r="128" spans="1:21" ht="12.75">
      <c r="A128" s="394" t="str">
        <f t="shared" si="24"/>
        <v>Teachers Aides</v>
      </c>
      <c r="B128" s="797" t="s">
        <v>208</v>
      </c>
      <c r="C128" s="123">
        <f>C72*C20</f>
        <v>0</v>
      </c>
      <c r="D128" s="123"/>
      <c r="E128" s="500">
        <f t="shared" si="18"/>
        <v>0</v>
      </c>
      <c r="F128" s="123"/>
      <c r="G128" s="500">
        <f t="shared" si="19"/>
        <v>0</v>
      </c>
      <c r="H128" s="132"/>
      <c r="I128" s="500">
        <f t="shared" si="20"/>
        <v>0</v>
      </c>
      <c r="J128" s="122"/>
      <c r="K128" s="500">
        <f t="shared" si="21"/>
        <v>0</v>
      </c>
      <c r="L128" s="122"/>
      <c r="M128" s="500">
        <f t="shared" si="22"/>
        <v>0</v>
      </c>
      <c r="N128" s="122"/>
      <c r="O128" s="500">
        <f t="shared" si="23"/>
        <v>0</v>
      </c>
      <c r="P128"/>
      <c r="Q128"/>
      <c r="R128"/>
      <c r="S128"/>
      <c r="T128"/>
      <c r="U128"/>
    </row>
    <row r="129" spans="1:21" ht="12.75" customHeight="1" thickBot="1">
      <c r="A129" s="394" t="str">
        <f t="shared" si="24"/>
        <v>Counselors</v>
      </c>
      <c r="B129" s="797" t="s">
        <v>208</v>
      </c>
      <c r="C129" s="124"/>
      <c r="D129" s="124"/>
      <c r="E129" s="500">
        <f t="shared" si="18"/>
        <v>0</v>
      </c>
      <c r="F129" s="124"/>
      <c r="G129" s="500">
        <f t="shared" si="19"/>
        <v>0</v>
      </c>
      <c r="H129" s="132"/>
      <c r="I129" s="500">
        <f t="shared" si="20"/>
        <v>0</v>
      </c>
      <c r="J129" s="122"/>
      <c r="K129" s="500">
        <f t="shared" si="21"/>
        <v>0</v>
      </c>
      <c r="L129" s="122"/>
      <c r="M129" s="500">
        <f t="shared" si="22"/>
        <v>0</v>
      </c>
      <c r="N129" s="122"/>
      <c r="O129" s="500">
        <f t="shared" si="23"/>
        <v>0</v>
      </c>
      <c r="P129"/>
      <c r="Q129"/>
      <c r="R129"/>
      <c r="S129"/>
      <c r="T129"/>
      <c r="U129"/>
    </row>
    <row r="130" spans="1:21" ht="12.75" customHeight="1" thickBot="1">
      <c r="A130" s="394" t="str">
        <f t="shared" si="24"/>
        <v>Librarians</v>
      </c>
      <c r="B130" s="797" t="s">
        <v>208</v>
      </c>
      <c r="C130" s="156">
        <f>SUM(C121:C129)</f>
        <v>0</v>
      </c>
      <c r="D130" s="123"/>
      <c r="E130" s="500">
        <f t="shared" si="18"/>
        <v>0</v>
      </c>
      <c r="F130" s="123"/>
      <c r="G130" s="500">
        <f t="shared" si="19"/>
        <v>0</v>
      </c>
      <c r="H130" s="132"/>
      <c r="I130" s="500">
        <f t="shared" si="20"/>
        <v>0</v>
      </c>
      <c r="J130" s="122"/>
      <c r="K130" s="500">
        <f t="shared" si="21"/>
        <v>0</v>
      </c>
      <c r="L130" s="122"/>
      <c r="M130" s="500">
        <f t="shared" si="22"/>
        <v>0</v>
      </c>
      <c r="N130" s="122"/>
      <c r="O130" s="500">
        <f t="shared" si="23"/>
        <v>0</v>
      </c>
      <c r="P130"/>
      <c r="Q130"/>
      <c r="R130"/>
      <c r="S130"/>
      <c r="T130"/>
      <c r="U130"/>
    </row>
    <row r="131" spans="1:21" ht="12.75" customHeight="1">
      <c r="A131" s="394" t="str">
        <f t="shared" si="24"/>
        <v>Deans</v>
      </c>
      <c r="B131" s="797" t="s">
        <v>208</v>
      </c>
      <c r="C131" s="125"/>
      <c r="D131" s="125"/>
      <c r="E131" s="500">
        <f t="shared" si="18"/>
        <v>0</v>
      </c>
      <c r="F131" s="125"/>
      <c r="G131" s="500">
        <f t="shared" si="19"/>
        <v>0</v>
      </c>
      <c r="H131" s="132"/>
      <c r="I131" s="500">
        <f t="shared" si="20"/>
        <v>0</v>
      </c>
      <c r="J131" s="122"/>
      <c r="K131" s="500">
        <f t="shared" si="21"/>
        <v>0</v>
      </c>
      <c r="L131" s="122"/>
      <c r="M131" s="500">
        <f t="shared" si="22"/>
        <v>0</v>
      </c>
      <c r="N131" s="122"/>
      <c r="O131" s="500">
        <f t="shared" si="23"/>
        <v>0</v>
      </c>
      <c r="P131"/>
      <c r="Q131"/>
      <c r="R131"/>
      <c r="S131"/>
      <c r="T131"/>
      <c r="U131"/>
    </row>
    <row r="132" spans="1:21" ht="12.75">
      <c r="A132" s="394" t="str">
        <f t="shared" si="24"/>
        <v>Principal</v>
      </c>
      <c r="B132" s="797" t="s">
        <v>208</v>
      </c>
      <c r="C132" s="123">
        <f>C74*C28</f>
        <v>0</v>
      </c>
      <c r="D132" s="123"/>
      <c r="E132" s="500">
        <f t="shared" si="18"/>
        <v>0</v>
      </c>
      <c r="F132" s="123"/>
      <c r="G132" s="500">
        <f t="shared" si="19"/>
        <v>0</v>
      </c>
      <c r="H132" s="132"/>
      <c r="I132" s="500">
        <f t="shared" si="20"/>
        <v>0</v>
      </c>
      <c r="J132" s="122"/>
      <c r="K132" s="500">
        <f t="shared" si="21"/>
        <v>0</v>
      </c>
      <c r="L132" s="122"/>
      <c r="M132" s="500">
        <f t="shared" si="22"/>
        <v>0</v>
      </c>
      <c r="N132" s="122"/>
      <c r="O132" s="500">
        <f t="shared" si="23"/>
        <v>0</v>
      </c>
      <c r="P132"/>
      <c r="Q132"/>
      <c r="R132"/>
      <c r="S132"/>
      <c r="T132"/>
      <c r="U132"/>
    </row>
    <row r="133" spans="1:21" ht="12.75">
      <c r="A133" s="394" t="str">
        <f t="shared" si="24"/>
        <v>Assistant Principal</v>
      </c>
      <c r="B133" s="797" t="s">
        <v>208</v>
      </c>
      <c r="C133" s="123">
        <f>C75*C29</f>
        <v>0</v>
      </c>
      <c r="D133" s="123"/>
      <c r="E133" s="500">
        <f t="shared" si="18"/>
        <v>0</v>
      </c>
      <c r="F133" s="123"/>
      <c r="G133" s="500">
        <f t="shared" si="19"/>
        <v>0</v>
      </c>
      <c r="H133" s="132"/>
      <c r="I133" s="500">
        <f t="shared" si="20"/>
        <v>0</v>
      </c>
      <c r="J133" s="122"/>
      <c r="K133" s="500">
        <f t="shared" si="21"/>
        <v>0</v>
      </c>
      <c r="L133" s="122"/>
      <c r="M133" s="500">
        <f t="shared" si="22"/>
        <v>0</v>
      </c>
      <c r="N133" s="122"/>
      <c r="O133" s="500">
        <f t="shared" si="23"/>
        <v>0</v>
      </c>
      <c r="P133"/>
      <c r="Q133"/>
      <c r="R133"/>
      <c r="S133"/>
      <c r="T133"/>
      <c r="U133"/>
    </row>
    <row r="134" spans="1:21" ht="12.75">
      <c r="A134" s="394" t="str">
        <f t="shared" si="24"/>
        <v>A</v>
      </c>
      <c r="B134" s="797" t="s">
        <v>208</v>
      </c>
      <c r="C134" s="123">
        <f aca="true" t="shared" si="26" ref="C134:C141">C76*C30</f>
        <v>0</v>
      </c>
      <c r="D134" s="123"/>
      <c r="E134" s="500">
        <f t="shared" si="18"/>
        <v>0</v>
      </c>
      <c r="F134" s="123"/>
      <c r="G134" s="500">
        <f t="shared" si="19"/>
        <v>0</v>
      </c>
      <c r="H134" s="132"/>
      <c r="I134" s="500">
        <f t="shared" si="20"/>
        <v>0</v>
      </c>
      <c r="J134" s="122"/>
      <c r="K134" s="500">
        <f t="shared" si="21"/>
        <v>0</v>
      </c>
      <c r="L134" s="122"/>
      <c r="M134" s="500">
        <f t="shared" si="22"/>
        <v>0</v>
      </c>
      <c r="N134" s="122"/>
      <c r="O134" s="500">
        <f t="shared" si="23"/>
        <v>0</v>
      </c>
      <c r="P134"/>
      <c r="Q134"/>
      <c r="R134"/>
      <c r="S134"/>
      <c r="T134"/>
      <c r="U134"/>
    </row>
    <row r="135" spans="1:21" ht="12.75">
      <c r="A135" s="784" t="str">
        <f t="shared" si="24"/>
        <v>B</v>
      </c>
      <c r="B135" s="797" t="s">
        <v>208</v>
      </c>
      <c r="C135" s="123">
        <f t="shared" si="26"/>
        <v>0</v>
      </c>
      <c r="D135" s="123"/>
      <c r="E135" s="500">
        <f t="shared" si="18"/>
        <v>0</v>
      </c>
      <c r="F135" s="123"/>
      <c r="G135" s="500">
        <f t="shared" si="19"/>
        <v>0</v>
      </c>
      <c r="H135" s="132"/>
      <c r="I135" s="500">
        <f t="shared" si="20"/>
        <v>0</v>
      </c>
      <c r="J135" s="122"/>
      <c r="K135" s="500">
        <f t="shared" si="21"/>
        <v>0</v>
      </c>
      <c r="L135" s="122"/>
      <c r="M135" s="500">
        <f t="shared" si="22"/>
        <v>0</v>
      </c>
      <c r="N135" s="122"/>
      <c r="O135" s="500">
        <f t="shared" si="23"/>
        <v>0</v>
      </c>
      <c r="P135"/>
      <c r="Q135"/>
      <c r="R135"/>
      <c r="S135"/>
      <c r="T135"/>
      <c r="U135"/>
    </row>
    <row r="136" spans="1:21" ht="12.75">
      <c r="A136" s="784" t="str">
        <f t="shared" si="24"/>
        <v>C</v>
      </c>
      <c r="B136" s="797" t="s">
        <v>208</v>
      </c>
      <c r="C136" s="123">
        <f t="shared" si="26"/>
        <v>0</v>
      </c>
      <c r="D136" s="123"/>
      <c r="E136" s="500">
        <f t="shared" si="18"/>
        <v>0</v>
      </c>
      <c r="F136" s="123"/>
      <c r="G136" s="500">
        <f t="shared" si="19"/>
        <v>0</v>
      </c>
      <c r="H136" s="132"/>
      <c r="I136" s="500">
        <f t="shared" si="20"/>
        <v>0</v>
      </c>
      <c r="J136" s="122"/>
      <c r="K136" s="500">
        <f t="shared" si="21"/>
        <v>0</v>
      </c>
      <c r="L136" s="122"/>
      <c r="M136" s="500">
        <f t="shared" si="22"/>
        <v>0</v>
      </c>
      <c r="N136" s="122"/>
      <c r="O136" s="500">
        <f t="shared" si="23"/>
        <v>0</v>
      </c>
      <c r="P136"/>
      <c r="Q136"/>
      <c r="R136"/>
      <c r="S136"/>
      <c r="T136"/>
      <c r="U136"/>
    </row>
    <row r="137" spans="1:21" ht="12.75">
      <c r="A137" s="784" t="str">
        <f t="shared" si="24"/>
        <v>D</v>
      </c>
      <c r="B137" s="797" t="s">
        <v>208</v>
      </c>
      <c r="C137" s="123">
        <f t="shared" si="26"/>
        <v>0</v>
      </c>
      <c r="D137" s="123"/>
      <c r="E137" s="500">
        <f t="shared" si="18"/>
        <v>0</v>
      </c>
      <c r="F137" s="123"/>
      <c r="G137" s="500">
        <f t="shared" si="19"/>
        <v>0</v>
      </c>
      <c r="H137" s="132"/>
      <c r="I137" s="500">
        <f t="shared" si="20"/>
        <v>0</v>
      </c>
      <c r="J137" s="122"/>
      <c r="K137" s="500">
        <f t="shared" si="21"/>
        <v>0</v>
      </c>
      <c r="L137" s="122"/>
      <c r="M137" s="500">
        <f t="shared" si="22"/>
        <v>0</v>
      </c>
      <c r="N137" s="122"/>
      <c r="O137" s="500">
        <f t="shared" si="23"/>
        <v>0</v>
      </c>
      <c r="P137"/>
      <c r="Q137"/>
      <c r="R137"/>
      <c r="S137"/>
      <c r="T137"/>
      <c r="U137"/>
    </row>
    <row r="138" spans="1:21" ht="12.75">
      <c r="A138" s="784" t="str">
        <f t="shared" si="24"/>
        <v>E</v>
      </c>
      <c r="B138" s="797" t="s">
        <v>208</v>
      </c>
      <c r="C138" s="123">
        <f t="shared" si="26"/>
        <v>0</v>
      </c>
      <c r="D138" s="123"/>
      <c r="E138" s="500">
        <f t="shared" si="18"/>
        <v>0</v>
      </c>
      <c r="F138" s="123"/>
      <c r="G138" s="500">
        <f t="shared" si="19"/>
        <v>0</v>
      </c>
      <c r="H138" s="132"/>
      <c r="I138" s="500">
        <f t="shared" si="20"/>
        <v>0</v>
      </c>
      <c r="J138" s="122"/>
      <c r="K138" s="500">
        <f t="shared" si="21"/>
        <v>0</v>
      </c>
      <c r="L138" s="122"/>
      <c r="M138" s="500">
        <f t="shared" si="22"/>
        <v>0</v>
      </c>
      <c r="N138" s="122"/>
      <c r="O138" s="500">
        <f t="shared" si="23"/>
        <v>0</v>
      </c>
      <c r="P138"/>
      <c r="Q138"/>
      <c r="R138"/>
      <c r="S138"/>
      <c r="T138"/>
      <c r="U138"/>
    </row>
    <row r="139" spans="1:21" ht="12.75">
      <c r="A139" s="784" t="str">
        <f t="shared" si="24"/>
        <v>F</v>
      </c>
      <c r="B139" s="797" t="s">
        <v>208</v>
      </c>
      <c r="C139" s="123">
        <f t="shared" si="26"/>
        <v>0</v>
      </c>
      <c r="D139" s="123"/>
      <c r="E139" s="500">
        <f t="shared" si="18"/>
        <v>0</v>
      </c>
      <c r="F139" s="123"/>
      <c r="G139" s="500">
        <f t="shared" si="19"/>
        <v>0</v>
      </c>
      <c r="H139" s="132"/>
      <c r="I139" s="500">
        <f t="shared" si="20"/>
        <v>0</v>
      </c>
      <c r="J139" s="122"/>
      <c r="K139" s="500">
        <f t="shared" si="21"/>
        <v>0</v>
      </c>
      <c r="L139" s="122"/>
      <c r="M139" s="500">
        <f t="shared" si="22"/>
        <v>0</v>
      </c>
      <c r="N139" s="122"/>
      <c r="O139" s="500">
        <f t="shared" si="23"/>
        <v>0</v>
      </c>
      <c r="P139"/>
      <c r="Q139"/>
      <c r="R139"/>
      <c r="S139"/>
      <c r="T139"/>
      <c r="U139"/>
    </row>
    <row r="140" spans="1:21" ht="12.75">
      <c r="A140" s="784" t="str">
        <f t="shared" si="24"/>
        <v>G</v>
      </c>
      <c r="B140" s="797" t="s">
        <v>208</v>
      </c>
      <c r="C140" s="123">
        <f t="shared" si="26"/>
        <v>0</v>
      </c>
      <c r="D140" s="123"/>
      <c r="E140" s="500">
        <f t="shared" si="18"/>
        <v>0</v>
      </c>
      <c r="F140" s="123"/>
      <c r="G140" s="500">
        <f t="shared" si="19"/>
        <v>0</v>
      </c>
      <c r="H140" s="132"/>
      <c r="I140" s="500">
        <f t="shared" si="20"/>
        <v>0</v>
      </c>
      <c r="J140" s="122"/>
      <c r="K140" s="500">
        <f t="shared" si="21"/>
        <v>0</v>
      </c>
      <c r="L140" s="122"/>
      <c r="M140" s="500">
        <f t="shared" si="22"/>
        <v>0</v>
      </c>
      <c r="N140" s="122"/>
      <c r="O140" s="500">
        <f t="shared" si="23"/>
        <v>0</v>
      </c>
      <c r="P140"/>
      <c r="Q140"/>
      <c r="R140"/>
      <c r="S140"/>
      <c r="T140"/>
      <c r="U140"/>
    </row>
    <row r="141" spans="1:21" ht="13.5" thickBot="1">
      <c r="A141" s="785" t="str">
        <f t="shared" si="24"/>
        <v>H</v>
      </c>
      <c r="B141" s="798" t="s">
        <v>208</v>
      </c>
      <c r="C141" s="416">
        <f t="shared" si="26"/>
        <v>0</v>
      </c>
      <c r="D141" s="416"/>
      <c r="E141" s="501">
        <f t="shared" si="18"/>
        <v>0</v>
      </c>
      <c r="F141" s="416"/>
      <c r="G141" s="501">
        <f t="shared" si="19"/>
        <v>0</v>
      </c>
      <c r="H141" s="991"/>
      <c r="I141" s="501">
        <f t="shared" si="20"/>
        <v>0</v>
      </c>
      <c r="J141" s="832"/>
      <c r="K141" s="501">
        <f t="shared" si="21"/>
        <v>0</v>
      </c>
      <c r="L141" s="832"/>
      <c r="M141" s="501">
        <f t="shared" si="22"/>
        <v>0</v>
      </c>
      <c r="N141" s="832"/>
      <c r="O141" s="501">
        <f t="shared" si="23"/>
        <v>0</v>
      </c>
      <c r="P141"/>
      <c r="Q141"/>
      <c r="R141"/>
      <c r="S141"/>
      <c r="T141"/>
      <c r="U141"/>
    </row>
    <row r="142" spans="1:21" ht="13.5" thickBot="1">
      <c r="A142" s="503" t="s">
        <v>260</v>
      </c>
      <c r="B142" s="799"/>
      <c r="C142" s="417"/>
      <c r="D142" s="417"/>
      <c r="E142" s="502">
        <f>SUM(E119:E141)</f>
        <v>0</v>
      </c>
      <c r="F142" s="417"/>
      <c r="G142" s="502">
        <f>SUM(G119:G141)</f>
        <v>0</v>
      </c>
      <c r="H142" s="417"/>
      <c r="I142" s="502">
        <f>SUM(I119:I141)</f>
        <v>0</v>
      </c>
      <c r="J142" s="417"/>
      <c r="K142" s="502">
        <f>SUM(K119:K141)</f>
        <v>0</v>
      </c>
      <c r="L142" s="417"/>
      <c r="M142" s="502">
        <f>SUM(M119:M141)</f>
        <v>0</v>
      </c>
      <c r="N142" s="417"/>
      <c r="O142" s="502">
        <f>SUM(O119:O141)</f>
        <v>0</v>
      </c>
      <c r="P142"/>
      <c r="Q142"/>
      <c r="R142"/>
      <c r="S142"/>
      <c r="T142"/>
      <c r="U142"/>
    </row>
    <row r="143" spans="1:21" ht="13.5" thickBot="1">
      <c r="A143" s="928" t="s">
        <v>347</v>
      </c>
      <c r="B143" s="505"/>
      <c r="C143" s="146"/>
      <c r="D143" s="146"/>
      <c r="E143" s="504"/>
      <c r="F143" s="125"/>
      <c r="G143" s="504"/>
      <c r="H143" s="125"/>
      <c r="I143" s="504"/>
      <c r="J143" s="125"/>
      <c r="K143" s="504"/>
      <c r="L143" s="125"/>
      <c r="M143" s="504"/>
      <c r="N143" s="125"/>
      <c r="O143" s="504"/>
      <c r="P143"/>
      <c r="Q143"/>
      <c r="R143"/>
      <c r="S143"/>
      <c r="T143"/>
      <c r="U143"/>
    </row>
    <row r="144" spans="1:21" ht="12.75">
      <c r="A144" s="786" t="s">
        <v>254</v>
      </c>
      <c r="B144" s="800" t="s">
        <v>208</v>
      </c>
      <c r="C144" s="123"/>
      <c r="D144" s="123"/>
      <c r="E144" s="800">
        <v>0</v>
      </c>
      <c r="F144" s="123"/>
      <c r="G144" s="157"/>
      <c r="H144" s="123"/>
      <c r="I144" s="157"/>
      <c r="J144" s="123"/>
      <c r="K144" s="157"/>
      <c r="L144" s="123"/>
      <c r="M144" s="157"/>
      <c r="N144" s="123"/>
      <c r="O144" s="157"/>
      <c r="P144"/>
      <c r="Q144"/>
      <c r="R144"/>
      <c r="S144"/>
      <c r="T144"/>
      <c r="U144"/>
    </row>
    <row r="145" spans="1:21" ht="12.75">
      <c r="A145" s="786" t="s">
        <v>257</v>
      </c>
      <c r="B145" s="800" t="s">
        <v>208</v>
      </c>
      <c r="C145" s="123"/>
      <c r="D145" s="123"/>
      <c r="E145" s="800">
        <v>0</v>
      </c>
      <c r="F145" s="123"/>
      <c r="G145" s="157"/>
      <c r="H145" s="123"/>
      <c r="I145" s="157"/>
      <c r="J145" s="123"/>
      <c r="K145" s="157"/>
      <c r="L145" s="123"/>
      <c r="M145" s="157"/>
      <c r="N145" s="123"/>
      <c r="O145" s="157"/>
      <c r="P145"/>
      <c r="Q145"/>
      <c r="R145"/>
      <c r="S145"/>
      <c r="T145"/>
      <c r="U145"/>
    </row>
    <row r="146" spans="1:21" ht="12.75">
      <c r="A146" s="786" t="s">
        <v>255</v>
      </c>
      <c r="B146" s="800" t="s">
        <v>208</v>
      </c>
      <c r="C146" s="123"/>
      <c r="D146" s="123"/>
      <c r="E146" s="800">
        <v>0</v>
      </c>
      <c r="F146" s="123"/>
      <c r="G146" s="157"/>
      <c r="H146" s="123"/>
      <c r="I146" s="157"/>
      <c r="J146" s="123"/>
      <c r="K146" s="157"/>
      <c r="L146" s="123"/>
      <c r="M146" s="157"/>
      <c r="N146" s="123"/>
      <c r="O146" s="157"/>
      <c r="P146"/>
      <c r="Q146"/>
      <c r="R146"/>
      <c r="S146"/>
      <c r="T146"/>
      <c r="U146"/>
    </row>
    <row r="147" spans="1:21" ht="13.5" thickBot="1">
      <c r="A147" s="787" t="s">
        <v>256</v>
      </c>
      <c r="B147" s="800" t="s">
        <v>208</v>
      </c>
      <c r="C147" s="123"/>
      <c r="D147" s="123"/>
      <c r="E147" s="831">
        <v>0</v>
      </c>
      <c r="F147" s="123"/>
      <c r="G147" s="698"/>
      <c r="H147" s="416"/>
      <c r="I147" s="698"/>
      <c r="J147" s="416"/>
      <c r="K147" s="698"/>
      <c r="L147" s="416"/>
      <c r="M147" s="698"/>
      <c r="N147" s="416"/>
      <c r="O147" s="698"/>
      <c r="P147"/>
      <c r="Q147"/>
      <c r="R147"/>
      <c r="S147"/>
      <c r="T147"/>
      <c r="U147"/>
    </row>
    <row r="148" spans="1:21" ht="13.5" thickBot="1">
      <c r="A148" s="503" t="s">
        <v>261</v>
      </c>
      <c r="B148" s="801"/>
      <c r="C148" s="832"/>
      <c r="D148" s="832"/>
      <c r="E148" s="502">
        <f>SUM(E144:E147)</f>
        <v>0</v>
      </c>
      <c r="F148" s="821"/>
      <c r="G148" s="502">
        <f>SUM(G144:G147)</f>
        <v>0</v>
      </c>
      <c r="H148" s="418"/>
      <c r="I148" s="502">
        <f>SUM(I144:I147)</f>
        <v>0</v>
      </c>
      <c r="J148" s="417"/>
      <c r="K148" s="502">
        <f>SUM(K144:K147)</f>
        <v>0</v>
      </c>
      <c r="L148" s="417"/>
      <c r="M148" s="502">
        <f>SUM(M144:M147)</f>
        <v>0</v>
      </c>
      <c r="N148" s="417"/>
      <c r="O148" s="502">
        <f>SUM(O144:O147)</f>
        <v>0</v>
      </c>
      <c r="P148"/>
      <c r="Q148"/>
      <c r="R148"/>
      <c r="S148"/>
      <c r="T148"/>
      <c r="U148"/>
    </row>
    <row r="149" spans="1:21" ht="40.5" customHeight="1" thickBot="1">
      <c r="A149" s="808" t="str">
        <f aca="true" t="shared" si="27" ref="A149:A176">A30</f>
        <v>Positions that Do NOT Participate in the Chicago Teachers Pension Fund (ALOP Programs and Contract Schools should enter ALL of their employees in this section):         </v>
      </c>
      <c r="B149" s="802"/>
      <c r="C149" s="520"/>
      <c r="D149" s="520"/>
      <c r="E149" s="520"/>
      <c r="F149" s="520"/>
      <c r="G149" s="520"/>
      <c r="H149" s="520"/>
      <c r="I149" s="520"/>
      <c r="J149" s="520"/>
      <c r="K149" s="520"/>
      <c r="L149" s="520"/>
      <c r="M149" s="520"/>
      <c r="N149" s="520"/>
      <c r="O149" s="521"/>
      <c r="P149"/>
      <c r="Q149"/>
      <c r="R149"/>
      <c r="S149"/>
      <c r="T149"/>
      <c r="U149"/>
    </row>
    <row r="150" spans="1:21" ht="12.75">
      <c r="A150" s="393" t="str">
        <f t="shared" si="27"/>
        <v>Teachers</v>
      </c>
      <c r="B150" s="796" t="s">
        <v>208</v>
      </c>
      <c r="C150" s="146">
        <f aca="true" t="shared" si="28" ref="C150:C166">C85*C39</f>
        <v>0</v>
      </c>
      <c r="D150" s="146"/>
      <c r="E150" s="504">
        <f>E31*E89</f>
        <v>0</v>
      </c>
      <c r="F150" s="125">
        <f>F31*F89</f>
        <v>0</v>
      </c>
      <c r="G150" s="504">
        <f>G31*G89</f>
        <v>90000</v>
      </c>
      <c r="H150" s="125"/>
      <c r="I150" s="504">
        <f>I31*I89</f>
        <v>162225</v>
      </c>
      <c r="J150" s="125"/>
      <c r="K150" s="504">
        <f aca="true" t="shared" si="29" ref="K150:K176">K31*K89</f>
        <v>238702.5</v>
      </c>
      <c r="L150" s="125"/>
      <c r="M150" s="504">
        <f aca="true" t="shared" si="30" ref="M150:M176">M31*M89</f>
        <v>245863.575</v>
      </c>
      <c r="N150" s="125"/>
      <c r="O150" s="504">
        <f aca="true" t="shared" si="31" ref="O150:O176">O31*O89</f>
        <v>253239.48225000003</v>
      </c>
      <c r="P150"/>
      <c r="Q150"/>
      <c r="R150"/>
      <c r="S150"/>
      <c r="T150"/>
      <c r="U150"/>
    </row>
    <row r="151" spans="1:21" ht="12.75">
      <c r="A151" s="499" t="str">
        <f t="shared" si="27"/>
        <v>SPED Teachers (positions that are reimbursed by CPS)</v>
      </c>
      <c r="B151" s="796" t="s">
        <v>208</v>
      </c>
      <c r="C151" s="123">
        <f t="shared" si="28"/>
        <v>0</v>
      </c>
      <c r="D151" s="123"/>
      <c r="E151" s="504">
        <f aca="true" t="shared" si="32" ref="E151:E176">E32*E90</f>
        <v>0</v>
      </c>
      <c r="F151" s="125"/>
      <c r="G151" s="504">
        <f aca="true" t="shared" si="33" ref="G151:G176">G32*G90</f>
        <v>59850</v>
      </c>
      <c r="H151" s="125"/>
      <c r="I151" s="504">
        <f aca="true" t="shared" si="34" ref="I151:I176">I32*I90</f>
        <v>107995.5</v>
      </c>
      <c r="J151" s="125"/>
      <c r="K151" s="504">
        <f t="shared" si="29"/>
        <v>158975.865</v>
      </c>
      <c r="L151" s="125"/>
      <c r="M151" s="504">
        <f t="shared" si="30"/>
        <v>163745.14095000003</v>
      </c>
      <c r="N151" s="125"/>
      <c r="O151" s="504">
        <f t="shared" si="31"/>
        <v>168657.49517850002</v>
      </c>
      <c r="P151"/>
      <c r="Q151"/>
      <c r="R151"/>
      <c r="S151"/>
      <c r="T151"/>
      <c r="U151"/>
    </row>
    <row r="152" spans="1:21" ht="12.75">
      <c r="A152" s="499" t="str">
        <f t="shared" si="27"/>
        <v>SPED Aides (positions that are reimbursed by CPS)</v>
      </c>
      <c r="B152" s="796" t="s">
        <v>208</v>
      </c>
      <c r="C152" s="123">
        <f t="shared" si="28"/>
        <v>0</v>
      </c>
      <c r="D152" s="123"/>
      <c r="E152" s="504">
        <f t="shared" si="32"/>
        <v>0</v>
      </c>
      <c r="F152" s="125"/>
      <c r="G152" s="504">
        <f t="shared" si="33"/>
        <v>0</v>
      </c>
      <c r="H152" s="125"/>
      <c r="I152" s="504">
        <f t="shared" si="34"/>
        <v>0</v>
      </c>
      <c r="J152" s="125"/>
      <c r="K152" s="504">
        <f t="shared" si="29"/>
        <v>0</v>
      </c>
      <c r="L152" s="125"/>
      <c r="M152" s="504">
        <f t="shared" si="30"/>
        <v>0</v>
      </c>
      <c r="N152" s="125"/>
      <c r="O152" s="504">
        <f t="shared" si="31"/>
        <v>0</v>
      </c>
      <c r="P152"/>
      <c r="Q152"/>
      <c r="R152"/>
      <c r="S152"/>
      <c r="T152"/>
      <c r="U152"/>
    </row>
    <row r="153" spans="1:21" ht="12.75">
      <c r="A153" s="499" t="str">
        <f t="shared" si="27"/>
        <v>SPED Clinicians-Psychologist (reimbursed by CPS)</v>
      </c>
      <c r="B153" s="796" t="s">
        <v>208</v>
      </c>
      <c r="C153" s="123">
        <f t="shared" si="28"/>
        <v>0</v>
      </c>
      <c r="D153" s="123"/>
      <c r="E153" s="504">
        <f t="shared" si="32"/>
        <v>0</v>
      </c>
      <c r="F153" s="125"/>
      <c r="G153" s="504">
        <f t="shared" si="33"/>
        <v>0</v>
      </c>
      <c r="H153" s="125"/>
      <c r="I153" s="504">
        <f t="shared" si="34"/>
        <v>0</v>
      </c>
      <c r="J153" s="125"/>
      <c r="K153" s="504">
        <f t="shared" si="29"/>
        <v>0</v>
      </c>
      <c r="L153" s="125"/>
      <c r="M153" s="504">
        <f t="shared" si="30"/>
        <v>0</v>
      </c>
      <c r="N153" s="125"/>
      <c r="O153" s="504">
        <f t="shared" si="31"/>
        <v>0</v>
      </c>
      <c r="P153"/>
      <c r="Q153"/>
      <c r="R153"/>
      <c r="S153"/>
      <c r="T153"/>
      <c r="U153"/>
    </row>
    <row r="154" spans="1:21" ht="12.75">
      <c r="A154" s="499" t="str">
        <f t="shared" si="27"/>
        <v>SPED Clinicians-Social Worker (reimbursed by CPS)</v>
      </c>
      <c r="B154" s="796" t="s">
        <v>208</v>
      </c>
      <c r="C154" s="123">
        <f t="shared" si="28"/>
        <v>0</v>
      </c>
      <c r="D154" s="123"/>
      <c r="E154" s="504">
        <f t="shared" si="32"/>
        <v>0</v>
      </c>
      <c r="F154" s="125"/>
      <c r="G154" s="504">
        <f t="shared" si="33"/>
        <v>0</v>
      </c>
      <c r="H154" s="125"/>
      <c r="I154" s="504">
        <f t="shared" si="34"/>
        <v>0</v>
      </c>
      <c r="J154" s="125"/>
      <c r="K154" s="504">
        <f t="shared" si="29"/>
        <v>0</v>
      </c>
      <c r="L154" s="125"/>
      <c r="M154" s="504">
        <f t="shared" si="30"/>
        <v>0</v>
      </c>
      <c r="N154" s="125"/>
      <c r="O154" s="504">
        <f t="shared" si="31"/>
        <v>0</v>
      </c>
      <c r="P154"/>
      <c r="Q154"/>
      <c r="R154"/>
      <c r="S154"/>
      <c r="T154"/>
      <c r="U154"/>
    </row>
    <row r="155" spans="1:21" ht="12.75">
      <c r="A155" s="499" t="str">
        <f t="shared" si="27"/>
        <v>SPED Clinicians-Speech Therapist (reimbursed by CPS)</v>
      </c>
      <c r="B155" s="796" t="s">
        <v>208</v>
      </c>
      <c r="C155" s="123">
        <f t="shared" si="28"/>
        <v>0</v>
      </c>
      <c r="D155" s="123"/>
      <c r="E155" s="504">
        <f t="shared" si="32"/>
        <v>0</v>
      </c>
      <c r="F155" s="125"/>
      <c r="G155" s="504">
        <f t="shared" si="33"/>
        <v>0</v>
      </c>
      <c r="H155" s="125"/>
      <c r="I155" s="504">
        <f t="shared" si="34"/>
        <v>0</v>
      </c>
      <c r="J155" s="125"/>
      <c r="K155" s="504">
        <f t="shared" si="29"/>
        <v>0</v>
      </c>
      <c r="L155" s="125"/>
      <c r="M155" s="504">
        <f t="shared" si="30"/>
        <v>0</v>
      </c>
      <c r="N155" s="125"/>
      <c r="O155" s="504">
        <f t="shared" si="31"/>
        <v>0</v>
      </c>
      <c r="P155"/>
      <c r="Q155"/>
      <c r="R155"/>
      <c r="S155"/>
      <c r="T155"/>
      <c r="U155"/>
    </row>
    <row r="156" spans="1:21" ht="12.75">
      <c r="A156" s="499" t="str">
        <f t="shared" si="27"/>
        <v>SPED Clinicians-Physical Therapist (reimbursed by CPS)</v>
      </c>
      <c r="B156" s="796" t="s">
        <v>208</v>
      </c>
      <c r="C156" s="123">
        <f t="shared" si="28"/>
        <v>0</v>
      </c>
      <c r="D156" s="123"/>
      <c r="E156" s="504">
        <f t="shared" si="32"/>
        <v>0</v>
      </c>
      <c r="F156" s="125"/>
      <c r="G156" s="504">
        <f t="shared" si="33"/>
        <v>0</v>
      </c>
      <c r="H156" s="125"/>
      <c r="I156" s="504">
        <f t="shared" si="34"/>
        <v>0</v>
      </c>
      <c r="J156" s="125"/>
      <c r="K156" s="504">
        <f t="shared" si="29"/>
        <v>0</v>
      </c>
      <c r="L156" s="125"/>
      <c r="M156" s="504">
        <f t="shared" si="30"/>
        <v>0</v>
      </c>
      <c r="N156" s="125"/>
      <c r="O156" s="504">
        <f t="shared" si="31"/>
        <v>0</v>
      </c>
      <c r="P156"/>
      <c r="Q156"/>
      <c r="R156"/>
      <c r="S156"/>
      <c r="T156"/>
      <c r="U156"/>
    </row>
    <row r="157" spans="1:21" ht="12.75">
      <c r="A157" s="499" t="str">
        <f t="shared" si="27"/>
        <v>SPED Clinicians-Occupational Therapist (reimbursed by CPS)</v>
      </c>
      <c r="B157" s="796" t="s">
        <v>208</v>
      </c>
      <c r="C157" s="123">
        <f t="shared" si="28"/>
        <v>0</v>
      </c>
      <c r="D157" s="123"/>
      <c r="E157" s="504">
        <f t="shared" si="32"/>
        <v>0</v>
      </c>
      <c r="F157" s="125"/>
      <c r="G157" s="504">
        <f t="shared" si="33"/>
        <v>0</v>
      </c>
      <c r="H157" s="125"/>
      <c r="I157" s="504">
        <f t="shared" si="34"/>
        <v>0</v>
      </c>
      <c r="J157" s="125"/>
      <c r="K157" s="504">
        <f t="shared" si="29"/>
        <v>0</v>
      </c>
      <c r="L157" s="125"/>
      <c r="M157" s="504">
        <f t="shared" si="30"/>
        <v>0</v>
      </c>
      <c r="N157" s="125"/>
      <c r="O157" s="504">
        <f t="shared" si="31"/>
        <v>0</v>
      </c>
      <c r="P157"/>
      <c r="Q157"/>
      <c r="R157"/>
      <c r="S157"/>
      <c r="T157"/>
      <c r="U157"/>
    </row>
    <row r="158" spans="1:21" ht="12.75">
      <c r="A158" s="499" t="str">
        <f t="shared" si="27"/>
        <v>SPED Clinicians-Nurse (reimbursed by CPS)</v>
      </c>
      <c r="B158" s="796" t="s">
        <v>208</v>
      </c>
      <c r="C158" s="123">
        <f t="shared" si="28"/>
        <v>0</v>
      </c>
      <c r="D158" s="123"/>
      <c r="E158" s="504">
        <f t="shared" si="32"/>
        <v>0</v>
      </c>
      <c r="F158" s="125"/>
      <c r="G158" s="504">
        <f t="shared" si="33"/>
        <v>0</v>
      </c>
      <c r="H158" s="125"/>
      <c r="I158" s="504">
        <f t="shared" si="34"/>
        <v>0</v>
      </c>
      <c r="J158" s="125"/>
      <c r="K158" s="504">
        <f t="shared" si="29"/>
        <v>0</v>
      </c>
      <c r="L158" s="125"/>
      <c r="M158" s="504">
        <f t="shared" si="30"/>
        <v>0</v>
      </c>
      <c r="N158" s="125"/>
      <c r="O158" s="504">
        <f t="shared" si="31"/>
        <v>0</v>
      </c>
      <c r="P158"/>
      <c r="Q158"/>
      <c r="R158"/>
      <c r="S158"/>
      <c r="T158"/>
      <c r="U158"/>
    </row>
    <row r="159" spans="1:21" ht="12.75">
      <c r="A159" s="394" t="str">
        <f t="shared" si="27"/>
        <v>Para-professionals</v>
      </c>
      <c r="B159" s="796" t="s">
        <v>208</v>
      </c>
      <c r="C159" s="123">
        <f t="shared" si="28"/>
        <v>0</v>
      </c>
      <c r="D159" s="123"/>
      <c r="E159" s="504">
        <f t="shared" si="32"/>
        <v>0</v>
      </c>
      <c r="F159" s="125"/>
      <c r="G159" s="504">
        <f t="shared" si="33"/>
        <v>35000</v>
      </c>
      <c r="H159" s="125"/>
      <c r="I159" s="504">
        <f t="shared" si="34"/>
        <v>63087.5</v>
      </c>
      <c r="J159" s="125"/>
      <c r="K159" s="504">
        <f t="shared" si="29"/>
        <v>92828.75</v>
      </c>
      <c r="L159" s="125"/>
      <c r="M159" s="504">
        <f t="shared" si="30"/>
        <v>95613.6125</v>
      </c>
      <c r="N159" s="125"/>
      <c r="O159" s="504">
        <f t="shared" si="31"/>
        <v>98482.020875</v>
      </c>
      <c r="P159"/>
      <c r="Q159"/>
      <c r="R159"/>
      <c r="S159"/>
      <c r="T159"/>
      <c r="U159"/>
    </row>
    <row r="160" spans="1:21" ht="12.75">
      <c r="A160" s="394" t="str">
        <f t="shared" si="27"/>
        <v>Counselors</v>
      </c>
      <c r="B160" s="796" t="s">
        <v>208</v>
      </c>
      <c r="C160" s="123">
        <f t="shared" si="28"/>
        <v>0</v>
      </c>
      <c r="D160" s="123"/>
      <c r="E160" s="504">
        <f t="shared" si="32"/>
        <v>0</v>
      </c>
      <c r="F160" s="125"/>
      <c r="G160" s="504">
        <f t="shared" si="33"/>
        <v>33500</v>
      </c>
      <c r="H160" s="125"/>
      <c r="I160" s="504">
        <f t="shared" si="34"/>
        <v>60254.99999999999</v>
      </c>
      <c r="J160" s="125"/>
      <c r="K160" s="504">
        <f t="shared" si="29"/>
        <v>88585.15</v>
      </c>
      <c r="L160" s="125"/>
      <c r="M160" s="504">
        <f t="shared" si="30"/>
        <v>91242.70449999999</v>
      </c>
      <c r="N160" s="125"/>
      <c r="O160" s="504">
        <f t="shared" si="31"/>
        <v>93979.98563499999</v>
      </c>
      <c r="P160"/>
      <c r="Q160"/>
      <c r="R160"/>
      <c r="S160"/>
      <c r="T160"/>
      <c r="U160"/>
    </row>
    <row r="161" spans="1:21" ht="12.75">
      <c r="A161" s="394" t="str">
        <f t="shared" si="27"/>
        <v>Executive Director</v>
      </c>
      <c r="B161" s="796" t="s">
        <v>208</v>
      </c>
      <c r="C161" s="123">
        <f t="shared" si="28"/>
        <v>0</v>
      </c>
      <c r="D161" s="123"/>
      <c r="E161" s="504">
        <f t="shared" si="32"/>
        <v>0</v>
      </c>
      <c r="F161" s="125"/>
      <c r="G161" s="504">
        <f t="shared" si="33"/>
        <v>70000</v>
      </c>
      <c r="H161" s="125"/>
      <c r="I161" s="504">
        <f t="shared" si="34"/>
        <v>72100</v>
      </c>
      <c r="J161" s="125"/>
      <c r="K161" s="504">
        <f t="shared" si="29"/>
        <v>74263</v>
      </c>
      <c r="L161" s="125"/>
      <c r="M161" s="504">
        <f t="shared" si="30"/>
        <v>76490.89</v>
      </c>
      <c r="N161" s="125"/>
      <c r="O161" s="504">
        <f t="shared" si="31"/>
        <v>78785.6167</v>
      </c>
      <c r="P161"/>
      <c r="Q161"/>
      <c r="R161"/>
      <c r="S161"/>
      <c r="T161"/>
      <c r="U161"/>
    </row>
    <row r="162" spans="1:21" ht="12.75">
      <c r="A162" s="394" t="str">
        <f t="shared" si="27"/>
        <v>Principal</v>
      </c>
      <c r="B162" s="796" t="s">
        <v>208</v>
      </c>
      <c r="C162" s="123">
        <f t="shared" si="28"/>
        <v>0</v>
      </c>
      <c r="D162" s="123"/>
      <c r="E162" s="504">
        <f t="shared" si="32"/>
        <v>27500</v>
      </c>
      <c r="F162" s="125"/>
      <c r="G162" s="504">
        <f t="shared" si="33"/>
        <v>110000</v>
      </c>
      <c r="H162" s="125"/>
      <c r="I162" s="504">
        <f t="shared" si="34"/>
        <v>113300</v>
      </c>
      <c r="J162" s="125"/>
      <c r="K162" s="504">
        <f t="shared" si="29"/>
        <v>116699</v>
      </c>
      <c r="L162" s="125"/>
      <c r="M162" s="504">
        <f t="shared" si="30"/>
        <v>120199.97</v>
      </c>
      <c r="N162" s="125"/>
      <c r="O162" s="504">
        <f t="shared" si="31"/>
        <v>123805.9691</v>
      </c>
      <c r="P162"/>
      <c r="Q162"/>
      <c r="R162"/>
      <c r="S162"/>
      <c r="T162"/>
      <c r="U162"/>
    </row>
    <row r="163" spans="1:21" ht="12.75">
      <c r="A163" s="394" t="str">
        <f t="shared" si="27"/>
        <v>Academic Coordinator</v>
      </c>
      <c r="B163" s="796" t="s">
        <v>208</v>
      </c>
      <c r="C163" s="123">
        <f t="shared" si="28"/>
        <v>0</v>
      </c>
      <c r="D163" s="123"/>
      <c r="E163" s="504">
        <f t="shared" si="32"/>
        <v>13750</v>
      </c>
      <c r="F163" s="125"/>
      <c r="G163" s="504">
        <f t="shared" si="33"/>
        <v>55000</v>
      </c>
      <c r="H163" s="125"/>
      <c r="I163" s="504">
        <f t="shared" si="34"/>
        <v>56650</v>
      </c>
      <c r="J163" s="125"/>
      <c r="K163" s="504">
        <f t="shared" si="29"/>
        <v>58349.5</v>
      </c>
      <c r="L163" s="125"/>
      <c r="M163" s="504">
        <f t="shared" si="30"/>
        <v>60099.985</v>
      </c>
      <c r="N163" s="125"/>
      <c r="O163" s="504">
        <f t="shared" si="31"/>
        <v>61902.98455</v>
      </c>
      <c r="P163"/>
      <c r="Q163"/>
      <c r="R163"/>
      <c r="S163"/>
      <c r="T163"/>
      <c r="U163"/>
    </row>
    <row r="164" spans="1:21" ht="12.75">
      <c r="A164" s="394" t="str">
        <f t="shared" si="27"/>
        <v>Enrollment and Retention Specialist</v>
      </c>
      <c r="B164" s="796" t="s">
        <v>208</v>
      </c>
      <c r="C164" s="123">
        <f t="shared" si="28"/>
        <v>0</v>
      </c>
      <c r="D164" s="123"/>
      <c r="E164" s="504">
        <f t="shared" si="32"/>
        <v>4000</v>
      </c>
      <c r="F164" s="125"/>
      <c r="G164" s="504">
        <f t="shared" si="33"/>
        <v>40000</v>
      </c>
      <c r="H164" s="125"/>
      <c r="I164" s="504">
        <f t="shared" si="34"/>
        <v>48204</v>
      </c>
      <c r="J164" s="125"/>
      <c r="K164" s="504">
        <f t="shared" si="29"/>
        <v>70868.12</v>
      </c>
      <c r="L164" s="125"/>
      <c r="M164" s="504">
        <f t="shared" si="30"/>
        <v>72994.1636</v>
      </c>
      <c r="N164" s="125"/>
      <c r="O164" s="504">
        <f t="shared" si="31"/>
        <v>75183.98850800001</v>
      </c>
      <c r="P164"/>
      <c r="Q164"/>
      <c r="R164"/>
      <c r="S164"/>
      <c r="T164"/>
      <c r="U164"/>
    </row>
    <row r="165" spans="1:21" ht="12.75">
      <c r="A165" s="394" t="str">
        <f t="shared" si="27"/>
        <v>Custodians</v>
      </c>
      <c r="B165" s="796" t="s">
        <v>208</v>
      </c>
      <c r="C165" s="123">
        <f t="shared" si="28"/>
        <v>0</v>
      </c>
      <c r="D165" s="123"/>
      <c r="E165" s="504">
        <f t="shared" si="32"/>
        <v>0</v>
      </c>
      <c r="F165" s="125"/>
      <c r="G165" s="504">
        <f t="shared" si="33"/>
        <v>17500</v>
      </c>
      <c r="H165" s="125"/>
      <c r="I165" s="504">
        <f t="shared" si="34"/>
        <v>36050</v>
      </c>
      <c r="J165" s="125"/>
      <c r="K165" s="504">
        <f t="shared" si="29"/>
        <v>37131.5</v>
      </c>
      <c r="L165" s="125"/>
      <c r="M165" s="504">
        <f t="shared" si="30"/>
        <v>38245.445</v>
      </c>
      <c r="N165" s="125"/>
      <c r="O165" s="504">
        <f t="shared" si="31"/>
        <v>39392.80835</v>
      </c>
      <c r="P165"/>
      <c r="Q165"/>
      <c r="R165"/>
      <c r="S165"/>
      <c r="T165"/>
      <c r="U165"/>
    </row>
    <row r="166" spans="1:21" ht="12.75">
      <c r="A166" s="394" t="str">
        <f t="shared" si="27"/>
        <v>Security</v>
      </c>
      <c r="B166" s="796" t="s">
        <v>208</v>
      </c>
      <c r="C166" s="123">
        <f t="shared" si="28"/>
        <v>0</v>
      </c>
      <c r="D166" s="123"/>
      <c r="E166" s="504">
        <f t="shared" si="32"/>
        <v>0</v>
      </c>
      <c r="F166" s="125"/>
      <c r="G166" s="504">
        <f t="shared" si="33"/>
        <v>35000</v>
      </c>
      <c r="H166" s="125"/>
      <c r="I166" s="504">
        <f t="shared" si="34"/>
        <v>36050</v>
      </c>
      <c r="J166" s="125"/>
      <c r="K166" s="504">
        <f t="shared" si="29"/>
        <v>37131.5</v>
      </c>
      <c r="L166" s="125"/>
      <c r="M166" s="504">
        <f t="shared" si="30"/>
        <v>38245.445</v>
      </c>
      <c r="N166" s="125"/>
      <c r="O166" s="504">
        <f t="shared" si="31"/>
        <v>39392.80835</v>
      </c>
      <c r="P166"/>
      <c r="Q166"/>
      <c r="R166"/>
      <c r="S166"/>
      <c r="T166"/>
      <c r="U166"/>
    </row>
    <row r="167" spans="1:21" ht="12.75">
      <c r="A167" s="394" t="str">
        <f t="shared" si="27"/>
        <v>Registrar</v>
      </c>
      <c r="B167" s="796" t="s">
        <v>208</v>
      </c>
      <c r="C167" s="123">
        <f>C100*C54</f>
        <v>0</v>
      </c>
      <c r="D167" s="123"/>
      <c r="E167" s="504">
        <f t="shared" si="32"/>
        <v>0</v>
      </c>
      <c r="F167" s="125"/>
      <c r="G167" s="504">
        <f t="shared" si="33"/>
        <v>40000</v>
      </c>
      <c r="H167" s="125"/>
      <c r="I167" s="504">
        <f t="shared" si="34"/>
        <v>41200</v>
      </c>
      <c r="J167" s="125"/>
      <c r="K167" s="504">
        <f t="shared" si="29"/>
        <v>42436</v>
      </c>
      <c r="L167" s="125"/>
      <c r="M167" s="504">
        <f t="shared" si="30"/>
        <v>43709.08</v>
      </c>
      <c r="N167" s="125"/>
      <c r="O167" s="504">
        <f t="shared" si="31"/>
        <v>45020.3524</v>
      </c>
      <c r="P167"/>
      <c r="Q167"/>
      <c r="R167"/>
      <c r="S167"/>
      <c r="T167"/>
      <c r="U167"/>
    </row>
    <row r="168" spans="1:21" ht="15.75" customHeight="1">
      <c r="A168" s="394" t="str">
        <f t="shared" si="27"/>
        <v>Full-Time Administrative Staff</v>
      </c>
      <c r="B168" s="796" t="s">
        <v>208</v>
      </c>
      <c r="C168" s="123"/>
      <c r="D168" s="123"/>
      <c r="E168" s="504">
        <f t="shared" si="32"/>
        <v>0</v>
      </c>
      <c r="F168" s="125"/>
      <c r="G168" s="504">
        <f t="shared" si="33"/>
        <v>35000</v>
      </c>
      <c r="H168" s="125"/>
      <c r="I168" s="504">
        <f t="shared" si="34"/>
        <v>36050</v>
      </c>
      <c r="J168" s="125"/>
      <c r="K168" s="504">
        <f t="shared" si="29"/>
        <v>37131.5</v>
      </c>
      <c r="L168" s="125"/>
      <c r="M168" s="504">
        <f t="shared" si="30"/>
        <v>38245.445</v>
      </c>
      <c r="N168" s="125"/>
      <c r="O168" s="504">
        <f t="shared" si="31"/>
        <v>39392.80835</v>
      </c>
      <c r="P168"/>
      <c r="Q168"/>
      <c r="R168"/>
      <c r="S168"/>
      <c r="T168"/>
      <c r="U168"/>
    </row>
    <row r="169" spans="1:21" ht="12.75">
      <c r="A169" s="394" t="str">
        <f t="shared" si="27"/>
        <v>IT Support</v>
      </c>
      <c r="B169" s="796" t="s">
        <v>208</v>
      </c>
      <c r="C169" s="123" t="e">
        <f>C104*#REF!</f>
        <v>#REF!</v>
      </c>
      <c r="D169" s="123"/>
      <c r="E169" s="504">
        <f t="shared" si="32"/>
        <v>0</v>
      </c>
      <c r="F169" s="125"/>
      <c r="G169" s="504">
        <f t="shared" si="33"/>
        <v>23000</v>
      </c>
      <c r="H169" s="125"/>
      <c r="I169" s="504">
        <f t="shared" si="34"/>
        <v>47380</v>
      </c>
      <c r="J169" s="125"/>
      <c r="K169" s="504">
        <f t="shared" si="29"/>
        <v>48801.4</v>
      </c>
      <c r="L169" s="125"/>
      <c r="M169" s="504">
        <f t="shared" si="30"/>
        <v>50265.442</v>
      </c>
      <c r="N169" s="125"/>
      <c r="O169" s="504">
        <f t="shared" si="31"/>
        <v>51773.40526000001</v>
      </c>
      <c r="P169"/>
      <c r="Q169"/>
      <c r="R169"/>
      <c r="S169"/>
      <c r="T169"/>
      <c r="U169"/>
    </row>
    <row r="170" spans="1:21" ht="12.75">
      <c r="A170" s="784" t="str">
        <f t="shared" si="27"/>
        <v>Regional Manager of College, Careers &amp; Community Relations</v>
      </c>
      <c r="B170" s="796" t="s">
        <v>208</v>
      </c>
      <c r="C170" s="123" t="e">
        <f>C105*#REF!</f>
        <v>#REF!</v>
      </c>
      <c r="D170" s="123"/>
      <c r="E170" s="504">
        <f t="shared" si="32"/>
        <v>0</v>
      </c>
      <c r="F170" s="125"/>
      <c r="G170" s="504">
        <f t="shared" si="33"/>
        <v>22500</v>
      </c>
      <c r="H170" s="125"/>
      <c r="I170" s="504">
        <f t="shared" si="34"/>
        <v>46350</v>
      </c>
      <c r="J170" s="125"/>
      <c r="K170" s="504">
        <f t="shared" si="29"/>
        <v>47740.5</v>
      </c>
      <c r="L170" s="125"/>
      <c r="M170" s="504">
        <f t="shared" si="30"/>
        <v>49172.715000000004</v>
      </c>
      <c r="N170" s="125"/>
      <c r="O170" s="504">
        <f t="shared" si="31"/>
        <v>50647.89645000001</v>
      </c>
      <c r="P170"/>
      <c r="Q170"/>
      <c r="R170"/>
      <c r="S170"/>
      <c r="T170"/>
      <c r="U170"/>
    </row>
    <row r="171" spans="1:21" ht="12.75">
      <c r="A171" s="784" t="str">
        <f t="shared" si="27"/>
        <v>School Community Liason</v>
      </c>
      <c r="B171" s="796" t="s">
        <v>208</v>
      </c>
      <c r="C171" s="123" t="e">
        <f>C106*#REF!</f>
        <v>#REF!</v>
      </c>
      <c r="D171" s="123"/>
      <c r="E171" s="504">
        <f t="shared" si="32"/>
        <v>0</v>
      </c>
      <c r="F171" s="125"/>
      <c r="G171" s="504">
        <f t="shared" si="33"/>
        <v>45000</v>
      </c>
      <c r="H171" s="125"/>
      <c r="I171" s="504">
        <f t="shared" si="34"/>
        <v>46350</v>
      </c>
      <c r="J171" s="125"/>
      <c r="K171" s="504">
        <f t="shared" si="29"/>
        <v>47740.5</v>
      </c>
      <c r="L171" s="125"/>
      <c r="M171" s="504">
        <f t="shared" si="30"/>
        <v>49172.715000000004</v>
      </c>
      <c r="N171" s="125"/>
      <c r="O171" s="504">
        <f t="shared" si="31"/>
        <v>50647.89645000001</v>
      </c>
      <c r="P171"/>
      <c r="Q171"/>
      <c r="R171"/>
      <c r="S171"/>
      <c r="T171"/>
      <c r="U171"/>
    </row>
    <row r="172" spans="1:21" ht="12.75">
      <c r="A172" s="784" t="str">
        <f t="shared" si="27"/>
        <v>L </v>
      </c>
      <c r="B172" s="796" t="s">
        <v>208</v>
      </c>
      <c r="C172" s="123" t="e">
        <f>C107*#REF!</f>
        <v>#REF!</v>
      </c>
      <c r="D172" s="123"/>
      <c r="E172" s="504">
        <f t="shared" si="32"/>
        <v>0</v>
      </c>
      <c r="F172" s="125"/>
      <c r="G172" s="504">
        <f t="shared" si="33"/>
        <v>0</v>
      </c>
      <c r="H172" s="125"/>
      <c r="I172" s="504">
        <f t="shared" si="34"/>
        <v>0</v>
      </c>
      <c r="J172" s="125"/>
      <c r="K172" s="504">
        <f t="shared" si="29"/>
        <v>0</v>
      </c>
      <c r="L172" s="125"/>
      <c r="M172" s="504">
        <f t="shared" si="30"/>
        <v>0</v>
      </c>
      <c r="N172" s="125"/>
      <c r="O172" s="504">
        <f t="shared" si="31"/>
        <v>0</v>
      </c>
      <c r="P172"/>
      <c r="Q172"/>
      <c r="R172"/>
      <c r="S172"/>
      <c r="T172"/>
      <c r="U172"/>
    </row>
    <row r="173" spans="1:21" ht="12.75">
      <c r="A173" s="784" t="str">
        <f t="shared" si="27"/>
        <v>M</v>
      </c>
      <c r="B173" s="796" t="s">
        <v>208</v>
      </c>
      <c r="C173" s="123" t="e">
        <f>C111*#REF!</f>
        <v>#REF!</v>
      </c>
      <c r="D173" s="123"/>
      <c r="E173" s="504">
        <f t="shared" si="32"/>
        <v>0</v>
      </c>
      <c r="F173" s="125"/>
      <c r="G173" s="504">
        <f t="shared" si="33"/>
        <v>0</v>
      </c>
      <c r="H173" s="125"/>
      <c r="I173" s="504">
        <f t="shared" si="34"/>
        <v>0</v>
      </c>
      <c r="J173" s="125"/>
      <c r="K173" s="504">
        <f t="shared" si="29"/>
        <v>0</v>
      </c>
      <c r="L173" s="125"/>
      <c r="M173" s="504">
        <f t="shared" si="30"/>
        <v>0</v>
      </c>
      <c r="N173" s="125"/>
      <c r="O173" s="504">
        <f t="shared" si="31"/>
        <v>0</v>
      </c>
      <c r="P173"/>
      <c r="Q173"/>
      <c r="R173"/>
      <c r="S173"/>
      <c r="T173"/>
      <c r="U173"/>
    </row>
    <row r="174" spans="1:21" ht="12.75">
      <c r="A174" s="784" t="str">
        <f t="shared" si="27"/>
        <v>N</v>
      </c>
      <c r="B174" s="796" t="s">
        <v>208</v>
      </c>
      <c r="C174" s="123" t="e">
        <f>C112*#REF!</f>
        <v>#REF!</v>
      </c>
      <c r="D174" s="123"/>
      <c r="E174" s="504">
        <f t="shared" si="32"/>
        <v>0</v>
      </c>
      <c r="F174" s="125"/>
      <c r="G174" s="504">
        <f t="shared" si="33"/>
        <v>0</v>
      </c>
      <c r="H174" s="125"/>
      <c r="I174" s="504">
        <f t="shared" si="34"/>
        <v>0</v>
      </c>
      <c r="J174" s="125"/>
      <c r="K174" s="504">
        <f t="shared" si="29"/>
        <v>0</v>
      </c>
      <c r="L174" s="125"/>
      <c r="M174" s="504">
        <f t="shared" si="30"/>
        <v>0</v>
      </c>
      <c r="N174" s="125"/>
      <c r="O174" s="504">
        <f t="shared" si="31"/>
        <v>0</v>
      </c>
      <c r="P174"/>
      <c r="Q174"/>
      <c r="R174"/>
      <c r="S174"/>
      <c r="T174"/>
      <c r="U174"/>
    </row>
    <row r="175" spans="1:21" ht="12.75">
      <c r="A175" s="784" t="str">
        <f t="shared" si="27"/>
        <v>O</v>
      </c>
      <c r="B175" s="796" t="s">
        <v>208</v>
      </c>
      <c r="C175" s="123" t="e">
        <f>C113*#REF!</f>
        <v>#REF!</v>
      </c>
      <c r="D175" s="123"/>
      <c r="E175" s="504">
        <f t="shared" si="32"/>
        <v>0</v>
      </c>
      <c r="F175" s="125"/>
      <c r="G175" s="504">
        <f t="shared" si="33"/>
        <v>0</v>
      </c>
      <c r="H175" s="125"/>
      <c r="I175" s="504">
        <f t="shared" si="34"/>
        <v>0</v>
      </c>
      <c r="J175" s="125"/>
      <c r="K175" s="504">
        <f t="shared" si="29"/>
        <v>0</v>
      </c>
      <c r="L175" s="125"/>
      <c r="M175" s="504">
        <f t="shared" si="30"/>
        <v>0</v>
      </c>
      <c r="N175" s="125"/>
      <c r="O175" s="504">
        <f t="shared" si="31"/>
        <v>0</v>
      </c>
      <c r="P175"/>
      <c r="Q175"/>
      <c r="R175"/>
      <c r="S175"/>
      <c r="T175"/>
      <c r="U175"/>
    </row>
    <row r="176" spans="1:21" ht="13.5" thickBot="1">
      <c r="A176" s="788" t="str">
        <f t="shared" si="27"/>
        <v>P</v>
      </c>
      <c r="B176" s="796" t="s">
        <v>208</v>
      </c>
      <c r="C176" s="123" t="e">
        <f>C115*#REF!</f>
        <v>#REF!</v>
      </c>
      <c r="D176" s="123"/>
      <c r="E176" s="504">
        <f t="shared" si="32"/>
        <v>0</v>
      </c>
      <c r="F176" s="125"/>
      <c r="G176" s="504">
        <f t="shared" si="33"/>
        <v>0</v>
      </c>
      <c r="H176" s="125"/>
      <c r="I176" s="504">
        <f t="shared" si="34"/>
        <v>0</v>
      </c>
      <c r="J176" s="125"/>
      <c r="K176" s="504">
        <f t="shared" si="29"/>
        <v>0</v>
      </c>
      <c r="L176" s="125"/>
      <c r="M176" s="504">
        <f t="shared" si="30"/>
        <v>0</v>
      </c>
      <c r="N176" s="125"/>
      <c r="O176" s="504">
        <f t="shared" si="31"/>
        <v>0</v>
      </c>
      <c r="P176"/>
      <c r="Q176"/>
      <c r="R176"/>
      <c r="S176"/>
      <c r="T176"/>
      <c r="U176"/>
    </row>
    <row r="177" spans="1:21" ht="13.5" thickBot="1">
      <c r="A177" s="522" t="s">
        <v>348</v>
      </c>
      <c r="B177" s="796" t="s">
        <v>208</v>
      </c>
      <c r="C177" s="123"/>
      <c r="D177" s="123"/>
      <c r="E177" s="504"/>
      <c r="F177" s="125"/>
      <c r="G177" s="504"/>
      <c r="H177" s="122"/>
      <c r="I177" s="504"/>
      <c r="J177" s="122"/>
      <c r="K177" s="504"/>
      <c r="L177" s="122"/>
      <c r="M177" s="504"/>
      <c r="N177" s="122"/>
      <c r="O177" s="504"/>
      <c r="P177"/>
      <c r="Q177"/>
      <c r="R177"/>
      <c r="S177"/>
      <c r="T177"/>
      <c r="U177"/>
    </row>
    <row r="178" spans="1:21" ht="12.75">
      <c r="A178" s="506" t="s">
        <v>258</v>
      </c>
      <c r="B178" s="796" t="s">
        <v>208</v>
      </c>
      <c r="C178" s="123"/>
      <c r="D178" s="123"/>
      <c r="E178" s="157"/>
      <c r="F178" s="123"/>
      <c r="G178" s="157"/>
      <c r="H178" s="157"/>
      <c r="I178" s="157"/>
      <c r="J178" s="157"/>
      <c r="K178" s="157"/>
      <c r="L178" s="157"/>
      <c r="M178" s="157"/>
      <c r="N178" s="157"/>
      <c r="O178" s="157"/>
      <c r="P178"/>
      <c r="Q178"/>
      <c r="R178"/>
      <c r="S178"/>
      <c r="T178"/>
      <c r="U178"/>
    </row>
    <row r="179" spans="1:21" ht="12.75">
      <c r="A179" s="507" t="s">
        <v>253</v>
      </c>
      <c r="B179" s="796" t="s">
        <v>208</v>
      </c>
      <c r="C179" s="123"/>
      <c r="D179" s="123"/>
      <c r="E179" s="157"/>
      <c r="F179" s="123"/>
      <c r="G179" s="157"/>
      <c r="H179" s="157"/>
      <c r="I179" s="157"/>
      <c r="J179" s="157"/>
      <c r="K179" s="157"/>
      <c r="L179" s="157"/>
      <c r="M179" s="157"/>
      <c r="N179" s="157"/>
      <c r="O179" s="157"/>
      <c r="P179"/>
      <c r="Q179"/>
      <c r="R179"/>
      <c r="S179"/>
      <c r="T179"/>
      <c r="U179"/>
    </row>
    <row r="180" spans="1:21" ht="13.5" thickBot="1">
      <c r="A180" s="508" t="s">
        <v>259</v>
      </c>
      <c r="B180" s="796" t="s">
        <v>208</v>
      </c>
      <c r="C180" s="126"/>
      <c r="D180" s="126"/>
      <c r="E180" s="929"/>
      <c r="F180" s="126"/>
      <c r="G180" s="157"/>
      <c r="H180" s="158"/>
      <c r="I180" s="157"/>
      <c r="J180" s="158"/>
      <c r="K180" s="157"/>
      <c r="L180" s="158"/>
      <c r="M180" s="157"/>
      <c r="N180" s="158"/>
      <c r="O180" s="157"/>
      <c r="P180"/>
      <c r="Q180"/>
      <c r="R180"/>
      <c r="S180"/>
      <c r="T180"/>
      <c r="U180"/>
    </row>
    <row r="181" spans="1:21" ht="13.5" thickBot="1">
      <c r="A181" s="509" t="s">
        <v>309</v>
      </c>
      <c r="B181" s="803"/>
      <c r="C181" s="833"/>
      <c r="D181" s="833"/>
      <c r="E181" s="810">
        <f>SUM(E150:E180)</f>
        <v>45250</v>
      </c>
      <c r="F181" s="834"/>
      <c r="G181" s="810">
        <f>SUM(G150:G180)</f>
        <v>711350</v>
      </c>
      <c r="H181" s="835"/>
      <c r="I181" s="810">
        <f>SUM(I150:I180)</f>
        <v>973247</v>
      </c>
      <c r="J181" s="835"/>
      <c r="K181" s="810">
        <f>SUM(K150:K180)</f>
        <v>1197384.785</v>
      </c>
      <c r="L181" s="835"/>
      <c r="M181" s="810">
        <f>SUM(M150:M180)</f>
        <v>1233306.32855</v>
      </c>
      <c r="N181" s="835"/>
      <c r="O181" s="810">
        <f>SUM(O150:O180)</f>
        <v>1270305.5184065003</v>
      </c>
      <c r="P181"/>
      <c r="Q181"/>
      <c r="R181"/>
      <c r="S181"/>
      <c r="T181"/>
      <c r="U181"/>
    </row>
    <row r="182" spans="1:21" ht="13.5" thickBot="1">
      <c r="A182" s="420"/>
      <c r="B182" s="804"/>
      <c r="C182" s="127"/>
      <c r="D182" s="127"/>
      <c r="E182" s="127"/>
      <c r="F182" s="127"/>
      <c r="G182" s="127"/>
      <c r="H182" s="127"/>
      <c r="I182" s="127"/>
      <c r="J182" s="127"/>
      <c r="K182" s="127"/>
      <c r="L182" s="127"/>
      <c r="M182" s="127"/>
      <c r="N182" s="127"/>
      <c r="O182" s="127"/>
      <c r="P182"/>
      <c r="Q182"/>
      <c r="R182"/>
      <c r="S182"/>
      <c r="T182"/>
      <c r="U182"/>
    </row>
    <row r="183" spans="1:21" ht="22.5" customHeight="1" thickBot="1">
      <c r="A183" s="807" t="s">
        <v>262</v>
      </c>
      <c r="B183" s="805" t="s">
        <v>208</v>
      </c>
      <c r="C183" s="804"/>
      <c r="D183" s="804"/>
      <c r="E183" s="527"/>
      <c r="F183" s="804"/>
      <c r="G183" s="529">
        <f>G142</f>
        <v>0</v>
      </c>
      <c r="H183" s="804"/>
      <c r="I183" s="529">
        <f>I142</f>
        <v>0</v>
      </c>
      <c r="J183" s="804"/>
      <c r="K183" s="529">
        <f>K142</f>
        <v>0</v>
      </c>
      <c r="L183" s="804"/>
      <c r="M183" s="529">
        <f>M142</f>
        <v>0</v>
      </c>
      <c r="N183" s="804"/>
      <c r="O183" s="529">
        <f>O142</f>
        <v>0</v>
      </c>
      <c r="P183"/>
      <c r="Q183"/>
      <c r="R183"/>
      <c r="S183"/>
      <c r="T183"/>
      <c r="U183"/>
    </row>
    <row r="184" spans="1:21" ht="22.5" customHeight="1" thickBot="1">
      <c r="A184" s="519" t="s">
        <v>316</v>
      </c>
      <c r="B184" s="796" t="s">
        <v>208</v>
      </c>
      <c r="C184" s="804"/>
      <c r="D184" s="804"/>
      <c r="E184" s="527"/>
      <c r="F184" s="804"/>
      <c r="G184" s="529">
        <f>-SUM(G120:G127)</f>
        <v>0</v>
      </c>
      <c r="H184" s="804"/>
      <c r="I184" s="529">
        <f>-SUM(I120:I127)</f>
        <v>0</v>
      </c>
      <c r="J184" s="804"/>
      <c r="K184" s="529">
        <f>-SUM(K120:K127)</f>
        <v>0</v>
      </c>
      <c r="L184" s="804"/>
      <c r="M184" s="529">
        <f>-SUM(M120:M127)</f>
        <v>0</v>
      </c>
      <c r="N184" s="804"/>
      <c r="O184" s="529">
        <f>-SUM(O120:O127)</f>
        <v>0</v>
      </c>
      <c r="P184"/>
      <c r="Q184"/>
      <c r="R184"/>
      <c r="S184"/>
      <c r="T184"/>
      <c r="U184"/>
    </row>
    <row r="185" spans="1:21" ht="33" customHeight="1" thickBot="1">
      <c r="A185" s="808" t="s">
        <v>429</v>
      </c>
      <c r="B185" s="796" t="s">
        <v>208</v>
      </c>
      <c r="C185" s="804"/>
      <c r="D185" s="804"/>
      <c r="E185" s="527"/>
      <c r="F185" s="804"/>
      <c r="G185" s="529">
        <f>G183+G184</f>
        <v>0</v>
      </c>
      <c r="H185" s="804"/>
      <c r="I185" s="529">
        <f>I183+I184</f>
        <v>0</v>
      </c>
      <c r="J185" s="804"/>
      <c r="K185" s="529">
        <f>K183+K184</f>
        <v>0</v>
      </c>
      <c r="L185" s="804"/>
      <c r="M185" s="529">
        <f>M183+M184</f>
        <v>0</v>
      </c>
      <c r="N185" s="804"/>
      <c r="O185" s="529">
        <f>O183+O184</f>
        <v>0</v>
      </c>
      <c r="P185"/>
      <c r="Q185"/>
      <c r="R185"/>
      <c r="S185"/>
      <c r="T185"/>
      <c r="U185"/>
    </row>
    <row r="186" spans="1:21" ht="22.5" customHeight="1" thickBot="1">
      <c r="A186" s="519" t="s">
        <v>263</v>
      </c>
      <c r="B186" s="796" t="s">
        <v>208</v>
      </c>
      <c r="C186" s="804"/>
      <c r="D186" s="819"/>
      <c r="E186" s="527"/>
      <c r="F186" s="804"/>
      <c r="G186" s="529">
        <f>G148</f>
        <v>0</v>
      </c>
      <c r="H186" s="804"/>
      <c r="I186" s="529">
        <f>I148</f>
        <v>0</v>
      </c>
      <c r="J186" s="804"/>
      <c r="K186" s="529">
        <f>K148</f>
        <v>0</v>
      </c>
      <c r="L186" s="804"/>
      <c r="M186" s="529">
        <f>M148</f>
        <v>0</v>
      </c>
      <c r="N186" s="804"/>
      <c r="O186" s="529">
        <f>O148</f>
        <v>0</v>
      </c>
      <c r="P186"/>
      <c r="Q186"/>
      <c r="R186"/>
      <c r="S186"/>
      <c r="T186"/>
      <c r="U186"/>
    </row>
    <row r="187" spans="1:21" ht="22.5" customHeight="1" thickBot="1">
      <c r="A187" s="519" t="s">
        <v>317</v>
      </c>
      <c r="B187" s="796" t="s">
        <v>208</v>
      </c>
      <c r="C187" s="419" t="e">
        <f>SUM(C130:C180)</f>
        <v>#REF!</v>
      </c>
      <c r="D187" s="145"/>
      <c r="E187" s="526"/>
      <c r="F187" s="145"/>
      <c r="G187" s="526">
        <f>G183+G186</f>
        <v>0</v>
      </c>
      <c r="H187" s="411"/>
      <c r="I187" s="526">
        <f>I183+I186</f>
        <v>0</v>
      </c>
      <c r="J187" s="412"/>
      <c r="K187" s="526">
        <f>K183+K186</f>
        <v>0</v>
      </c>
      <c r="L187" s="412"/>
      <c r="M187" s="526">
        <f>M183+M186</f>
        <v>0</v>
      </c>
      <c r="N187" s="412"/>
      <c r="O187" s="526">
        <f>O183+O186</f>
        <v>0</v>
      </c>
      <c r="P187"/>
      <c r="Q187"/>
      <c r="R187"/>
      <c r="S187"/>
      <c r="T187"/>
      <c r="U187"/>
    </row>
    <row r="188" spans="1:21" ht="22.5" customHeight="1" thickBot="1">
      <c r="A188" s="519" t="s">
        <v>84</v>
      </c>
      <c r="B188" s="796" t="s">
        <v>208</v>
      </c>
      <c r="C188" s="145"/>
      <c r="D188" s="145"/>
      <c r="E188" s="528">
        <f>E181</f>
        <v>45250</v>
      </c>
      <c r="F188" s="145"/>
      <c r="G188" s="528">
        <f>G181</f>
        <v>711350</v>
      </c>
      <c r="H188" s="413"/>
      <c r="I188" s="528">
        <f>I181</f>
        <v>973247</v>
      </c>
      <c r="J188" s="413"/>
      <c r="K188" s="528">
        <f>K181</f>
        <v>1197384.785</v>
      </c>
      <c r="L188" s="413"/>
      <c r="M188" s="528">
        <f>M181</f>
        <v>1233306.32855</v>
      </c>
      <c r="N188" s="413"/>
      <c r="O188" s="528">
        <f>O181</f>
        <v>1270305.5184065003</v>
      </c>
      <c r="P188"/>
      <c r="Q188"/>
      <c r="R188"/>
      <c r="S188"/>
      <c r="T188"/>
      <c r="U188"/>
    </row>
    <row r="189" spans="1:21" ht="22.5" customHeight="1" thickBot="1">
      <c r="A189" s="519" t="s">
        <v>36</v>
      </c>
      <c r="B189" s="796" t="s">
        <v>208</v>
      </c>
      <c r="C189" s="145"/>
      <c r="D189" s="145"/>
      <c r="E189" s="528">
        <f>SUM(E187:E188)</f>
        <v>45250</v>
      </c>
      <c r="F189" s="145"/>
      <c r="G189" s="528">
        <f>SUM(G187:G188)</f>
        <v>711350</v>
      </c>
      <c r="H189" s="413"/>
      <c r="I189" s="528">
        <f>SUM(I187:I188)</f>
        <v>973247</v>
      </c>
      <c r="J189" s="413"/>
      <c r="K189" s="528">
        <f>SUM(K187:K188)</f>
        <v>1197384.785</v>
      </c>
      <c r="L189" s="413"/>
      <c r="M189" s="528">
        <f>SUM(M187:M188)</f>
        <v>1233306.32855</v>
      </c>
      <c r="N189" s="413"/>
      <c r="O189" s="528">
        <f>SUM(O187:O188)</f>
        <v>1270305.5184065003</v>
      </c>
      <c r="P189"/>
      <c r="Q189"/>
      <c r="R189"/>
      <c r="S189"/>
      <c r="T189"/>
      <c r="U189"/>
    </row>
    <row r="190" spans="1:21" ht="13.5" thickBot="1">
      <c r="A190" s="128"/>
      <c r="B190" s="806"/>
      <c r="C190" s="128"/>
      <c r="D190" s="128"/>
      <c r="E190" s="128"/>
      <c r="F190" s="128"/>
      <c r="G190" s="128"/>
      <c r="H190" s="128"/>
      <c r="I190" s="128"/>
      <c r="J190" s="128"/>
      <c r="K190" s="128"/>
      <c r="L190" s="128"/>
      <c r="M190" s="128"/>
      <c r="N190" s="128"/>
      <c r="O190" s="128"/>
      <c r="P190"/>
      <c r="Q190"/>
      <c r="R190"/>
      <c r="S190"/>
      <c r="T190"/>
      <c r="U190"/>
    </row>
    <row r="191" spans="1:21" ht="22.5" customHeight="1" thickBot="1">
      <c r="A191" s="519" t="s">
        <v>37</v>
      </c>
      <c r="B191" s="525" t="s">
        <v>85</v>
      </c>
      <c r="C191" s="159">
        <f>SUM(C7:C57)</f>
        <v>0</v>
      </c>
      <c r="D191" s="283"/>
      <c r="E191" s="529">
        <f>SUM(E7:E57)</f>
        <v>0.6</v>
      </c>
      <c r="F191" s="283"/>
      <c r="G191" s="529">
        <f>SUM(G31:G57)</f>
        <v>14.5</v>
      </c>
      <c r="H191" s="159"/>
      <c r="I191" s="529">
        <f>SUM(I31:I57)</f>
        <v>19.92</v>
      </c>
      <c r="J191" s="159"/>
      <c r="K191" s="529">
        <f>SUM(K31:K57)</f>
        <v>24.17</v>
      </c>
      <c r="L191" s="159"/>
      <c r="M191" s="529">
        <f>SUM(M31:M57)</f>
        <v>24.17</v>
      </c>
      <c r="N191" s="159"/>
      <c r="O191" s="529">
        <f>SUM(O31:O57)</f>
        <v>24.17</v>
      </c>
      <c r="P191"/>
      <c r="Q191"/>
      <c r="R191"/>
      <c r="S191"/>
      <c r="T191"/>
      <c r="U191"/>
    </row>
    <row r="192" spans="1:21" ht="13.5" thickBot="1">
      <c r="A192" s="127"/>
      <c r="B192" s="127"/>
      <c r="C192" s="127"/>
      <c r="D192" s="127"/>
      <c r="E192" s="127"/>
      <c r="F192" s="127"/>
      <c r="G192" s="127"/>
      <c r="H192" s="127"/>
      <c r="I192" s="127"/>
      <c r="J192" s="127"/>
      <c r="K192" s="127"/>
      <c r="L192" s="127"/>
      <c r="M192" s="127"/>
      <c r="N192" s="127"/>
      <c r="O192" s="127"/>
      <c r="P192"/>
      <c r="Q192"/>
      <c r="R192"/>
      <c r="S192"/>
      <c r="T192"/>
      <c r="U192"/>
    </row>
    <row r="193" spans="1:21" ht="18.75" customHeight="1" thickBot="1">
      <c r="A193" s="523" t="s">
        <v>464</v>
      </c>
      <c r="B193" s="161">
        <v>0</v>
      </c>
      <c r="C193" s="129"/>
      <c r="D193" s="129"/>
      <c r="E193" s="129"/>
      <c r="F193" s="129"/>
      <c r="G193" s="129"/>
      <c r="H193" s="129"/>
      <c r="I193" s="129"/>
      <c r="J193" s="129"/>
      <c r="K193" s="129"/>
      <c r="L193" s="129"/>
      <c r="M193" s="129"/>
      <c r="N193" s="129"/>
      <c r="O193" s="129"/>
      <c r="P193"/>
      <c r="Q193"/>
      <c r="R193"/>
      <c r="S193"/>
      <c r="T193"/>
      <c r="U193"/>
    </row>
    <row r="194" spans="1:21" ht="20.25" customHeight="1" thickBot="1">
      <c r="A194" s="523" t="s">
        <v>465</v>
      </c>
      <c r="B194" s="524">
        <f>9%-B193</f>
        <v>0.09</v>
      </c>
      <c r="C194" s="129"/>
      <c r="D194" s="129"/>
      <c r="E194" s="129"/>
      <c r="F194" s="129"/>
      <c r="G194" s="129"/>
      <c r="H194" s="129"/>
      <c r="I194" s="129"/>
      <c r="J194" s="129"/>
      <c r="K194" s="129"/>
      <c r="L194" s="129"/>
      <c r="M194" s="129"/>
      <c r="N194" s="129"/>
      <c r="O194" s="129"/>
      <c r="P194"/>
      <c r="Q194"/>
      <c r="R194"/>
      <c r="S194"/>
      <c r="T194"/>
      <c r="U194"/>
    </row>
    <row r="195" spans="1:21" ht="21.75" customHeight="1" thickBot="1">
      <c r="A195" s="519" t="s">
        <v>53</v>
      </c>
      <c r="B195" s="809" t="s">
        <v>85</v>
      </c>
      <c r="C195" s="160" t="e">
        <f>#REF!*$B$193</f>
        <v>#REF!</v>
      </c>
      <c r="D195" s="284"/>
      <c r="E195" s="284"/>
      <c r="F195" s="284"/>
      <c r="G195" s="530">
        <f>$B$193*G183</f>
        <v>0</v>
      </c>
      <c r="H195" s="838"/>
      <c r="I195" s="530">
        <f>$B$193*I183</f>
        <v>0</v>
      </c>
      <c r="J195" s="838"/>
      <c r="K195" s="530">
        <f>$B$193*K183</f>
        <v>0</v>
      </c>
      <c r="L195" s="838"/>
      <c r="M195" s="530">
        <f>$B$193*M183</f>
        <v>0</v>
      </c>
      <c r="N195" s="838"/>
      <c r="O195" s="530">
        <f>$B$193*O183</f>
        <v>0</v>
      </c>
      <c r="P195"/>
      <c r="Q195"/>
      <c r="R195"/>
      <c r="S195"/>
      <c r="T195"/>
      <c r="U195"/>
    </row>
    <row r="196" spans="1:21" ht="13.5" thickBot="1">
      <c r="A196" s="127"/>
      <c r="B196" s="127"/>
      <c r="C196" s="129"/>
      <c r="D196" s="284"/>
      <c r="E196" s="284"/>
      <c r="F196" s="129"/>
      <c r="G196" s="839"/>
      <c r="H196" s="839"/>
      <c r="I196" s="839"/>
      <c r="J196" s="839"/>
      <c r="K196" s="839"/>
      <c r="L196" s="839"/>
      <c r="M196" s="839"/>
      <c r="N196" s="839"/>
      <c r="O196" s="839"/>
      <c r="P196"/>
      <c r="Q196"/>
      <c r="R196"/>
      <c r="S196"/>
      <c r="T196"/>
      <c r="U196"/>
    </row>
    <row r="197" spans="1:21" ht="19.5" customHeight="1" thickBot="1">
      <c r="A197" s="808" t="s">
        <v>86</v>
      </c>
      <c r="B197" s="626">
        <v>0.1116</v>
      </c>
      <c r="C197" s="836" t="e">
        <f>#REF!*0.11</f>
        <v>#REF!</v>
      </c>
      <c r="D197" s="814"/>
      <c r="E197" s="814"/>
      <c r="F197" s="284"/>
      <c r="G197" s="530">
        <f>$B$197*G185</f>
        <v>0</v>
      </c>
      <c r="H197" s="811"/>
      <c r="I197" s="530">
        <f>$B$197*I185</f>
        <v>0</v>
      </c>
      <c r="J197" s="812"/>
      <c r="K197" s="530">
        <f>$B$197*K185</f>
        <v>0</v>
      </c>
      <c r="L197" s="812"/>
      <c r="M197" s="530">
        <f>$B$197*M185</f>
        <v>0</v>
      </c>
      <c r="N197" s="812"/>
      <c r="O197" s="530">
        <f>$B$197*O185</f>
        <v>0</v>
      </c>
      <c r="P197"/>
      <c r="Q197"/>
      <c r="R197"/>
      <c r="S197"/>
      <c r="T197"/>
      <c r="U197"/>
    </row>
    <row r="198" spans="1:21" ht="13.5" thickBot="1">
      <c r="A198" s="819"/>
      <c r="B198" s="819"/>
      <c r="C198" s="837"/>
      <c r="D198" s="814"/>
      <c r="E198" s="814"/>
      <c r="F198" s="129"/>
      <c r="G198" s="840"/>
      <c r="H198" s="840"/>
      <c r="I198" s="421"/>
      <c r="J198" s="840"/>
      <c r="K198" s="840"/>
      <c r="L198" s="840"/>
      <c r="M198" s="840"/>
      <c r="N198" s="840"/>
      <c r="O198" s="840"/>
      <c r="P198"/>
      <c r="Q198"/>
      <c r="R198"/>
      <c r="S198"/>
      <c r="T198"/>
      <c r="U198"/>
    </row>
    <row r="199" spans="1:21" ht="21.75" customHeight="1" thickBot="1">
      <c r="A199" s="519" t="s">
        <v>38</v>
      </c>
      <c r="B199" s="626">
        <v>0.062</v>
      </c>
      <c r="C199" s="813" t="e">
        <f>#REF!*0.062</f>
        <v>#REF!</v>
      </c>
      <c r="D199" s="814"/>
      <c r="E199" s="530">
        <f>E188*$B$199</f>
        <v>2805.5</v>
      </c>
      <c r="F199" s="814"/>
      <c r="G199" s="530">
        <f>G188*$B$199</f>
        <v>44103.7</v>
      </c>
      <c r="H199" s="815"/>
      <c r="I199" s="530">
        <f>I188*$B$199</f>
        <v>60341.314</v>
      </c>
      <c r="J199" s="816"/>
      <c r="K199" s="530">
        <f>K188*$B$199</f>
        <v>74237.85667</v>
      </c>
      <c r="L199" s="816"/>
      <c r="M199" s="530">
        <f>M188*$B$199</f>
        <v>76464.9923701</v>
      </c>
      <c r="N199" s="816"/>
      <c r="O199" s="530">
        <f>O188*$B$199</f>
        <v>78758.94214120302</v>
      </c>
      <c r="P199"/>
      <c r="Q199"/>
      <c r="R199"/>
      <c r="S199"/>
      <c r="T199"/>
      <c r="U199"/>
    </row>
    <row r="200" spans="1:21" ht="13.5" thickBot="1">
      <c r="A200" s="804"/>
      <c r="B200" s="804"/>
      <c r="C200" s="837"/>
      <c r="D200" s="814"/>
      <c r="E200" s="814"/>
      <c r="F200" s="129"/>
      <c r="G200" s="840"/>
      <c r="H200" s="840"/>
      <c r="I200" s="840"/>
      <c r="J200" s="840"/>
      <c r="K200" s="840"/>
      <c r="L200" s="840"/>
      <c r="M200" s="840"/>
      <c r="N200" s="840"/>
      <c r="O200" s="840"/>
      <c r="P200"/>
      <c r="Q200"/>
      <c r="R200"/>
      <c r="S200"/>
      <c r="T200"/>
      <c r="U200"/>
    </row>
    <row r="201" spans="1:21" ht="24" customHeight="1" thickBot="1">
      <c r="A201" s="519" t="s">
        <v>87</v>
      </c>
      <c r="B201" s="626">
        <v>0.0145</v>
      </c>
      <c r="C201" s="817"/>
      <c r="D201" s="818"/>
      <c r="E201" s="530">
        <f>E189*$B$201</f>
        <v>656.125</v>
      </c>
      <c r="F201" s="819"/>
      <c r="G201" s="530">
        <f>G189*$B$201</f>
        <v>10314.575</v>
      </c>
      <c r="H201" s="815"/>
      <c r="I201" s="530">
        <f>I189*$B$201</f>
        <v>14112.0815</v>
      </c>
      <c r="J201" s="816"/>
      <c r="K201" s="530">
        <f>K189*$B$201</f>
        <v>17362.0793825</v>
      </c>
      <c r="L201" s="816"/>
      <c r="M201" s="530">
        <f>M189*$B$201</f>
        <v>17882.941763975</v>
      </c>
      <c r="N201" s="816"/>
      <c r="O201" s="530">
        <f>O189*$B$201</f>
        <v>18419.430016894257</v>
      </c>
      <c r="P201"/>
      <c r="Q201"/>
      <c r="R201"/>
      <c r="S201"/>
      <c r="T201"/>
      <c r="U201"/>
    </row>
    <row r="202" spans="1:21" ht="13.5" thickBot="1">
      <c r="A202" s="4"/>
      <c r="B202" s="4"/>
      <c r="C202" s="4"/>
      <c r="D202" s="4"/>
      <c r="E202" s="4"/>
      <c r="F202" s="4"/>
      <c r="G202" s="414"/>
      <c r="H202" s="414"/>
      <c r="I202" s="414"/>
      <c r="J202" s="414"/>
      <c r="K202" s="414"/>
      <c r="L202" s="414"/>
      <c r="M202" s="414"/>
      <c r="N202" s="414"/>
      <c r="O202" s="414"/>
      <c r="P202"/>
      <c r="Q202"/>
      <c r="R202"/>
      <c r="S202"/>
      <c r="T202"/>
      <c r="U202"/>
    </row>
    <row r="203" spans="1:21" ht="24" customHeight="1" thickBot="1">
      <c r="A203" s="519" t="s">
        <v>252</v>
      </c>
      <c r="B203" s="930"/>
      <c r="C203" s="4"/>
      <c r="D203" s="4"/>
      <c r="E203" s="415">
        <f>E188*$B$203</f>
        <v>0</v>
      </c>
      <c r="F203" s="4"/>
      <c r="G203" s="415">
        <f>G188*$B$203</f>
        <v>0</v>
      </c>
      <c r="H203" s="414"/>
      <c r="I203" s="415">
        <f>I188*$B$203</f>
        <v>0</v>
      </c>
      <c r="J203" s="414"/>
      <c r="K203" s="415">
        <f>K188*$B$203</f>
        <v>0</v>
      </c>
      <c r="L203" s="414"/>
      <c r="M203" s="415">
        <f>M188*$B$203</f>
        <v>0</v>
      </c>
      <c r="N203" s="414"/>
      <c r="O203" s="415">
        <f>O188*$B$203</f>
        <v>0</v>
      </c>
      <c r="P203"/>
      <c r="Q203"/>
      <c r="R203"/>
      <c r="S203"/>
      <c r="T203"/>
      <c r="U203"/>
    </row>
    <row r="204" spans="1:21" ht="12.75">
      <c r="A204" s="4"/>
      <c r="B204" s="4"/>
      <c r="C204" s="4"/>
      <c r="D204" s="4"/>
      <c r="E204" s="4"/>
      <c r="F204" s="4"/>
      <c r="G204" s="4"/>
      <c r="H204" s="4"/>
      <c r="I204" s="4"/>
      <c r="J204" s="4"/>
      <c r="K204" s="4"/>
      <c r="L204" s="4"/>
      <c r="M204" s="4"/>
      <c r="N204" s="4"/>
      <c r="O204" s="4"/>
      <c r="P204"/>
      <c r="Q204"/>
      <c r="R204"/>
      <c r="S204"/>
      <c r="T204"/>
      <c r="U204"/>
    </row>
    <row r="205" spans="1:21" ht="12.75">
      <c r="A205" s="4"/>
      <c r="B205" s="4"/>
      <c r="C205" s="4"/>
      <c r="D205" s="4"/>
      <c r="E205" s="4"/>
      <c r="F205" s="4"/>
      <c r="G205" s="4"/>
      <c r="H205" s="4"/>
      <c r="I205" s="4"/>
      <c r="J205" s="4"/>
      <c r="K205" s="4"/>
      <c r="L205" s="4"/>
      <c r="M205" s="4"/>
      <c r="N205" s="4"/>
      <c r="O205" s="4"/>
      <c r="P205"/>
      <c r="Q205"/>
      <c r="R205"/>
      <c r="S205"/>
      <c r="T205"/>
      <c r="U205"/>
    </row>
    <row r="206" spans="1:21" ht="12.75">
      <c r="A206" s="4"/>
      <c r="B206" s="4"/>
      <c r="C206" s="4"/>
      <c r="D206" s="4"/>
      <c r="E206" s="4"/>
      <c r="F206" s="4"/>
      <c r="G206" s="4"/>
      <c r="H206" s="4"/>
      <c r="I206" s="4"/>
      <c r="J206" s="4"/>
      <c r="K206" s="4"/>
      <c r="L206" s="4"/>
      <c r="M206" s="4"/>
      <c r="N206" s="4"/>
      <c r="O206" s="4"/>
      <c r="P206"/>
      <c r="Q206"/>
      <c r="R206"/>
      <c r="S206"/>
      <c r="T206"/>
      <c r="U206"/>
    </row>
    <row r="207" spans="1:21" ht="12.75">
      <c r="A207" s="4"/>
      <c r="B207" s="4"/>
      <c r="C207" s="4"/>
      <c r="D207" s="4"/>
      <c r="E207" s="4"/>
      <c r="F207" s="4"/>
      <c r="G207" s="4"/>
      <c r="H207" s="4"/>
      <c r="I207" s="4"/>
      <c r="J207" s="4"/>
      <c r="K207" s="4"/>
      <c r="L207" s="4"/>
      <c r="M207" s="4"/>
      <c r="N207" s="4"/>
      <c r="O207" s="4"/>
      <c r="P207"/>
      <c r="Q207"/>
      <c r="R207"/>
      <c r="S207"/>
      <c r="T207"/>
      <c r="U207"/>
    </row>
    <row r="208" spans="1:21" ht="12.75">
      <c r="A208" s="4"/>
      <c r="B208" s="4"/>
      <c r="C208" s="4"/>
      <c r="D208" s="4"/>
      <c r="E208" s="4"/>
      <c r="F208" s="4"/>
      <c r="G208" s="4"/>
      <c r="H208" s="4"/>
      <c r="I208" s="4"/>
      <c r="J208" s="4"/>
      <c r="K208" s="4"/>
      <c r="L208" s="4"/>
      <c r="M208" s="4"/>
      <c r="N208" s="4"/>
      <c r="O208" s="4"/>
      <c r="P208"/>
      <c r="Q208"/>
      <c r="R208"/>
      <c r="S208"/>
      <c r="T208"/>
      <c r="U208"/>
    </row>
    <row r="209" spans="1:21" ht="12.75">
      <c r="A209" s="4"/>
      <c r="B209" s="4"/>
      <c r="C209" s="4"/>
      <c r="D209" s="4"/>
      <c r="E209" s="4"/>
      <c r="F209" s="4"/>
      <c r="G209" s="4"/>
      <c r="H209" s="4"/>
      <c r="I209" s="4"/>
      <c r="J209" s="4"/>
      <c r="K209" s="4"/>
      <c r="L209" s="4"/>
      <c r="M209" s="4"/>
      <c r="N209" s="4"/>
      <c r="O209" s="4"/>
      <c r="P209"/>
      <c r="Q209"/>
      <c r="R209"/>
      <c r="S209"/>
      <c r="T209"/>
      <c r="U209"/>
    </row>
    <row r="210" spans="1:21" ht="12.75">
      <c r="A210" s="4"/>
      <c r="B210" s="4"/>
      <c r="C210" s="4"/>
      <c r="D210" s="4"/>
      <c r="E210" s="4"/>
      <c r="F210" s="4"/>
      <c r="G210" s="4"/>
      <c r="H210" s="4"/>
      <c r="I210" s="4"/>
      <c r="J210" s="4"/>
      <c r="K210" s="4"/>
      <c r="L210" s="4"/>
      <c r="M210" s="4"/>
      <c r="N210" s="4"/>
      <c r="O210" s="4"/>
      <c r="P210"/>
      <c r="Q210"/>
      <c r="R210"/>
      <c r="S210"/>
      <c r="T210"/>
      <c r="U210"/>
    </row>
    <row r="211" spans="1:21" ht="12.75">
      <c r="A211" s="4"/>
      <c r="B211" s="4"/>
      <c r="C211" s="4"/>
      <c r="D211" s="4"/>
      <c r="E211" s="4"/>
      <c r="F211" s="4"/>
      <c r="G211" s="4"/>
      <c r="H211" s="4"/>
      <c r="I211" s="4"/>
      <c r="J211" s="4"/>
      <c r="K211" s="4"/>
      <c r="L211" s="4"/>
      <c r="M211" s="4"/>
      <c r="N211" s="4"/>
      <c r="O211" s="4"/>
      <c r="P211"/>
      <c r="Q211"/>
      <c r="R211"/>
      <c r="S211"/>
      <c r="T211"/>
      <c r="U211"/>
    </row>
    <row r="212" spans="1:21" ht="12.75">
      <c r="A212" s="4"/>
      <c r="B212" s="4"/>
      <c r="C212" s="4"/>
      <c r="D212" s="4"/>
      <c r="E212" s="4"/>
      <c r="F212" s="4"/>
      <c r="G212" s="4"/>
      <c r="H212" s="4"/>
      <c r="I212" s="4"/>
      <c r="J212" s="4"/>
      <c r="K212" s="4"/>
      <c r="L212" s="4"/>
      <c r="M212" s="4"/>
      <c r="N212" s="4"/>
      <c r="O212" s="4"/>
      <c r="P212"/>
      <c r="Q212"/>
      <c r="R212"/>
      <c r="S212"/>
      <c r="T212"/>
      <c r="U212"/>
    </row>
    <row r="213" spans="1:21" ht="12.75">
      <c r="A213" s="4"/>
      <c r="B213" s="4"/>
      <c r="C213" s="4"/>
      <c r="D213" s="4"/>
      <c r="E213" s="4"/>
      <c r="F213" s="4"/>
      <c r="G213" s="4"/>
      <c r="H213" s="4"/>
      <c r="I213" s="4"/>
      <c r="J213" s="4"/>
      <c r="K213" s="4"/>
      <c r="L213" s="4"/>
      <c r="M213" s="4"/>
      <c r="N213" s="4"/>
      <c r="O213" s="4"/>
      <c r="P213"/>
      <c r="Q213"/>
      <c r="R213"/>
      <c r="S213"/>
      <c r="T213"/>
      <c r="U213"/>
    </row>
    <row r="214" spans="1:21" ht="12.75">
      <c r="A214" s="4"/>
      <c r="B214" s="4"/>
      <c r="C214" s="4"/>
      <c r="D214" s="4"/>
      <c r="E214" s="4"/>
      <c r="F214" s="4"/>
      <c r="G214" s="4"/>
      <c r="H214" s="4"/>
      <c r="I214" s="4"/>
      <c r="J214" s="4"/>
      <c r="K214" s="4"/>
      <c r="L214" s="4"/>
      <c r="M214" s="4"/>
      <c r="N214" s="4"/>
      <c r="O214" s="4"/>
      <c r="P214"/>
      <c r="Q214"/>
      <c r="R214"/>
      <c r="S214"/>
      <c r="T214"/>
      <c r="U214"/>
    </row>
    <row r="215" spans="1:21" ht="12.75">
      <c r="A215" s="4"/>
      <c r="B215" s="4"/>
      <c r="C215" s="4"/>
      <c r="D215" s="4"/>
      <c r="E215" s="4"/>
      <c r="F215" s="4"/>
      <c r="G215" s="4"/>
      <c r="H215" s="4"/>
      <c r="I215" s="4"/>
      <c r="J215" s="4"/>
      <c r="K215" s="4"/>
      <c r="L215" s="4"/>
      <c r="M215" s="4"/>
      <c r="N215" s="4"/>
      <c r="O215" s="4"/>
      <c r="P215"/>
      <c r="Q215"/>
      <c r="R215"/>
      <c r="S215"/>
      <c r="T215"/>
      <c r="U215"/>
    </row>
    <row r="216" spans="1:21" ht="12.75">
      <c r="A216" s="4"/>
      <c r="B216" s="4"/>
      <c r="C216" s="4"/>
      <c r="D216" s="4"/>
      <c r="E216" s="4"/>
      <c r="F216" s="4"/>
      <c r="G216" s="4"/>
      <c r="H216" s="4"/>
      <c r="I216" s="4"/>
      <c r="J216" s="4"/>
      <c r="K216" s="4"/>
      <c r="L216" s="4"/>
      <c r="M216" s="4"/>
      <c r="N216" s="4"/>
      <c r="O216" s="4"/>
      <c r="P216"/>
      <c r="Q216"/>
      <c r="R216"/>
      <c r="S216"/>
      <c r="T216"/>
      <c r="U216"/>
    </row>
    <row r="217" spans="1:21" ht="12.75">
      <c r="A217" s="107"/>
      <c r="B217" s="4"/>
      <c r="C217" s="4"/>
      <c r="D217" s="4"/>
      <c r="E217" s="4"/>
      <c r="F217" s="4"/>
      <c r="G217" s="4"/>
      <c r="H217" s="4"/>
      <c r="I217" s="4"/>
      <c r="J217" s="4"/>
      <c r="K217" s="4"/>
      <c r="L217" s="4"/>
      <c r="M217" s="4"/>
      <c r="N217" s="4"/>
      <c r="O217" s="4"/>
      <c r="P217"/>
      <c r="Q217"/>
      <c r="R217"/>
      <c r="S217"/>
      <c r="T217"/>
      <c r="U217"/>
    </row>
    <row r="218" spans="1:21" ht="12.75">
      <c r="A218" s="107"/>
      <c r="B218" s="4"/>
      <c r="C218" s="4"/>
      <c r="D218" s="4"/>
      <c r="E218" s="4"/>
      <c r="F218" s="4"/>
      <c r="G218" s="4"/>
      <c r="H218" s="4"/>
      <c r="I218" s="4"/>
      <c r="J218" s="4"/>
      <c r="K218" s="4"/>
      <c r="L218" s="4"/>
      <c r="M218" s="4"/>
      <c r="N218" s="4"/>
      <c r="O218" s="4"/>
      <c r="P218"/>
      <c r="Q218"/>
      <c r="R218"/>
      <c r="S218"/>
      <c r="T218"/>
      <c r="U218"/>
    </row>
    <row r="219" spans="1:21" ht="12.75">
      <c r="A219" s="107"/>
      <c r="B219" s="4"/>
      <c r="C219" s="4"/>
      <c r="D219" s="4"/>
      <c r="E219" s="4"/>
      <c r="F219" s="4"/>
      <c r="G219" s="4"/>
      <c r="H219" s="4"/>
      <c r="I219" s="4"/>
      <c r="J219" s="4"/>
      <c r="K219" s="4"/>
      <c r="L219" s="4"/>
      <c r="M219" s="4"/>
      <c r="N219" s="4"/>
      <c r="O219" s="4"/>
      <c r="P219"/>
      <c r="Q219"/>
      <c r="R219"/>
      <c r="S219"/>
      <c r="T219"/>
      <c r="U219"/>
    </row>
    <row r="220" spans="1:21" ht="12.75">
      <c r="A220" s="112"/>
      <c r="B220" s="4"/>
      <c r="C220" s="4"/>
      <c r="D220" s="4"/>
      <c r="E220" s="4"/>
      <c r="F220" s="4"/>
      <c r="G220" s="4"/>
      <c r="H220" s="4"/>
      <c r="I220" s="4"/>
      <c r="J220" s="4"/>
      <c r="K220" s="4"/>
      <c r="L220" s="4"/>
      <c r="M220" s="4"/>
      <c r="N220" s="4"/>
      <c r="O220" s="4"/>
      <c r="P220"/>
      <c r="Q220"/>
      <c r="R220"/>
      <c r="S220"/>
      <c r="T220"/>
      <c r="U220"/>
    </row>
    <row r="221" spans="1:21" ht="12.75">
      <c r="A221" s="107"/>
      <c r="B221" s="4"/>
      <c r="C221" s="4"/>
      <c r="D221" s="4"/>
      <c r="E221" s="4"/>
      <c r="F221" s="4"/>
      <c r="G221" s="4"/>
      <c r="H221" s="4"/>
      <c r="I221" s="4"/>
      <c r="J221" s="4"/>
      <c r="K221" s="4"/>
      <c r="L221" s="4"/>
      <c r="M221" s="4"/>
      <c r="N221" s="4"/>
      <c r="O221" s="4"/>
      <c r="P221"/>
      <c r="Q221"/>
      <c r="R221"/>
      <c r="S221"/>
      <c r="T221"/>
      <c r="U221"/>
    </row>
    <row r="222" spans="1:21" ht="12.75">
      <c r="A222" s="107"/>
      <c r="B222" s="4"/>
      <c r="C222" s="4"/>
      <c r="D222" s="4"/>
      <c r="E222" s="4"/>
      <c r="F222" s="4"/>
      <c r="G222" s="4"/>
      <c r="H222" s="4"/>
      <c r="I222" s="4"/>
      <c r="J222" s="4"/>
      <c r="K222" s="4"/>
      <c r="L222" s="4"/>
      <c r="M222" s="4"/>
      <c r="N222" s="4"/>
      <c r="O222" s="4"/>
      <c r="P222"/>
      <c r="Q222"/>
      <c r="R222"/>
      <c r="S222"/>
      <c r="T222"/>
      <c r="U222"/>
    </row>
    <row r="223" spans="1:21" ht="12.75">
      <c r="A223" s="107"/>
      <c r="B223" s="4"/>
      <c r="C223" s="4"/>
      <c r="D223" s="4"/>
      <c r="E223" s="4"/>
      <c r="F223" s="4"/>
      <c r="G223" s="4"/>
      <c r="H223" s="4"/>
      <c r="I223" s="4"/>
      <c r="J223" s="4"/>
      <c r="K223" s="4"/>
      <c r="L223" s="4"/>
      <c r="M223" s="4"/>
      <c r="N223" s="4"/>
      <c r="O223" s="4"/>
      <c r="P223"/>
      <c r="Q223"/>
      <c r="R223"/>
      <c r="S223"/>
      <c r="T223"/>
      <c r="U223"/>
    </row>
    <row r="224" spans="1:21" ht="12.75">
      <c r="A224" s="4"/>
      <c r="B224" s="4"/>
      <c r="C224" s="4"/>
      <c r="D224" s="4"/>
      <c r="E224" s="4"/>
      <c r="F224" s="4"/>
      <c r="G224" s="4"/>
      <c r="H224" s="4"/>
      <c r="I224" s="4"/>
      <c r="J224" s="4"/>
      <c r="K224" s="4"/>
      <c r="L224" s="4"/>
      <c r="M224" s="4"/>
      <c r="N224" s="4"/>
      <c r="O224" s="4"/>
      <c r="P224"/>
      <c r="Q224"/>
      <c r="R224"/>
      <c r="S224"/>
      <c r="T224"/>
      <c r="U224"/>
    </row>
    <row r="225" spans="1:21" ht="12.75">
      <c r="A225" s="4"/>
      <c r="B225" s="4"/>
      <c r="C225" s="4"/>
      <c r="D225" s="4"/>
      <c r="E225" s="4"/>
      <c r="F225" s="4"/>
      <c r="G225" s="4"/>
      <c r="H225" s="4"/>
      <c r="I225" s="4"/>
      <c r="J225" s="4"/>
      <c r="K225" s="4"/>
      <c r="L225" s="4"/>
      <c r="M225" s="4"/>
      <c r="N225" s="4"/>
      <c r="O225" s="4"/>
      <c r="P225"/>
      <c r="Q225"/>
      <c r="R225"/>
      <c r="S225"/>
      <c r="T225"/>
      <c r="U225"/>
    </row>
    <row r="226" spans="1:21" ht="12.75">
      <c r="A226" s="4"/>
      <c r="B226" s="4"/>
      <c r="C226" s="4"/>
      <c r="D226" s="4"/>
      <c r="E226" s="4"/>
      <c r="F226" s="4"/>
      <c r="G226" s="4"/>
      <c r="H226" s="4"/>
      <c r="I226" s="4"/>
      <c r="J226" s="4"/>
      <c r="K226" s="4"/>
      <c r="L226" s="4"/>
      <c r="M226" s="4"/>
      <c r="N226" s="4"/>
      <c r="O226" s="4"/>
      <c r="P226"/>
      <c r="Q226"/>
      <c r="R226"/>
      <c r="S226"/>
      <c r="T226"/>
      <c r="U226"/>
    </row>
    <row r="227" spans="1:21" ht="12.75">
      <c r="A227" s="4"/>
      <c r="B227" s="4"/>
      <c r="C227" s="4"/>
      <c r="D227" s="4"/>
      <c r="E227" s="4"/>
      <c r="F227" s="4"/>
      <c r="G227" s="4"/>
      <c r="H227" s="4"/>
      <c r="I227" s="4"/>
      <c r="J227" s="4"/>
      <c r="K227" s="4"/>
      <c r="L227" s="4"/>
      <c r="M227" s="4"/>
      <c r="N227" s="4"/>
      <c r="O227" s="4"/>
      <c r="P227"/>
      <c r="Q227"/>
      <c r="R227"/>
      <c r="S227"/>
      <c r="T227"/>
      <c r="U227"/>
    </row>
    <row r="228" spans="1:21" ht="12.75">
      <c r="A228" s="4"/>
      <c r="B228" s="4"/>
      <c r="C228" s="4"/>
      <c r="D228" s="4"/>
      <c r="E228" s="4"/>
      <c r="F228" s="4"/>
      <c r="G228" s="4"/>
      <c r="H228" s="4"/>
      <c r="I228" s="4"/>
      <c r="J228" s="4"/>
      <c r="K228" s="4"/>
      <c r="L228" s="4"/>
      <c r="M228" s="4"/>
      <c r="N228" s="4"/>
      <c r="O228" s="4"/>
      <c r="P228"/>
      <c r="Q228"/>
      <c r="R228"/>
      <c r="S228"/>
      <c r="T228"/>
      <c r="U228"/>
    </row>
    <row r="229" spans="1:21" ht="12.75">
      <c r="A229" s="4"/>
      <c r="B229" s="4"/>
      <c r="C229" s="4"/>
      <c r="D229" s="4"/>
      <c r="E229" s="4"/>
      <c r="F229" s="4"/>
      <c r="G229" s="4"/>
      <c r="H229" s="4"/>
      <c r="I229" s="4"/>
      <c r="J229" s="4"/>
      <c r="K229" s="4"/>
      <c r="L229" s="4"/>
      <c r="M229" s="4"/>
      <c r="N229" s="4"/>
      <c r="O229" s="4"/>
      <c r="P229"/>
      <c r="Q229"/>
      <c r="R229"/>
      <c r="S229"/>
      <c r="T229"/>
      <c r="U229"/>
    </row>
    <row r="230" spans="1:21" ht="12.75">
      <c r="A230" s="4"/>
      <c r="B230" s="4"/>
      <c r="C230" s="4"/>
      <c r="D230" s="4"/>
      <c r="E230" s="4"/>
      <c r="F230" s="4"/>
      <c r="G230" s="4"/>
      <c r="H230" s="4"/>
      <c r="I230" s="4"/>
      <c r="J230" s="4"/>
      <c r="K230" s="4"/>
      <c r="L230" s="4"/>
      <c r="M230" s="4"/>
      <c r="N230" s="4"/>
      <c r="O230" s="4"/>
      <c r="P230"/>
      <c r="Q230"/>
      <c r="R230"/>
      <c r="S230"/>
      <c r="T230"/>
      <c r="U230"/>
    </row>
    <row r="231" spans="1:21" ht="12.75">
      <c r="A231" s="4"/>
      <c r="B231" s="4"/>
      <c r="C231" s="4"/>
      <c r="D231" s="4"/>
      <c r="E231" s="4"/>
      <c r="F231" s="4"/>
      <c r="G231" s="4"/>
      <c r="H231" s="4"/>
      <c r="I231" s="4"/>
      <c r="J231" s="4"/>
      <c r="K231" s="4"/>
      <c r="L231" s="4"/>
      <c r="M231" s="4"/>
      <c r="N231" s="4"/>
      <c r="O231" s="4"/>
      <c r="P231"/>
      <c r="Q231"/>
      <c r="R231"/>
      <c r="S231"/>
      <c r="T231"/>
      <c r="U231"/>
    </row>
    <row r="232" spans="1:21" ht="12.75">
      <c r="A232" s="4"/>
      <c r="B232" s="4"/>
      <c r="C232" s="4"/>
      <c r="D232" s="4"/>
      <c r="E232" s="4"/>
      <c r="F232" s="4"/>
      <c r="G232" s="4"/>
      <c r="H232" s="4"/>
      <c r="I232" s="4"/>
      <c r="J232" s="4"/>
      <c r="K232" s="4"/>
      <c r="L232" s="4"/>
      <c r="M232" s="4"/>
      <c r="N232" s="4"/>
      <c r="O232" s="4"/>
      <c r="P232"/>
      <c r="Q232"/>
      <c r="R232"/>
      <c r="S232"/>
      <c r="T232"/>
      <c r="U232"/>
    </row>
    <row r="233" spans="1:21" ht="12.75">
      <c r="A233" s="4"/>
      <c r="B233" s="4"/>
      <c r="C233" s="4"/>
      <c r="D233" s="4"/>
      <c r="E233" s="4"/>
      <c r="F233" s="4"/>
      <c r="G233" s="4"/>
      <c r="H233" s="4"/>
      <c r="I233" s="4"/>
      <c r="J233" s="4"/>
      <c r="K233" s="4"/>
      <c r="L233" s="4"/>
      <c r="M233" s="4"/>
      <c r="N233" s="4"/>
      <c r="O233" s="4"/>
      <c r="P233"/>
      <c r="Q233"/>
      <c r="R233"/>
      <c r="S233"/>
      <c r="T233"/>
      <c r="U233"/>
    </row>
    <row r="234" spans="1:21" ht="12.75">
      <c r="A234" s="4"/>
      <c r="B234" s="4"/>
      <c r="C234" s="4"/>
      <c r="D234" s="4"/>
      <c r="E234" s="4"/>
      <c r="F234" s="4"/>
      <c r="G234" s="4"/>
      <c r="H234" s="4"/>
      <c r="I234" s="4"/>
      <c r="J234" s="4"/>
      <c r="K234" s="4"/>
      <c r="L234" s="4"/>
      <c r="M234" s="4"/>
      <c r="N234" s="4"/>
      <c r="O234" s="4"/>
      <c r="P234"/>
      <c r="Q234"/>
      <c r="R234"/>
      <c r="S234"/>
      <c r="T234"/>
      <c r="U234"/>
    </row>
    <row r="235" spans="1:21" ht="12.75">
      <c r="A235" s="4"/>
      <c r="B235" s="4"/>
      <c r="C235" s="4"/>
      <c r="D235" s="4"/>
      <c r="E235" s="4"/>
      <c r="F235" s="4"/>
      <c r="G235" s="4"/>
      <c r="H235" s="4"/>
      <c r="I235" s="4"/>
      <c r="J235" s="4"/>
      <c r="K235" s="4"/>
      <c r="L235" s="4"/>
      <c r="M235" s="4"/>
      <c r="N235" s="4"/>
      <c r="O235" s="4"/>
      <c r="P235"/>
      <c r="Q235"/>
      <c r="R235"/>
      <c r="S235"/>
      <c r="T235"/>
      <c r="U235"/>
    </row>
    <row r="236" spans="1:21" ht="12.75">
      <c r="A236" s="4"/>
      <c r="B236" s="4"/>
      <c r="C236" s="4"/>
      <c r="D236" s="4"/>
      <c r="E236" s="4"/>
      <c r="F236" s="4"/>
      <c r="G236" s="4"/>
      <c r="H236" s="4"/>
      <c r="I236" s="4"/>
      <c r="J236" s="4"/>
      <c r="K236" s="4"/>
      <c r="L236" s="4"/>
      <c r="M236" s="4"/>
      <c r="N236" s="4"/>
      <c r="O236" s="4"/>
      <c r="P236"/>
      <c r="Q236"/>
      <c r="R236"/>
      <c r="S236"/>
      <c r="T236"/>
      <c r="U236"/>
    </row>
    <row r="237" spans="1:21" ht="12.75">
      <c r="A237" s="4"/>
      <c r="B237" s="4"/>
      <c r="C237" s="4"/>
      <c r="D237" s="4"/>
      <c r="E237" s="4"/>
      <c r="F237" s="4"/>
      <c r="G237" s="4"/>
      <c r="H237" s="4"/>
      <c r="I237" s="4"/>
      <c r="J237" s="4"/>
      <c r="K237" s="4"/>
      <c r="L237" s="4"/>
      <c r="M237" s="4"/>
      <c r="N237" s="4"/>
      <c r="O237" s="4"/>
      <c r="P237"/>
      <c r="Q237"/>
      <c r="R237"/>
      <c r="S237"/>
      <c r="T237"/>
      <c r="U237"/>
    </row>
    <row r="238" spans="1:21" ht="12.75">
      <c r="A238" s="4"/>
      <c r="B238" s="4"/>
      <c r="C238" s="4"/>
      <c r="D238" s="4"/>
      <c r="E238" s="4"/>
      <c r="F238" s="4"/>
      <c r="G238" s="4"/>
      <c r="H238" s="4"/>
      <c r="I238" s="4"/>
      <c r="J238" s="4"/>
      <c r="K238" s="4"/>
      <c r="L238" s="4"/>
      <c r="M238" s="4"/>
      <c r="N238" s="4"/>
      <c r="O238" s="4"/>
      <c r="P238"/>
      <c r="Q238"/>
      <c r="R238"/>
      <c r="S238"/>
      <c r="T238"/>
      <c r="U238"/>
    </row>
    <row r="239" spans="1:21" ht="12.75">
      <c r="A239" s="4"/>
      <c r="B239" s="4"/>
      <c r="C239" s="4"/>
      <c r="D239" s="4"/>
      <c r="E239" s="4"/>
      <c r="F239" s="4"/>
      <c r="G239" s="4"/>
      <c r="H239" s="4"/>
      <c r="I239" s="4"/>
      <c r="J239" s="4"/>
      <c r="K239" s="4"/>
      <c r="L239" s="4"/>
      <c r="M239" s="4"/>
      <c r="N239" s="4"/>
      <c r="O239" s="4"/>
      <c r="P239"/>
      <c r="Q239"/>
      <c r="R239"/>
      <c r="S239"/>
      <c r="T239"/>
      <c r="U239"/>
    </row>
    <row r="240" spans="1:21" ht="12.75">
      <c r="A240" s="4"/>
      <c r="B240" s="4"/>
      <c r="C240" s="4"/>
      <c r="D240" s="4"/>
      <c r="E240" s="4"/>
      <c r="F240" s="4"/>
      <c r="G240" s="4"/>
      <c r="H240" s="4"/>
      <c r="I240" s="4"/>
      <c r="J240" s="4"/>
      <c r="K240" s="4"/>
      <c r="L240" s="4"/>
      <c r="M240" s="4"/>
      <c r="N240" s="4"/>
      <c r="O240" s="4"/>
      <c r="P240"/>
      <c r="Q240"/>
      <c r="R240"/>
      <c r="S240"/>
      <c r="T240"/>
      <c r="U240"/>
    </row>
    <row r="241" spans="1:21" ht="12.75">
      <c r="A241" s="4"/>
      <c r="B241" s="4"/>
      <c r="C241" s="4"/>
      <c r="D241" s="4"/>
      <c r="E241" s="4"/>
      <c r="F241" s="4"/>
      <c r="G241" s="4"/>
      <c r="H241" s="4"/>
      <c r="I241" s="4"/>
      <c r="J241" s="4"/>
      <c r="K241" s="4"/>
      <c r="L241" s="4"/>
      <c r="M241" s="4"/>
      <c r="N241" s="4"/>
      <c r="O241" s="4"/>
      <c r="P241"/>
      <c r="Q241"/>
      <c r="R241"/>
      <c r="S241"/>
      <c r="T241"/>
      <c r="U241"/>
    </row>
    <row r="242" spans="1:21" ht="12.75">
      <c r="A242" s="4"/>
      <c r="B242" s="4"/>
      <c r="C242" s="4"/>
      <c r="D242" s="4"/>
      <c r="E242" s="4"/>
      <c r="F242" s="4"/>
      <c r="G242" s="4"/>
      <c r="H242" s="4"/>
      <c r="I242" s="4"/>
      <c r="J242" s="4"/>
      <c r="K242" s="4"/>
      <c r="L242" s="4"/>
      <c r="M242" s="4"/>
      <c r="N242" s="4"/>
      <c r="O242" s="4"/>
      <c r="P242"/>
      <c r="Q242"/>
      <c r="R242"/>
      <c r="S242"/>
      <c r="T242"/>
      <c r="U242"/>
    </row>
    <row r="243" spans="1:21" ht="12.75">
      <c r="A243" s="4"/>
      <c r="B243" s="4"/>
      <c r="C243" s="4"/>
      <c r="D243" s="4"/>
      <c r="E243" s="4"/>
      <c r="F243" s="4"/>
      <c r="G243" s="4"/>
      <c r="H243" s="4"/>
      <c r="I243" s="4"/>
      <c r="J243" s="4"/>
      <c r="K243" s="4"/>
      <c r="L243" s="4"/>
      <c r="M243" s="4"/>
      <c r="N243" s="4"/>
      <c r="O243" s="4"/>
      <c r="P243"/>
      <c r="Q243"/>
      <c r="R243"/>
      <c r="S243"/>
      <c r="T243"/>
      <c r="U243"/>
    </row>
    <row r="244" spans="1:21" ht="12.75">
      <c r="A244" s="4"/>
      <c r="B244" s="4"/>
      <c r="C244" s="4"/>
      <c r="D244" s="4"/>
      <c r="E244" s="4"/>
      <c r="F244" s="4"/>
      <c r="G244" s="4"/>
      <c r="H244" s="4"/>
      <c r="I244" s="4"/>
      <c r="J244" s="4"/>
      <c r="K244" s="4"/>
      <c r="L244" s="4"/>
      <c r="M244" s="4"/>
      <c r="N244" s="4"/>
      <c r="O244" s="4"/>
      <c r="P244"/>
      <c r="Q244"/>
      <c r="R244"/>
      <c r="S244"/>
      <c r="T244"/>
      <c r="U244"/>
    </row>
    <row r="245" spans="1:21" ht="12.75">
      <c r="A245" s="4"/>
      <c r="B245" s="4"/>
      <c r="C245" s="4"/>
      <c r="D245" s="4"/>
      <c r="E245" s="4"/>
      <c r="F245" s="4"/>
      <c r="G245" s="4"/>
      <c r="H245" s="4"/>
      <c r="I245" s="4"/>
      <c r="J245" s="4"/>
      <c r="K245" s="4"/>
      <c r="L245" s="4"/>
      <c r="M245" s="4"/>
      <c r="N245" s="4"/>
      <c r="O245" s="4"/>
      <c r="P245"/>
      <c r="Q245"/>
      <c r="R245"/>
      <c r="S245"/>
      <c r="T245"/>
      <c r="U245"/>
    </row>
    <row r="246" spans="1:21" ht="12.75">
      <c r="A246" s="4"/>
      <c r="B246" s="4"/>
      <c r="C246" s="4"/>
      <c r="D246" s="4"/>
      <c r="E246" s="4"/>
      <c r="F246" s="4"/>
      <c r="G246" s="4"/>
      <c r="H246" s="4"/>
      <c r="I246" s="4"/>
      <c r="J246" s="4"/>
      <c r="K246" s="4"/>
      <c r="L246" s="4"/>
      <c r="M246" s="4"/>
      <c r="N246" s="4"/>
      <c r="O246" s="4"/>
      <c r="P246"/>
      <c r="Q246"/>
      <c r="R246"/>
      <c r="S246"/>
      <c r="T246"/>
      <c r="U246"/>
    </row>
    <row r="247" spans="1:21" ht="12.75">
      <c r="A247" s="4"/>
      <c r="B247" s="4"/>
      <c r="C247" s="4"/>
      <c r="D247" s="4"/>
      <c r="E247" s="4"/>
      <c r="F247" s="4"/>
      <c r="G247" s="4"/>
      <c r="H247" s="4"/>
      <c r="I247" s="4"/>
      <c r="J247" s="4"/>
      <c r="K247" s="4"/>
      <c r="L247" s="4"/>
      <c r="M247" s="4"/>
      <c r="N247" s="4"/>
      <c r="O247" s="4"/>
      <c r="P247"/>
      <c r="Q247"/>
      <c r="R247"/>
      <c r="S247"/>
      <c r="T247"/>
      <c r="U247"/>
    </row>
    <row r="248" spans="1:21" ht="12.75">
      <c r="A248" s="4"/>
      <c r="B248" s="4"/>
      <c r="C248" s="4"/>
      <c r="D248" s="4"/>
      <c r="E248" s="4"/>
      <c r="F248" s="4"/>
      <c r="G248" s="4"/>
      <c r="H248" s="4"/>
      <c r="I248" s="4"/>
      <c r="J248" s="4"/>
      <c r="K248" s="4"/>
      <c r="L248" s="4"/>
      <c r="M248" s="4"/>
      <c r="N248" s="4"/>
      <c r="O248" s="4"/>
      <c r="P248"/>
      <c r="Q248"/>
      <c r="R248"/>
      <c r="S248"/>
      <c r="T248"/>
      <c r="U248"/>
    </row>
    <row r="249" spans="1:21" ht="12.75">
      <c r="A249" s="4"/>
      <c r="B249" s="4"/>
      <c r="C249" s="4"/>
      <c r="D249" s="4"/>
      <c r="E249" s="4"/>
      <c r="F249" s="4"/>
      <c r="G249" s="4"/>
      <c r="H249" s="4"/>
      <c r="I249" s="4"/>
      <c r="J249" s="4"/>
      <c r="K249" s="4"/>
      <c r="L249" s="4"/>
      <c r="M249" s="4"/>
      <c r="N249" s="4"/>
      <c r="O249" s="4"/>
      <c r="P249"/>
      <c r="Q249"/>
      <c r="R249"/>
      <c r="S249"/>
      <c r="T249"/>
      <c r="U249"/>
    </row>
    <row r="250" spans="1:21" ht="12.75">
      <c r="A250" s="4"/>
      <c r="B250" s="4"/>
      <c r="C250" s="4"/>
      <c r="D250" s="4"/>
      <c r="E250" s="4"/>
      <c r="F250" s="4"/>
      <c r="G250" s="4"/>
      <c r="H250" s="4"/>
      <c r="I250" s="4"/>
      <c r="J250" s="4"/>
      <c r="K250" s="4"/>
      <c r="L250" s="4"/>
      <c r="M250" s="4"/>
      <c r="N250" s="4"/>
      <c r="O250" s="4"/>
      <c r="P250"/>
      <c r="Q250"/>
      <c r="R250"/>
      <c r="S250"/>
      <c r="T250"/>
      <c r="U250"/>
    </row>
    <row r="251" spans="1:21" ht="12.75">
      <c r="A251" s="4"/>
      <c r="B251" s="4"/>
      <c r="C251" s="4"/>
      <c r="D251" s="4"/>
      <c r="E251" s="4"/>
      <c r="F251" s="4"/>
      <c r="G251" s="4"/>
      <c r="H251" s="4"/>
      <c r="I251" s="4"/>
      <c r="J251" s="4"/>
      <c r="K251" s="4"/>
      <c r="L251" s="4"/>
      <c r="M251" s="4"/>
      <c r="N251" s="4"/>
      <c r="O251" s="4"/>
      <c r="P251"/>
      <c r="Q251"/>
      <c r="R251"/>
      <c r="S251"/>
      <c r="T251"/>
      <c r="U251"/>
    </row>
  </sheetData>
  <sheetProtection password="CC59" sheet="1"/>
  <mergeCells count="6">
    <mergeCell ref="B117:O117"/>
    <mergeCell ref="B4:O4"/>
    <mergeCell ref="B60:O60"/>
    <mergeCell ref="A62:B62"/>
    <mergeCell ref="D5:O5"/>
    <mergeCell ref="A1:B1"/>
  </mergeCells>
  <conditionalFormatting sqref="G181:O181 H180 J180 L180 N180">
    <cfRule type="expression" priority="15" dxfId="1" stopIfTrue="1">
      <formula>#REF!="Yes"</formula>
    </cfRule>
  </conditionalFormatting>
  <conditionalFormatting sqref="G41:H42 G28:H29 F7:F29 J28:J29 L28:L29 N28:N29 H43:H45 G43:G57 J41:J45 L41:L45 N42:N45 C6:E29 C30:D30 C31:F57 G34:O34 G31:O32">
    <cfRule type="expression" priority="17" dxfId="2" stopIfTrue="1">
      <formula>Personnel!#REF!="Prior Fiscal Year"</formula>
    </cfRule>
  </conditionalFormatting>
  <conditionalFormatting sqref="C180:F180 C181:D181 F181">
    <cfRule type="expression" priority="28" dxfId="1" stopIfTrue="1">
      <formula>#REF!="Yes"</formula>
    </cfRule>
    <cfRule type="expression" priority="29" dxfId="2" stopIfTrue="1">
      <formula>Personnel!#REF!="Prior Fiscal Year"</formula>
    </cfRule>
  </conditionalFormatting>
  <conditionalFormatting sqref="I187:O189">
    <cfRule type="expression" priority="102" dxfId="0" stopIfTrue="1">
      <formula>(SUMPRODUCT(I$6:I$57,I$64:I$115)+I$180+#REF!-I$187)&lt;&gt;0</formula>
    </cfRule>
  </conditionalFormatting>
  <conditionalFormatting sqref="C187:O189">
    <cfRule type="expression" priority="104" dxfId="0" stopIfTrue="1">
      <formula>ROUND((SUMPRODUCT(C$6:C$57,C$64:C$115)+C$180+#REF!-C$187),0)&lt;&gt;0</formula>
    </cfRule>
  </conditionalFormatting>
  <conditionalFormatting sqref="O43 O45 O47 O49 O51 O53 O55">
    <cfRule type="expression" priority="10" dxfId="2" stopIfTrue="1">
      <formula>Personnel!#REF!="Prior Fiscal Year"</formula>
    </cfRule>
  </conditionalFormatting>
  <conditionalFormatting sqref="E181">
    <cfRule type="expression" priority="9" dxfId="1" stopIfTrue="1">
      <formula>#REF!="Yes"</formula>
    </cfRule>
  </conditionalFormatting>
  <conditionalFormatting sqref="E30">
    <cfRule type="expression" priority="3" dxfId="2" stopIfTrue="1">
      <formula>Personnel!#REF!="Prior Fiscal Year"</formula>
    </cfRule>
  </conditionalFormatting>
  <conditionalFormatting sqref="G41:H42 G31:O32 H43:H45 G43:G52 J41:J45 L41:L45 N42:N45 G34:O34">
    <cfRule type="expression" priority="2" dxfId="2" stopIfTrue="1">
      <formula>Personnel!#REF!="Prior Fiscal Year"</formula>
    </cfRule>
  </conditionalFormatting>
  <conditionalFormatting sqref="O43 O45 O47 O49 O51">
    <cfRule type="expression" priority="1" dxfId="2" stopIfTrue="1">
      <formula>Personnel!#REF!="Prior Fiscal Year"</formula>
    </cfRule>
  </conditionalFormatting>
  <dataValidations count="4">
    <dataValidation allowBlank="1" showInputMessage="1" showErrorMessage="1" prompt="You may change any of the job titles." sqref="A220 A40:A57 A6:A7 A16:A31"/>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dimension ref="A1:M77"/>
  <sheetViews>
    <sheetView zoomScalePageLayoutView="0" workbookViewId="0" topLeftCell="A1">
      <selection activeCell="C17" sqref="C17:C22"/>
    </sheetView>
  </sheetViews>
  <sheetFormatPr defaultColWidth="9.140625" defaultRowHeight="12.75"/>
  <cols>
    <col min="1" max="1" width="79.00390625" style="0" customWidth="1"/>
    <col min="2" max="7" width="15.7109375" style="0" customWidth="1"/>
    <col min="8" max="13" width="9.140625" style="4" customWidth="1"/>
  </cols>
  <sheetData>
    <row r="1" spans="1:7" ht="18">
      <c r="A1" s="965" t="str">
        <f>'Budget with Assumptions'!$A$2</f>
        <v>Catapult Academy</v>
      </c>
      <c r="B1" s="93"/>
      <c r="C1" s="92"/>
      <c r="D1" s="92"/>
      <c r="E1" s="73"/>
      <c r="F1" s="73"/>
      <c r="G1" s="73"/>
    </row>
    <row r="2" spans="1:7" ht="18.75" thickBot="1">
      <c r="A2" s="966" t="s">
        <v>479</v>
      </c>
      <c r="B2" s="93"/>
      <c r="C2" s="92"/>
      <c r="D2" s="92"/>
      <c r="E2" s="73"/>
      <c r="F2" s="73"/>
      <c r="G2" s="73"/>
    </row>
    <row r="3" spans="2:7" ht="15.75">
      <c r="B3" s="93"/>
      <c r="C3" s="92"/>
      <c r="D3" s="92"/>
      <c r="E3" s="73"/>
      <c r="F3" s="73"/>
      <c r="G3" s="73"/>
    </row>
    <row r="4" spans="1:7" ht="19.5" customHeight="1">
      <c r="A4" s="953"/>
      <c r="B4" s="74"/>
      <c r="C4" s="74"/>
      <c r="D4" s="74"/>
      <c r="E4" s="74"/>
      <c r="F4" s="74"/>
      <c r="G4" s="74"/>
    </row>
    <row r="5" spans="1:7" ht="13.5" thickBot="1">
      <c r="A5" s="75"/>
      <c r="B5" s="75"/>
      <c r="C5" s="75"/>
      <c r="D5" s="75"/>
      <c r="E5" s="75"/>
      <c r="F5" s="75"/>
      <c r="G5" s="75"/>
    </row>
    <row r="6" spans="1:7" ht="19.5" customHeight="1" thickBot="1">
      <c r="A6" s="955"/>
      <c r="B6" s="1036" t="s">
        <v>477</v>
      </c>
      <c r="C6" s="1037"/>
      <c r="D6" s="1037"/>
      <c r="E6" s="1037"/>
      <c r="F6" s="1037"/>
      <c r="G6" s="1038"/>
    </row>
    <row r="7" spans="1:7" ht="18.75" customHeight="1" thickBot="1">
      <c r="A7" s="959" t="s">
        <v>475</v>
      </c>
      <c r="B7" s="961" t="s">
        <v>171</v>
      </c>
      <c r="C7" s="962">
        <f>'Budget with Assumptions'!L9</f>
        <v>17</v>
      </c>
      <c r="D7" s="962">
        <f>'Budget with Assumptions'!N9</f>
        <v>18</v>
      </c>
      <c r="E7" s="962">
        <f>'Budget with Assumptions'!P9</f>
        <v>19</v>
      </c>
      <c r="F7" s="962">
        <f>'Budget with Assumptions'!R9</f>
        <v>20</v>
      </c>
      <c r="G7" s="962">
        <f>'Budget with Assumptions'!T9</f>
        <v>21</v>
      </c>
    </row>
    <row r="8" spans="1:7" ht="12.75">
      <c r="A8" s="960" t="s">
        <v>71</v>
      </c>
      <c r="B8" s="954" t="s">
        <v>208</v>
      </c>
      <c r="C8" s="120">
        <v>0.1</v>
      </c>
      <c r="D8" s="120">
        <v>0.25</v>
      </c>
      <c r="E8" s="120">
        <v>0.33</v>
      </c>
      <c r="F8" s="120">
        <v>0.33</v>
      </c>
      <c r="G8" s="120">
        <v>0.33</v>
      </c>
    </row>
    <row r="9" spans="1:7" ht="12.75">
      <c r="A9" s="960" t="s">
        <v>72</v>
      </c>
      <c r="B9" s="954" t="s">
        <v>208</v>
      </c>
      <c r="C9" s="120">
        <v>0.1</v>
      </c>
      <c r="D9" s="120">
        <v>0.25</v>
      </c>
      <c r="E9" s="120">
        <v>0.33</v>
      </c>
      <c r="F9" s="120">
        <v>0.33</v>
      </c>
      <c r="G9" s="120">
        <v>0.33</v>
      </c>
    </row>
    <row r="10" spans="1:13" ht="12.75">
      <c r="A10" s="960" t="s">
        <v>73</v>
      </c>
      <c r="B10" s="954" t="s">
        <v>208</v>
      </c>
      <c r="C10" s="120">
        <v>0.1</v>
      </c>
      <c r="D10" s="120">
        <v>0.25</v>
      </c>
      <c r="E10" s="120">
        <v>0.33</v>
      </c>
      <c r="F10" s="120">
        <v>0.33</v>
      </c>
      <c r="G10" s="120">
        <v>0.33</v>
      </c>
      <c r="H10"/>
      <c r="I10"/>
      <c r="J10"/>
      <c r="K10"/>
      <c r="L10"/>
      <c r="M10"/>
    </row>
    <row r="11" spans="1:13" ht="12.75">
      <c r="A11" s="960" t="s">
        <v>74</v>
      </c>
      <c r="B11" s="954" t="s">
        <v>208</v>
      </c>
      <c r="C11" s="120">
        <v>0</v>
      </c>
      <c r="D11" s="120">
        <v>0</v>
      </c>
      <c r="E11" s="120">
        <v>0</v>
      </c>
      <c r="F11" s="120">
        <v>0</v>
      </c>
      <c r="G11" s="120">
        <v>0</v>
      </c>
      <c r="H11"/>
      <c r="I11"/>
      <c r="J11"/>
      <c r="K11"/>
      <c r="L11"/>
      <c r="M11"/>
    </row>
    <row r="12" spans="1:13" ht="12.75">
      <c r="A12" s="960" t="s">
        <v>75</v>
      </c>
      <c r="B12" s="954" t="s">
        <v>208</v>
      </c>
      <c r="C12" s="120">
        <v>0</v>
      </c>
      <c r="D12" s="120">
        <v>0</v>
      </c>
      <c r="E12" s="120">
        <v>0</v>
      </c>
      <c r="F12" s="120">
        <v>0</v>
      </c>
      <c r="G12" s="120">
        <v>0</v>
      </c>
      <c r="H12"/>
      <c r="I12"/>
      <c r="J12"/>
      <c r="K12"/>
      <c r="L12"/>
      <c r="M12"/>
    </row>
    <row r="13" spans="1:13" ht="13.5" thickBot="1">
      <c r="A13" s="972" t="s">
        <v>76</v>
      </c>
      <c r="B13" s="954" t="s">
        <v>208</v>
      </c>
      <c r="C13" s="150">
        <v>0.1</v>
      </c>
      <c r="D13" s="120">
        <v>0.25</v>
      </c>
      <c r="E13" s="120">
        <v>0.33</v>
      </c>
      <c r="F13" s="120">
        <v>0.33</v>
      </c>
      <c r="G13" s="120">
        <v>0.33</v>
      </c>
      <c r="H13"/>
      <c r="I13"/>
      <c r="J13"/>
      <c r="K13"/>
      <c r="L13"/>
      <c r="M13"/>
    </row>
    <row r="14" spans="1:13" ht="13.5" thickBot="1">
      <c r="A14" s="974" t="s">
        <v>490</v>
      </c>
      <c r="B14" s="956" t="s">
        <v>208</v>
      </c>
      <c r="C14" s="973">
        <f>SUM(C8:C13)</f>
        <v>0.4</v>
      </c>
      <c r="D14" s="973">
        <f>SUM(D8:D13)</f>
        <v>1</v>
      </c>
      <c r="E14" s="973">
        <f>SUM(E8:E13)</f>
        <v>1.32</v>
      </c>
      <c r="F14" s="973">
        <f>SUM(F8:F13)</f>
        <v>1.32</v>
      </c>
      <c r="G14" s="973">
        <f>SUM(G8:G13)</f>
        <v>1.32</v>
      </c>
      <c r="H14"/>
      <c r="I14"/>
      <c r="J14"/>
      <c r="K14"/>
      <c r="L14"/>
      <c r="M14"/>
    </row>
    <row r="15" spans="1:13" ht="13.5" thickBot="1">
      <c r="A15" s="74"/>
      <c r="B15" s="74"/>
      <c r="C15" s="74"/>
      <c r="D15" s="74"/>
      <c r="E15" s="74"/>
      <c r="F15" s="74"/>
      <c r="G15" s="74"/>
      <c r="H15"/>
      <c r="I15"/>
      <c r="J15"/>
      <c r="K15"/>
      <c r="L15"/>
      <c r="M15"/>
    </row>
    <row r="16" spans="1:13" ht="18.75" customHeight="1" thickBot="1">
      <c r="A16" s="963" t="str">
        <f aca="true" t="shared" si="0" ref="A16:A22">A7</f>
        <v>Clinician Position</v>
      </c>
      <c r="B16" s="1036" t="s">
        <v>478</v>
      </c>
      <c r="C16" s="1037"/>
      <c r="D16" s="1037"/>
      <c r="E16" s="1037"/>
      <c r="F16" s="1037"/>
      <c r="G16" s="1038"/>
      <c r="H16"/>
      <c r="I16"/>
      <c r="J16"/>
      <c r="K16"/>
      <c r="L16"/>
      <c r="M16"/>
    </row>
    <row r="17" spans="1:13" ht="12.75">
      <c r="A17" s="393" t="str">
        <f t="shared" si="0"/>
        <v>SPED Clinicians-Psychologist (reimbursed by CPS)</v>
      </c>
      <c r="B17" s="796" t="s">
        <v>208</v>
      </c>
      <c r="C17" s="967">
        <v>65000</v>
      </c>
      <c r="D17" s="967">
        <v>65000</v>
      </c>
      <c r="E17" s="967">
        <v>65000</v>
      </c>
      <c r="F17" s="967">
        <v>65000</v>
      </c>
      <c r="G17" s="967">
        <v>65000</v>
      </c>
      <c r="H17"/>
      <c r="I17"/>
      <c r="J17"/>
      <c r="K17"/>
      <c r="L17"/>
      <c r="M17"/>
    </row>
    <row r="18" spans="1:13" ht="12.75">
      <c r="A18" s="393" t="str">
        <f t="shared" si="0"/>
        <v>SPED Clinicians-Social Worker (reimbursed by CPS)</v>
      </c>
      <c r="B18" s="796" t="s">
        <v>208</v>
      </c>
      <c r="C18" s="967">
        <v>65000</v>
      </c>
      <c r="D18" s="967">
        <v>65000</v>
      </c>
      <c r="E18" s="967">
        <v>65000</v>
      </c>
      <c r="F18" s="967">
        <v>65000</v>
      </c>
      <c r="G18" s="967">
        <v>65000</v>
      </c>
      <c r="H18"/>
      <c r="I18"/>
      <c r="J18"/>
      <c r="K18"/>
      <c r="L18"/>
      <c r="M18"/>
    </row>
    <row r="19" spans="1:13" ht="12.75">
      <c r="A19" s="393" t="str">
        <f t="shared" si="0"/>
        <v>SPED Clinicians-Speech Therapist (reimbursed by CPS)</v>
      </c>
      <c r="B19" s="796" t="s">
        <v>208</v>
      </c>
      <c r="C19" s="967">
        <v>65000</v>
      </c>
      <c r="D19" s="967">
        <v>65000</v>
      </c>
      <c r="E19" s="967">
        <v>65000</v>
      </c>
      <c r="F19" s="967">
        <v>65000</v>
      </c>
      <c r="G19" s="967">
        <v>65000</v>
      </c>
      <c r="H19"/>
      <c r="I19"/>
      <c r="J19"/>
      <c r="K19"/>
      <c r="L19"/>
      <c r="M19"/>
    </row>
    <row r="20" spans="1:13" ht="12.75">
      <c r="A20" s="393" t="str">
        <f t="shared" si="0"/>
        <v>SPED Clinicians-Physical Therapist (reimbursed by CPS)</v>
      </c>
      <c r="B20" s="796" t="s">
        <v>208</v>
      </c>
      <c r="C20" s="967">
        <v>65000</v>
      </c>
      <c r="D20" s="967">
        <v>65000</v>
      </c>
      <c r="E20" s="967">
        <v>65000</v>
      </c>
      <c r="F20" s="967">
        <v>65000</v>
      </c>
      <c r="G20" s="967">
        <v>65000</v>
      </c>
      <c r="H20"/>
      <c r="I20"/>
      <c r="J20"/>
      <c r="K20"/>
      <c r="L20"/>
      <c r="M20"/>
    </row>
    <row r="21" spans="1:13" ht="12.75">
      <c r="A21" s="393" t="str">
        <f t="shared" si="0"/>
        <v>SPED Clinicians-Occupational Therapist (reimbursed by CPS)</v>
      </c>
      <c r="B21" s="796" t="s">
        <v>208</v>
      </c>
      <c r="C21" s="967">
        <v>65000</v>
      </c>
      <c r="D21" s="967">
        <v>65000</v>
      </c>
      <c r="E21" s="967">
        <v>65000</v>
      </c>
      <c r="F21" s="967">
        <v>65000</v>
      </c>
      <c r="G21" s="967">
        <v>65000</v>
      </c>
      <c r="H21"/>
      <c r="I21"/>
      <c r="J21"/>
      <c r="K21"/>
      <c r="L21"/>
      <c r="M21"/>
    </row>
    <row r="22" spans="1:13" ht="12.75" customHeight="1">
      <c r="A22" s="393" t="str">
        <f t="shared" si="0"/>
        <v>SPED Clinicians-Nurse (reimbursed by CPS)</v>
      </c>
      <c r="B22" s="796" t="s">
        <v>208</v>
      </c>
      <c r="C22" s="967">
        <v>65000</v>
      </c>
      <c r="D22" s="967">
        <v>65000</v>
      </c>
      <c r="E22" s="967">
        <v>65000</v>
      </c>
      <c r="F22" s="967">
        <v>65000</v>
      </c>
      <c r="G22" s="967">
        <v>65000</v>
      </c>
      <c r="H22"/>
      <c r="I22"/>
      <c r="J22"/>
      <c r="K22"/>
      <c r="L22"/>
      <c r="M22"/>
    </row>
    <row r="23" spans="1:13" ht="14.25" customHeight="1" thickBot="1">
      <c r="A23" s="141"/>
      <c r="B23" s="74"/>
      <c r="C23" s="74"/>
      <c r="D23" s="74"/>
      <c r="E23" s="74"/>
      <c r="F23" s="74"/>
      <c r="G23" s="74"/>
      <c r="H23"/>
      <c r="I23"/>
      <c r="J23"/>
      <c r="K23"/>
      <c r="L23"/>
      <c r="M23"/>
    </row>
    <row r="24" spans="1:13" ht="18.75" customHeight="1" thickBot="1">
      <c r="A24" s="963" t="str">
        <f>A16</f>
        <v>Clinician Position</v>
      </c>
      <c r="B24" s="1036" t="s">
        <v>480</v>
      </c>
      <c r="C24" s="1037"/>
      <c r="D24" s="1037"/>
      <c r="E24" s="1037"/>
      <c r="F24" s="1037"/>
      <c r="G24" s="1038"/>
      <c r="H24"/>
      <c r="I24"/>
      <c r="J24"/>
      <c r="K24"/>
      <c r="L24"/>
      <c r="M24"/>
    </row>
    <row r="25" spans="1:13" ht="12.75">
      <c r="A25" s="393" t="str">
        <f aca="true" t="shared" si="1" ref="A25:A30">A8</f>
        <v>SPED Clinicians-Psychologist (reimbursed by CPS)</v>
      </c>
      <c r="B25" s="805" t="s">
        <v>208</v>
      </c>
      <c r="C25" s="957">
        <f aca="true" t="shared" si="2" ref="C25:G30">C8*C17</f>
        <v>6500</v>
      </c>
      <c r="D25" s="957">
        <f t="shared" si="2"/>
        <v>16250</v>
      </c>
      <c r="E25" s="957">
        <f t="shared" si="2"/>
        <v>21450</v>
      </c>
      <c r="F25" s="957">
        <f t="shared" si="2"/>
        <v>21450</v>
      </c>
      <c r="G25" s="957">
        <f t="shared" si="2"/>
        <v>21450</v>
      </c>
      <c r="H25"/>
      <c r="I25"/>
      <c r="J25"/>
      <c r="K25"/>
      <c r="L25"/>
      <c r="M25"/>
    </row>
    <row r="26" spans="1:13" ht="12.75">
      <c r="A26" s="394" t="str">
        <f t="shared" si="1"/>
        <v>SPED Clinicians-Social Worker (reimbursed by CPS)</v>
      </c>
      <c r="B26" s="805" t="s">
        <v>208</v>
      </c>
      <c r="C26" s="957">
        <f t="shared" si="2"/>
        <v>6500</v>
      </c>
      <c r="D26" s="957">
        <f t="shared" si="2"/>
        <v>16250</v>
      </c>
      <c r="E26" s="957">
        <f t="shared" si="2"/>
        <v>21450</v>
      </c>
      <c r="F26" s="957">
        <f t="shared" si="2"/>
        <v>21450</v>
      </c>
      <c r="G26" s="957">
        <f t="shared" si="2"/>
        <v>21450</v>
      </c>
      <c r="H26"/>
      <c r="I26"/>
      <c r="J26"/>
      <c r="K26"/>
      <c r="L26"/>
      <c r="M26"/>
    </row>
    <row r="27" spans="1:13" ht="12.75">
      <c r="A27" s="394" t="str">
        <f t="shared" si="1"/>
        <v>SPED Clinicians-Speech Therapist (reimbursed by CPS)</v>
      </c>
      <c r="B27" s="805" t="s">
        <v>208</v>
      </c>
      <c r="C27" s="957">
        <f t="shared" si="2"/>
        <v>6500</v>
      </c>
      <c r="D27" s="957">
        <f t="shared" si="2"/>
        <v>16250</v>
      </c>
      <c r="E27" s="957">
        <f t="shared" si="2"/>
        <v>21450</v>
      </c>
      <c r="F27" s="957">
        <f t="shared" si="2"/>
        <v>21450</v>
      </c>
      <c r="G27" s="957">
        <f t="shared" si="2"/>
        <v>21450</v>
      </c>
      <c r="H27"/>
      <c r="I27"/>
      <c r="J27"/>
      <c r="K27"/>
      <c r="L27"/>
      <c r="M27"/>
    </row>
    <row r="28" spans="1:13" ht="12.75">
      <c r="A28" s="394" t="str">
        <f t="shared" si="1"/>
        <v>SPED Clinicians-Physical Therapist (reimbursed by CPS)</v>
      </c>
      <c r="B28" s="805" t="s">
        <v>208</v>
      </c>
      <c r="C28" s="957">
        <f t="shared" si="2"/>
        <v>0</v>
      </c>
      <c r="D28" s="957">
        <f t="shared" si="2"/>
        <v>0</v>
      </c>
      <c r="E28" s="957">
        <f t="shared" si="2"/>
        <v>0</v>
      </c>
      <c r="F28" s="957">
        <f t="shared" si="2"/>
        <v>0</v>
      </c>
      <c r="G28" s="957">
        <f t="shared" si="2"/>
        <v>0</v>
      </c>
      <c r="H28"/>
      <c r="I28"/>
      <c r="J28"/>
      <c r="K28"/>
      <c r="L28"/>
      <c r="M28"/>
    </row>
    <row r="29" spans="1:13" ht="12.75">
      <c r="A29" s="394" t="str">
        <f t="shared" si="1"/>
        <v>SPED Clinicians-Occupational Therapist (reimbursed by CPS)</v>
      </c>
      <c r="B29" s="805" t="s">
        <v>208</v>
      </c>
      <c r="C29" s="957">
        <f t="shared" si="2"/>
        <v>0</v>
      </c>
      <c r="D29" s="957">
        <f t="shared" si="2"/>
        <v>0</v>
      </c>
      <c r="E29" s="957">
        <f t="shared" si="2"/>
        <v>0</v>
      </c>
      <c r="F29" s="957">
        <f t="shared" si="2"/>
        <v>0</v>
      </c>
      <c r="G29" s="957">
        <f t="shared" si="2"/>
        <v>0</v>
      </c>
      <c r="H29"/>
      <c r="I29"/>
      <c r="J29"/>
      <c r="K29"/>
      <c r="L29"/>
      <c r="M29"/>
    </row>
    <row r="30" spans="1:13" ht="13.5" thickBot="1">
      <c r="A30" s="394" t="str">
        <f t="shared" si="1"/>
        <v>SPED Clinicians-Nurse (reimbursed by CPS)</v>
      </c>
      <c r="B30" s="805" t="s">
        <v>208</v>
      </c>
      <c r="C30" s="957">
        <f t="shared" si="2"/>
        <v>6500</v>
      </c>
      <c r="D30" s="957">
        <f t="shared" si="2"/>
        <v>16250</v>
      </c>
      <c r="E30" s="957">
        <f t="shared" si="2"/>
        <v>21450</v>
      </c>
      <c r="F30" s="957">
        <f t="shared" si="2"/>
        <v>21450</v>
      </c>
      <c r="G30" s="957">
        <f t="shared" si="2"/>
        <v>21450</v>
      </c>
      <c r="H30"/>
      <c r="I30"/>
      <c r="J30"/>
      <c r="K30"/>
      <c r="L30"/>
      <c r="M30"/>
    </row>
    <row r="31" spans="1:13" ht="15.75" thickBot="1">
      <c r="A31" s="964" t="s">
        <v>476</v>
      </c>
      <c r="B31" s="956" t="s">
        <v>208</v>
      </c>
      <c r="C31" s="958">
        <f>SUM(C25:C30)</f>
        <v>26000</v>
      </c>
      <c r="D31" s="958">
        <f>SUM(D25:D30)</f>
        <v>65000</v>
      </c>
      <c r="E31" s="958">
        <f>SUM(E25:E30)</f>
        <v>85800</v>
      </c>
      <c r="F31" s="958">
        <f>SUM(F25:F30)</f>
        <v>85800</v>
      </c>
      <c r="G31" s="958">
        <f>SUM(G25:G30)</f>
        <v>85800</v>
      </c>
      <c r="H31"/>
      <c r="I31"/>
      <c r="J31"/>
      <c r="K31"/>
      <c r="L31"/>
      <c r="M31"/>
    </row>
    <row r="32" spans="1:13" ht="12.75">
      <c r="A32" s="4"/>
      <c r="B32" s="4"/>
      <c r="C32" s="4"/>
      <c r="D32" s="4"/>
      <c r="E32" s="4"/>
      <c r="F32" s="4"/>
      <c r="G32" s="4"/>
      <c r="H32"/>
      <c r="I32"/>
      <c r="J32"/>
      <c r="K32"/>
      <c r="L32"/>
      <c r="M32"/>
    </row>
    <row r="33" spans="1:13" ht="12.75">
      <c r="A33" s="4"/>
      <c r="B33" s="4"/>
      <c r="C33" s="4"/>
      <c r="D33" s="4"/>
      <c r="E33" s="4"/>
      <c r="F33" s="4"/>
      <c r="G33" s="4"/>
      <c r="H33"/>
      <c r="I33"/>
      <c r="J33"/>
      <c r="K33"/>
      <c r="L33"/>
      <c r="M33"/>
    </row>
    <row r="34" spans="1:13" ht="12.75">
      <c r="A34" s="4"/>
      <c r="B34" s="4"/>
      <c r="C34" s="4"/>
      <c r="D34" s="4"/>
      <c r="E34" s="4"/>
      <c r="F34" s="4"/>
      <c r="G34" s="4"/>
      <c r="H34"/>
      <c r="I34"/>
      <c r="J34"/>
      <c r="K34"/>
      <c r="L34"/>
      <c r="M34"/>
    </row>
    <row r="35" spans="1:13" ht="12.75">
      <c r="A35" s="4"/>
      <c r="B35" s="4"/>
      <c r="C35" s="4"/>
      <c r="D35" s="4"/>
      <c r="E35" s="4"/>
      <c r="F35" s="4"/>
      <c r="G35" s="4"/>
      <c r="H35"/>
      <c r="I35"/>
      <c r="J35"/>
      <c r="K35"/>
      <c r="L35"/>
      <c r="M35"/>
    </row>
    <row r="36" spans="1:13" ht="12.75">
      <c r="A36" s="4"/>
      <c r="B36" s="4"/>
      <c r="C36" s="4"/>
      <c r="D36" s="4"/>
      <c r="E36" s="4"/>
      <c r="F36" s="4"/>
      <c r="G36" s="4"/>
      <c r="H36"/>
      <c r="I36"/>
      <c r="J36"/>
      <c r="K36"/>
      <c r="L36"/>
      <c r="M36"/>
    </row>
    <row r="37" spans="1:13" ht="12.75">
      <c r="A37" s="4"/>
      <c r="B37" s="4"/>
      <c r="C37" s="4"/>
      <c r="D37" s="4"/>
      <c r="E37" s="4"/>
      <c r="F37" s="4"/>
      <c r="G37" s="4"/>
      <c r="H37"/>
      <c r="I37"/>
      <c r="J37"/>
      <c r="K37"/>
      <c r="L37"/>
      <c r="M37"/>
    </row>
    <row r="38" spans="1:13" ht="12.75">
      <c r="A38" s="4"/>
      <c r="B38" s="4"/>
      <c r="C38" s="4"/>
      <c r="D38" s="4"/>
      <c r="E38" s="4"/>
      <c r="F38" s="4"/>
      <c r="G38" s="4"/>
      <c r="H38"/>
      <c r="I38"/>
      <c r="J38"/>
      <c r="K38"/>
      <c r="L38"/>
      <c r="M38"/>
    </row>
    <row r="39" spans="1:13" ht="12.75">
      <c r="A39" s="4"/>
      <c r="B39" s="4"/>
      <c r="C39" s="4"/>
      <c r="D39" s="4"/>
      <c r="E39" s="4"/>
      <c r="F39" s="4"/>
      <c r="G39" s="4"/>
      <c r="H39"/>
      <c r="I39"/>
      <c r="J39"/>
      <c r="K39"/>
      <c r="L39"/>
      <c r="M39"/>
    </row>
    <row r="40" spans="1:13" ht="12.75">
      <c r="A40" s="4"/>
      <c r="B40" s="4"/>
      <c r="C40" s="4"/>
      <c r="D40" s="4"/>
      <c r="E40" s="4"/>
      <c r="F40" s="4"/>
      <c r="G40" s="4"/>
      <c r="H40"/>
      <c r="I40"/>
      <c r="J40"/>
      <c r="K40"/>
      <c r="L40"/>
      <c r="M40"/>
    </row>
    <row r="41" spans="1:13" ht="12.75">
      <c r="A41" s="4"/>
      <c r="B41" s="4"/>
      <c r="C41" s="4"/>
      <c r="D41" s="4"/>
      <c r="E41" s="4"/>
      <c r="F41" s="4"/>
      <c r="G41" s="4"/>
      <c r="H41"/>
      <c r="I41"/>
      <c r="J41"/>
      <c r="K41"/>
      <c r="L41"/>
      <c r="M41"/>
    </row>
    <row r="42" spans="1:13" ht="12.75">
      <c r="A42" s="4"/>
      <c r="B42" s="4"/>
      <c r="C42" s="4"/>
      <c r="D42" s="4"/>
      <c r="E42" s="4"/>
      <c r="F42" s="4"/>
      <c r="G42" s="4"/>
      <c r="H42"/>
      <c r="I42"/>
      <c r="J42"/>
      <c r="K42"/>
      <c r="L42"/>
      <c r="M42"/>
    </row>
    <row r="43" spans="1:13" ht="12.75">
      <c r="A43" s="107"/>
      <c r="B43" s="4"/>
      <c r="C43" s="4"/>
      <c r="D43" s="4"/>
      <c r="E43" s="4"/>
      <c r="F43" s="4"/>
      <c r="G43" s="4"/>
      <c r="H43"/>
      <c r="I43"/>
      <c r="J43"/>
      <c r="K43"/>
      <c r="L43"/>
      <c r="M43"/>
    </row>
    <row r="44" spans="1:13" ht="12.75">
      <c r="A44" s="107"/>
      <c r="B44" s="4"/>
      <c r="C44" s="4"/>
      <c r="D44" s="4"/>
      <c r="E44" s="4"/>
      <c r="F44" s="4"/>
      <c r="G44" s="4"/>
      <c r="H44"/>
      <c r="I44"/>
      <c r="J44"/>
      <c r="K44"/>
      <c r="L44"/>
      <c r="M44"/>
    </row>
    <row r="45" spans="1:13" ht="12.75">
      <c r="A45" s="107"/>
      <c r="B45" s="4"/>
      <c r="C45" s="4"/>
      <c r="D45" s="4"/>
      <c r="E45" s="4"/>
      <c r="F45" s="4"/>
      <c r="G45" s="4"/>
      <c r="H45"/>
      <c r="I45"/>
      <c r="J45"/>
      <c r="K45"/>
      <c r="L45"/>
      <c r="M45"/>
    </row>
    <row r="46" spans="1:13" ht="12.75">
      <c r="A46" s="112"/>
      <c r="B46" s="4"/>
      <c r="C46" s="4"/>
      <c r="D46" s="4"/>
      <c r="E46" s="4"/>
      <c r="F46" s="4"/>
      <c r="G46" s="4"/>
      <c r="H46"/>
      <c r="I46"/>
      <c r="J46"/>
      <c r="K46"/>
      <c r="L46"/>
      <c r="M46"/>
    </row>
    <row r="47" spans="1:13" ht="12.75">
      <c r="A47" s="107"/>
      <c r="B47" s="4"/>
      <c r="C47" s="4"/>
      <c r="D47" s="4"/>
      <c r="E47" s="4"/>
      <c r="F47" s="4"/>
      <c r="G47" s="4"/>
      <c r="H47"/>
      <c r="I47"/>
      <c r="J47"/>
      <c r="K47"/>
      <c r="L47"/>
      <c r="M47"/>
    </row>
    <row r="48" spans="1:13" ht="12.75">
      <c r="A48" s="107"/>
      <c r="B48" s="4"/>
      <c r="C48" s="4"/>
      <c r="D48" s="4"/>
      <c r="E48" s="4"/>
      <c r="F48" s="4"/>
      <c r="G48" s="4"/>
      <c r="H48"/>
      <c r="I48"/>
      <c r="J48"/>
      <c r="K48"/>
      <c r="L48"/>
      <c r="M48"/>
    </row>
    <row r="49" spans="1:13" ht="12.75">
      <c r="A49" s="107"/>
      <c r="B49" s="4"/>
      <c r="C49" s="4"/>
      <c r="D49" s="4"/>
      <c r="E49" s="4"/>
      <c r="F49" s="4"/>
      <c r="G49" s="4"/>
      <c r="H49"/>
      <c r="I49"/>
      <c r="J49"/>
      <c r="K49"/>
      <c r="L49"/>
      <c r="M49"/>
    </row>
    <row r="50" spans="1:13" ht="12.75">
      <c r="A50" s="4"/>
      <c r="B50" s="4"/>
      <c r="C50" s="4"/>
      <c r="D50" s="4"/>
      <c r="E50" s="4"/>
      <c r="F50" s="4"/>
      <c r="G50" s="4"/>
      <c r="H50"/>
      <c r="I50"/>
      <c r="J50"/>
      <c r="K50"/>
      <c r="L50"/>
      <c r="M50"/>
    </row>
    <row r="51" spans="1:13" ht="12.75">
      <c r="A51" s="4"/>
      <c r="B51" s="4"/>
      <c r="C51" s="4"/>
      <c r="D51" s="4"/>
      <c r="E51" s="4"/>
      <c r="F51" s="4"/>
      <c r="G51" s="4"/>
      <c r="H51"/>
      <c r="I51"/>
      <c r="J51"/>
      <c r="K51"/>
      <c r="L51"/>
      <c r="M51"/>
    </row>
    <row r="52" spans="1:13" ht="12.75">
      <c r="A52" s="4"/>
      <c r="B52" s="4"/>
      <c r="C52" s="4"/>
      <c r="D52" s="4"/>
      <c r="E52" s="4"/>
      <c r="F52" s="4"/>
      <c r="G52" s="4"/>
      <c r="H52"/>
      <c r="I52"/>
      <c r="J52"/>
      <c r="K52"/>
      <c r="L52"/>
      <c r="M52"/>
    </row>
    <row r="53" spans="1:13" ht="12.75">
      <c r="A53" s="4"/>
      <c r="B53" s="4"/>
      <c r="C53" s="4"/>
      <c r="D53" s="4"/>
      <c r="E53" s="4"/>
      <c r="F53" s="4"/>
      <c r="G53" s="4"/>
      <c r="H53"/>
      <c r="I53"/>
      <c r="J53"/>
      <c r="K53"/>
      <c r="L53"/>
      <c r="M53"/>
    </row>
    <row r="54" spans="1:13" ht="12.75">
      <c r="A54" s="4"/>
      <c r="B54" s="4"/>
      <c r="C54" s="4"/>
      <c r="D54" s="4"/>
      <c r="E54" s="4"/>
      <c r="F54" s="4"/>
      <c r="G54" s="4"/>
      <c r="H54"/>
      <c r="I54"/>
      <c r="J54"/>
      <c r="K54"/>
      <c r="L54"/>
      <c r="M54"/>
    </row>
    <row r="55" spans="1:13" ht="12.75">
      <c r="A55" s="4"/>
      <c r="B55" s="4"/>
      <c r="C55" s="4"/>
      <c r="D55" s="4"/>
      <c r="E55" s="4"/>
      <c r="F55" s="4"/>
      <c r="G55" s="4"/>
      <c r="H55"/>
      <c r="I55"/>
      <c r="J55"/>
      <c r="K55"/>
      <c r="L55"/>
      <c r="M55"/>
    </row>
    <row r="56" spans="1:13" ht="12.75">
      <c r="A56" s="4"/>
      <c r="B56" s="4"/>
      <c r="C56" s="4"/>
      <c r="D56" s="4"/>
      <c r="E56" s="4"/>
      <c r="F56" s="4"/>
      <c r="G56" s="4"/>
      <c r="H56"/>
      <c r="I56"/>
      <c r="J56"/>
      <c r="K56"/>
      <c r="L56"/>
      <c r="M56"/>
    </row>
    <row r="57" spans="1:13" ht="12.75">
      <c r="A57" s="4"/>
      <c r="B57" s="4"/>
      <c r="C57" s="4"/>
      <c r="D57" s="4"/>
      <c r="E57" s="4"/>
      <c r="F57" s="4"/>
      <c r="G57" s="4"/>
      <c r="H57"/>
      <c r="I57"/>
      <c r="J57"/>
      <c r="K57"/>
      <c r="L57"/>
      <c r="M57"/>
    </row>
    <row r="58" spans="1:13" ht="12.75">
      <c r="A58" s="4"/>
      <c r="B58" s="4"/>
      <c r="C58" s="4"/>
      <c r="D58" s="4"/>
      <c r="E58" s="4"/>
      <c r="F58" s="4"/>
      <c r="G58" s="4"/>
      <c r="H58"/>
      <c r="I58"/>
      <c r="J58"/>
      <c r="K58"/>
      <c r="L58"/>
      <c r="M58"/>
    </row>
    <row r="59" spans="1:13" ht="12.75">
      <c r="A59" s="4"/>
      <c r="B59" s="4"/>
      <c r="C59" s="4"/>
      <c r="D59" s="4"/>
      <c r="E59" s="4"/>
      <c r="F59" s="4"/>
      <c r="G59" s="4"/>
      <c r="H59"/>
      <c r="I59"/>
      <c r="J59"/>
      <c r="K59"/>
      <c r="L59"/>
      <c r="M59"/>
    </row>
    <row r="60" spans="1:13" ht="12.75">
      <c r="A60" s="4"/>
      <c r="B60" s="4"/>
      <c r="C60" s="4"/>
      <c r="D60" s="4"/>
      <c r="E60" s="4"/>
      <c r="F60" s="4"/>
      <c r="G60" s="4"/>
      <c r="H60"/>
      <c r="I60"/>
      <c r="J60"/>
      <c r="K60"/>
      <c r="L60"/>
      <c r="M60"/>
    </row>
    <row r="61" spans="1:13" ht="12.75">
      <c r="A61" s="4"/>
      <c r="B61" s="4"/>
      <c r="C61" s="4"/>
      <c r="D61" s="4"/>
      <c r="E61" s="4"/>
      <c r="F61" s="4"/>
      <c r="G61" s="4"/>
      <c r="H61"/>
      <c r="I61"/>
      <c r="J61"/>
      <c r="K61"/>
      <c r="L61"/>
      <c r="M61"/>
    </row>
    <row r="62" spans="1:13" ht="12.75">
      <c r="A62" s="4"/>
      <c r="B62" s="4"/>
      <c r="C62" s="4"/>
      <c r="D62" s="4"/>
      <c r="E62" s="4"/>
      <c r="F62" s="4"/>
      <c r="G62" s="4"/>
      <c r="H62"/>
      <c r="I62"/>
      <c r="J62"/>
      <c r="K62"/>
      <c r="L62"/>
      <c r="M62"/>
    </row>
    <row r="63" spans="1:13" ht="12.75">
      <c r="A63" s="4"/>
      <c r="B63" s="4"/>
      <c r="C63" s="4"/>
      <c r="D63" s="4"/>
      <c r="E63" s="4"/>
      <c r="F63" s="4"/>
      <c r="G63" s="4"/>
      <c r="H63"/>
      <c r="I63"/>
      <c r="J63"/>
      <c r="K63"/>
      <c r="L63"/>
      <c r="M63"/>
    </row>
    <row r="64" spans="1:13" ht="12.75">
      <c r="A64" s="4"/>
      <c r="B64" s="4"/>
      <c r="C64" s="4"/>
      <c r="D64" s="4"/>
      <c r="E64" s="4"/>
      <c r="F64" s="4"/>
      <c r="G64" s="4"/>
      <c r="H64"/>
      <c r="I64"/>
      <c r="J64"/>
      <c r="K64"/>
      <c r="L64"/>
      <c r="M64"/>
    </row>
    <row r="65" spans="1:13" ht="12.75">
      <c r="A65" s="4"/>
      <c r="B65" s="4"/>
      <c r="C65" s="4"/>
      <c r="D65" s="4"/>
      <c r="E65" s="4"/>
      <c r="F65" s="4"/>
      <c r="G65" s="4"/>
      <c r="H65"/>
      <c r="I65"/>
      <c r="J65"/>
      <c r="K65"/>
      <c r="L65"/>
      <c r="M65"/>
    </row>
    <row r="66" spans="1:13" ht="12.75">
      <c r="A66" s="4"/>
      <c r="B66" s="4"/>
      <c r="C66" s="4"/>
      <c r="D66" s="4"/>
      <c r="E66" s="4"/>
      <c r="F66" s="4"/>
      <c r="G66" s="4"/>
      <c r="H66"/>
      <c r="I66"/>
      <c r="J66"/>
      <c r="K66"/>
      <c r="L66"/>
      <c r="M66"/>
    </row>
    <row r="67" spans="1:13" ht="12.75">
      <c r="A67" s="4"/>
      <c r="B67" s="4"/>
      <c r="C67" s="4"/>
      <c r="D67" s="4"/>
      <c r="E67" s="4"/>
      <c r="F67" s="4"/>
      <c r="G67" s="4"/>
      <c r="H67"/>
      <c r="I67"/>
      <c r="J67"/>
      <c r="K67"/>
      <c r="L67"/>
      <c r="M67"/>
    </row>
    <row r="68" spans="1:13" ht="12.75">
      <c r="A68" s="4"/>
      <c r="B68" s="4"/>
      <c r="C68" s="4"/>
      <c r="D68" s="4"/>
      <c r="E68" s="4"/>
      <c r="F68" s="4"/>
      <c r="G68" s="4"/>
      <c r="H68"/>
      <c r="I68"/>
      <c r="J68"/>
      <c r="K68"/>
      <c r="L68"/>
      <c r="M68"/>
    </row>
    <row r="69" spans="1:13" ht="12.75">
      <c r="A69" s="4"/>
      <c r="B69" s="4"/>
      <c r="C69" s="4"/>
      <c r="D69" s="4"/>
      <c r="E69" s="4"/>
      <c r="F69" s="4"/>
      <c r="G69" s="4"/>
      <c r="H69"/>
      <c r="I69"/>
      <c r="J69"/>
      <c r="K69"/>
      <c r="L69"/>
      <c r="M69"/>
    </row>
    <row r="70" spans="1:13" ht="12.75">
      <c r="A70" s="4"/>
      <c r="B70" s="4"/>
      <c r="C70" s="4"/>
      <c r="D70" s="4"/>
      <c r="E70" s="4"/>
      <c r="F70" s="4"/>
      <c r="G70" s="4"/>
      <c r="H70"/>
      <c r="I70"/>
      <c r="J70"/>
      <c r="K70"/>
      <c r="L70"/>
      <c r="M70"/>
    </row>
    <row r="71" spans="1:13" ht="12.75">
      <c r="A71" s="4"/>
      <c r="B71" s="4"/>
      <c r="C71" s="4"/>
      <c r="D71" s="4"/>
      <c r="E71" s="4"/>
      <c r="F71" s="4"/>
      <c r="G71" s="4"/>
      <c r="H71"/>
      <c r="I71"/>
      <c r="J71"/>
      <c r="K71"/>
      <c r="L71"/>
      <c r="M71"/>
    </row>
    <row r="72" spans="1:13" ht="12.75">
      <c r="A72" s="4"/>
      <c r="B72" s="4"/>
      <c r="C72" s="4"/>
      <c r="D72" s="4"/>
      <c r="E72" s="4"/>
      <c r="F72" s="4"/>
      <c r="G72" s="4"/>
      <c r="H72"/>
      <c r="I72"/>
      <c r="J72"/>
      <c r="K72"/>
      <c r="L72"/>
      <c r="M72"/>
    </row>
    <row r="73" spans="1:13" ht="12.75">
      <c r="A73" s="4"/>
      <c r="B73" s="4"/>
      <c r="C73" s="4"/>
      <c r="D73" s="4"/>
      <c r="E73" s="4"/>
      <c r="F73" s="4"/>
      <c r="G73" s="4"/>
      <c r="H73"/>
      <c r="I73"/>
      <c r="J73"/>
      <c r="K73"/>
      <c r="L73"/>
      <c r="M73"/>
    </row>
    <row r="74" spans="1:13" ht="12.75">
      <c r="A74" s="4"/>
      <c r="B74" s="4"/>
      <c r="C74" s="4"/>
      <c r="D74" s="4"/>
      <c r="E74" s="4"/>
      <c r="F74" s="4"/>
      <c r="G74" s="4"/>
      <c r="H74"/>
      <c r="I74"/>
      <c r="J74"/>
      <c r="K74"/>
      <c r="L74"/>
      <c r="M74"/>
    </row>
    <row r="75" spans="1:13" ht="12.75">
      <c r="A75" s="4"/>
      <c r="B75" s="4"/>
      <c r="C75" s="4"/>
      <c r="D75" s="4"/>
      <c r="E75" s="4"/>
      <c r="F75" s="4"/>
      <c r="G75" s="4"/>
      <c r="H75"/>
      <c r="I75"/>
      <c r="J75"/>
      <c r="K75"/>
      <c r="L75"/>
      <c r="M75"/>
    </row>
    <row r="76" spans="1:13" ht="12.75">
      <c r="A76" s="4"/>
      <c r="B76" s="4"/>
      <c r="C76" s="4"/>
      <c r="D76" s="4"/>
      <c r="E76" s="4"/>
      <c r="F76" s="4"/>
      <c r="G76" s="4"/>
      <c r="H76"/>
      <c r="I76"/>
      <c r="J76"/>
      <c r="K76"/>
      <c r="L76"/>
      <c r="M76"/>
    </row>
    <row r="77" spans="1:13" ht="12.75">
      <c r="A77" s="4"/>
      <c r="B77" s="4"/>
      <c r="C77" s="4"/>
      <c r="D77" s="4"/>
      <c r="E77" s="4"/>
      <c r="F77" s="4"/>
      <c r="G77" s="4"/>
      <c r="H77"/>
      <c r="I77"/>
      <c r="J77"/>
      <c r="K77"/>
      <c r="L77"/>
      <c r="M77"/>
    </row>
  </sheetData>
  <sheetProtection password="CC59" sheet="1"/>
  <mergeCells count="3">
    <mergeCell ref="B6:G6"/>
    <mergeCell ref="B16:G16"/>
    <mergeCell ref="B24:G24"/>
  </mergeCells>
  <conditionalFormatting sqref="B31:G31">
    <cfRule type="expression" priority="9" dxfId="1" stopIfTrue="1">
      <formula>#REF!="Yes"</formula>
    </cfRule>
  </conditionalFormatting>
  <conditionalFormatting sqref="B7:B13">
    <cfRule type="expression" priority="8" dxfId="2" stopIfTrue="1">
      <formula>'Contractual Clinicians'!#REF!="Prior Fiscal Year"</formula>
    </cfRule>
  </conditionalFormatting>
  <conditionalFormatting sqref="B14">
    <cfRule type="expression" priority="1" dxfId="1" stopIfTrue="1">
      <formula>#REF!="Yes"</formula>
    </cfRule>
  </conditionalFormatting>
  <dataValidations count="1">
    <dataValidation allowBlank="1" showInputMessage="1" showErrorMessage="1" prompt="You may change any of the job titles." sqref="A46 A7"/>
  </dataValidations>
  <printOptions/>
  <pageMargins left="0" right="0" top="0.75" bottom="0.75" header="0.3" footer="0.3"/>
  <pageSetup horizontalDpi="300" verticalDpi="300" orientation="landscape" scale="65" r:id="rId2"/>
  <drawing r:id="rId1"/>
</worksheet>
</file>

<file path=xl/worksheets/sheet4.xml><?xml version="1.0" encoding="utf-8"?>
<worksheet xmlns="http://schemas.openxmlformats.org/spreadsheetml/2006/main" xmlns:r="http://schemas.openxmlformats.org/officeDocument/2006/relationships">
  <dimension ref="A1:AC242"/>
  <sheetViews>
    <sheetView zoomScale="85" zoomScaleNormal="85" zoomScalePageLayoutView="0" workbookViewId="0" topLeftCell="A197">
      <selection activeCell="A219" sqref="A219:A220"/>
    </sheetView>
  </sheetViews>
  <sheetFormatPr defaultColWidth="9.140625" defaultRowHeight="12.75" outlineLevelRow="1"/>
  <cols>
    <col min="1" max="1" width="79.421875" style="0" bestFit="1" customWidth="1"/>
    <col min="2" max="2" width="20.8515625" style="0" customWidth="1"/>
    <col min="3" max="3" width="17.421875" style="0" customWidth="1"/>
    <col min="4" max="4" width="18.421875" style="0" customWidth="1"/>
    <col min="5" max="5" width="17.140625" style="0" customWidth="1"/>
    <col min="6" max="6" width="14.28125" style="0" customWidth="1"/>
    <col min="7" max="7" width="79.421875" style="0" bestFit="1" customWidth="1"/>
    <col min="8" max="8" width="20.8515625" style="0" customWidth="1"/>
    <col min="9" max="9" width="17.421875" style="0" customWidth="1"/>
    <col min="10" max="10" width="18.421875" style="0" customWidth="1"/>
    <col min="11" max="11" width="17.140625" style="0" customWidth="1"/>
    <col min="12" max="12" width="66.57421875" style="0" customWidth="1"/>
    <col min="13" max="13" width="20.8515625" style="0" customWidth="1"/>
    <col min="14" max="14" width="17.421875" style="0" customWidth="1"/>
    <col min="15" max="15" width="18.421875" style="0" customWidth="1"/>
    <col min="16" max="16" width="17.140625" style="0" customWidth="1"/>
    <col min="17" max="17" width="14.28125" style="0" customWidth="1"/>
    <col min="18" max="18" width="64.57421875" style="0" customWidth="1"/>
    <col min="19" max="19" width="20.8515625" style="0" customWidth="1"/>
    <col min="20" max="20" width="17.421875" style="0" customWidth="1"/>
    <col min="21" max="21" width="18.421875" style="0" customWidth="1"/>
    <col min="22" max="22" width="17.140625" style="0" customWidth="1"/>
    <col min="23" max="23" width="14.28125" style="0" customWidth="1"/>
    <col min="24" max="24" width="63.7109375" style="0" customWidth="1"/>
    <col min="25" max="25" width="20.8515625" style="0" customWidth="1"/>
    <col min="26" max="26" width="17.421875" style="0" customWidth="1"/>
    <col min="27" max="27" width="18.421875" style="0" customWidth="1"/>
    <col min="28" max="28" width="17.140625" style="0" customWidth="1"/>
    <col min="29" max="29" width="14.28125" style="0" customWidth="1"/>
  </cols>
  <sheetData>
    <row r="1" spans="1:6" ht="19.5" customHeight="1" thickBot="1">
      <c r="A1" s="1034" t="str">
        <f>'Budget with Assumptions'!$A$2</f>
        <v>Catapult Academy</v>
      </c>
      <c r="B1" s="1035"/>
      <c r="C1" s="163"/>
      <c r="D1" s="163"/>
      <c r="E1" s="164"/>
      <c r="F1" s="165"/>
    </row>
    <row r="2" spans="1:6" ht="15">
      <c r="A2" s="166"/>
      <c r="B2" s="163"/>
      <c r="C2" s="163"/>
      <c r="D2" s="163"/>
      <c r="E2" s="164"/>
      <c r="F2" s="165"/>
    </row>
    <row r="3" spans="1:6" ht="15">
      <c r="A3" s="167"/>
      <c r="B3" s="163"/>
      <c r="C3" s="163"/>
      <c r="D3" s="163"/>
      <c r="E3" s="164"/>
      <c r="F3" s="165"/>
    </row>
    <row r="4" spans="1:6" ht="15">
      <c r="A4" s="167"/>
      <c r="B4" s="163"/>
      <c r="C4" s="163"/>
      <c r="D4" s="163"/>
      <c r="E4" s="164"/>
      <c r="F4" s="165"/>
    </row>
    <row r="5" spans="1:6" ht="15.75" thickBot="1">
      <c r="A5" s="167"/>
      <c r="B5" s="163"/>
      <c r="C5" s="163"/>
      <c r="D5" s="163"/>
      <c r="E5" s="164"/>
      <c r="F5" s="165"/>
    </row>
    <row r="6" spans="1:29" ht="15.75" thickBot="1">
      <c r="A6" s="1105" t="s">
        <v>172</v>
      </c>
      <c r="B6" s="1100"/>
      <c r="C6" s="1100"/>
      <c r="D6" s="1100"/>
      <c r="E6" s="1100"/>
      <c r="F6" s="1101"/>
      <c r="G6" s="1105" t="s">
        <v>172</v>
      </c>
      <c r="H6" s="1100"/>
      <c r="I6" s="1100"/>
      <c r="J6" s="1100"/>
      <c r="K6" s="1100"/>
      <c r="L6" s="1105" t="s">
        <v>172</v>
      </c>
      <c r="M6" s="1100"/>
      <c r="N6" s="1100"/>
      <c r="O6" s="1100"/>
      <c r="P6" s="1100"/>
      <c r="Q6" s="1101"/>
      <c r="R6" s="1099" t="s">
        <v>172</v>
      </c>
      <c r="S6" s="1100"/>
      <c r="T6" s="1100"/>
      <c r="U6" s="1100"/>
      <c r="V6" s="1100"/>
      <c r="W6" s="1101"/>
      <c r="X6" s="1099" t="s">
        <v>172</v>
      </c>
      <c r="Y6" s="1100"/>
      <c r="Z6" s="1100"/>
      <c r="AA6" s="1100"/>
      <c r="AB6" s="1100"/>
      <c r="AC6" s="1101"/>
    </row>
    <row r="7" spans="1:29" ht="22.5" customHeight="1" thickBot="1">
      <c r="A7" s="1102">
        <f>'Budget with Assumptions'!L9</f>
        <v>17</v>
      </c>
      <c r="B7" s="1103"/>
      <c r="C7" s="1103"/>
      <c r="D7" s="1103"/>
      <c r="E7" s="1103"/>
      <c r="F7" s="1104"/>
      <c r="G7" s="1102">
        <f>'Budget with Assumptions'!N9</f>
        <v>18</v>
      </c>
      <c r="H7" s="1103"/>
      <c r="I7" s="1103"/>
      <c r="J7" s="1103"/>
      <c r="K7" s="1103"/>
      <c r="L7" s="1102">
        <f>'Budget with Assumptions'!P9</f>
        <v>19</v>
      </c>
      <c r="M7" s="1103"/>
      <c r="N7" s="1103"/>
      <c r="O7" s="1103"/>
      <c r="P7" s="1103"/>
      <c r="Q7" s="1104"/>
      <c r="R7" s="1103">
        <f>'Budget with Assumptions'!R9</f>
        <v>20</v>
      </c>
      <c r="S7" s="1103"/>
      <c r="T7" s="1103"/>
      <c r="U7" s="1103"/>
      <c r="V7" s="1103"/>
      <c r="W7" s="1104"/>
      <c r="X7" s="1103">
        <f>'Budget with Assumptions'!T9</f>
        <v>21</v>
      </c>
      <c r="Y7" s="1103"/>
      <c r="Z7" s="1103"/>
      <c r="AA7" s="1103"/>
      <c r="AB7" s="1103"/>
      <c r="AC7" s="1104"/>
    </row>
    <row r="8" spans="1:29" ht="15.75" thickBot="1">
      <c r="A8" s="258"/>
      <c r="B8" s="259"/>
      <c r="C8" s="259"/>
      <c r="D8" s="259"/>
      <c r="E8" s="260"/>
      <c r="F8" s="441"/>
      <c r="G8" s="442"/>
      <c r="H8" s="241"/>
      <c r="I8" s="241"/>
      <c r="J8" s="241"/>
      <c r="K8" s="241"/>
      <c r="L8" s="442"/>
      <c r="M8" s="241"/>
      <c r="N8" s="241"/>
      <c r="O8" s="241"/>
      <c r="P8" s="241"/>
      <c r="Q8" s="245"/>
      <c r="R8" s="241"/>
      <c r="S8" s="241"/>
      <c r="T8" s="241"/>
      <c r="U8" s="241"/>
      <c r="V8" s="241"/>
      <c r="W8" s="245"/>
      <c r="X8" s="241"/>
      <c r="Y8" s="241"/>
      <c r="Z8" s="241"/>
      <c r="AA8" s="241"/>
      <c r="AB8" s="241"/>
      <c r="AC8" s="245"/>
    </row>
    <row r="9" spans="1:29" ht="28.5" customHeight="1" thickBot="1">
      <c r="A9" s="1084">
        <f>A7</f>
        <v>17</v>
      </c>
      <c r="B9" s="1085"/>
      <c r="C9" s="169"/>
      <c r="D9" s="169"/>
      <c r="E9" s="170"/>
      <c r="F9" s="203"/>
      <c r="G9" s="1084">
        <f>G7</f>
        <v>18</v>
      </c>
      <c r="H9" s="1085"/>
      <c r="I9" s="169"/>
      <c r="J9" s="169"/>
      <c r="K9" s="170"/>
      <c r="L9" s="1084">
        <f>L7</f>
        <v>19</v>
      </c>
      <c r="M9" s="1085"/>
      <c r="N9" s="169"/>
      <c r="O9" s="169"/>
      <c r="P9" s="170"/>
      <c r="Q9" s="252"/>
      <c r="R9" s="1097">
        <f>R7</f>
        <v>20</v>
      </c>
      <c r="S9" s="1085"/>
      <c r="T9" s="169"/>
      <c r="U9" s="169"/>
      <c r="V9" s="170"/>
      <c r="W9" s="252"/>
      <c r="X9" s="1097">
        <f>X7</f>
        <v>21</v>
      </c>
      <c r="Y9" s="1085"/>
      <c r="Z9" s="169"/>
      <c r="AA9" s="169"/>
      <c r="AB9" s="170"/>
      <c r="AC9" s="252"/>
    </row>
    <row r="10" spans="1:29" ht="15.75" thickBot="1">
      <c r="A10" s="395" t="s">
        <v>90</v>
      </c>
      <c r="B10" s="316" t="s">
        <v>458</v>
      </c>
      <c r="C10" s="169"/>
      <c r="D10" s="169"/>
      <c r="E10" s="170"/>
      <c r="F10" s="203"/>
      <c r="G10" s="395" t="s">
        <v>90</v>
      </c>
      <c r="H10" s="316" t="s">
        <v>458</v>
      </c>
      <c r="I10" s="169"/>
      <c r="J10" s="169"/>
      <c r="K10" s="170"/>
      <c r="L10" s="395" t="s">
        <v>90</v>
      </c>
      <c r="M10" s="316" t="s">
        <v>458</v>
      </c>
      <c r="N10" s="169"/>
      <c r="O10" s="169"/>
      <c r="P10" s="170"/>
      <c r="Q10" s="252"/>
      <c r="R10" s="396" t="s">
        <v>90</v>
      </c>
      <c r="S10" s="316" t="s">
        <v>458</v>
      </c>
      <c r="T10" s="169"/>
      <c r="U10" s="169"/>
      <c r="V10" s="170"/>
      <c r="W10" s="252"/>
      <c r="X10" s="396" t="s">
        <v>90</v>
      </c>
      <c r="Y10" s="316" t="s">
        <v>458</v>
      </c>
      <c r="Z10" s="169"/>
      <c r="AA10" s="169"/>
      <c r="AB10" s="170"/>
      <c r="AC10" s="252"/>
    </row>
    <row r="11" spans="1:29" ht="15">
      <c r="A11" s="429" t="s">
        <v>91</v>
      </c>
      <c r="B11" s="841">
        <v>5367.98</v>
      </c>
      <c r="C11" s="169"/>
      <c r="D11" s="169"/>
      <c r="E11" s="170"/>
      <c r="F11" s="203"/>
      <c r="G11" s="429" t="str">
        <f aca="true" t="shared" si="0" ref="G11:G16">A11</f>
        <v>SBB Grades K-3</v>
      </c>
      <c r="H11" s="841">
        <f>$B$11</f>
        <v>5367.98</v>
      </c>
      <c r="I11" s="169"/>
      <c r="J11" s="169"/>
      <c r="K11" s="170"/>
      <c r="L11" s="429" t="str">
        <f aca="true" t="shared" si="1" ref="L11:L16">A11</f>
        <v>SBB Grades K-3</v>
      </c>
      <c r="M11" s="841">
        <f>$B$11</f>
        <v>5367.98</v>
      </c>
      <c r="N11" s="169"/>
      <c r="O11" s="169"/>
      <c r="P11" s="170"/>
      <c r="Q11" s="252"/>
      <c r="R11" s="440" t="str">
        <f aca="true" t="shared" si="2" ref="R11:R16">A11</f>
        <v>SBB Grades K-3</v>
      </c>
      <c r="S11" s="841">
        <f>$B$11</f>
        <v>5367.98</v>
      </c>
      <c r="T11" s="169"/>
      <c r="U11" s="169"/>
      <c r="V11" s="170"/>
      <c r="W11" s="252"/>
      <c r="X11" s="440" t="str">
        <f aca="true" t="shared" si="3" ref="X11:X16">A11</f>
        <v>SBB Grades K-3</v>
      </c>
      <c r="Y11" s="841">
        <f>$B$11</f>
        <v>5367.98</v>
      </c>
      <c r="Z11" s="169"/>
      <c r="AA11" s="169"/>
      <c r="AB11" s="170"/>
      <c r="AC11" s="252"/>
    </row>
    <row r="12" spans="1:29" ht="15">
      <c r="A12" s="430" t="s">
        <v>92</v>
      </c>
      <c r="B12" s="842">
        <v>2111.98</v>
      </c>
      <c r="C12" s="169"/>
      <c r="D12" s="169"/>
      <c r="E12" s="170"/>
      <c r="F12" s="203"/>
      <c r="G12" s="429" t="str">
        <f t="shared" si="0"/>
        <v>Non-SBB K-3</v>
      </c>
      <c r="H12" s="841">
        <f>$B$12</f>
        <v>2111.98</v>
      </c>
      <c r="I12" s="169"/>
      <c r="J12" s="169"/>
      <c r="K12" s="170"/>
      <c r="L12" s="429" t="str">
        <f t="shared" si="1"/>
        <v>Non-SBB K-3</v>
      </c>
      <c r="M12" s="841">
        <f>$B$12</f>
        <v>2111.98</v>
      </c>
      <c r="N12" s="169"/>
      <c r="O12" s="169"/>
      <c r="P12" s="170"/>
      <c r="Q12" s="252"/>
      <c r="R12" s="440" t="str">
        <f t="shared" si="2"/>
        <v>Non-SBB K-3</v>
      </c>
      <c r="S12" s="841">
        <f>$B$12</f>
        <v>2111.98</v>
      </c>
      <c r="T12" s="169"/>
      <c r="U12" s="169"/>
      <c r="V12" s="170"/>
      <c r="W12" s="252"/>
      <c r="X12" s="440" t="str">
        <f t="shared" si="3"/>
        <v>Non-SBB K-3</v>
      </c>
      <c r="Y12" s="841">
        <f>$B$12</f>
        <v>2111.98</v>
      </c>
      <c r="Z12" s="169"/>
      <c r="AA12" s="169"/>
      <c r="AB12" s="170"/>
      <c r="AC12" s="252"/>
    </row>
    <row r="13" spans="1:29" ht="15">
      <c r="A13" s="261" t="s">
        <v>287</v>
      </c>
      <c r="B13" s="950">
        <v>5016.8</v>
      </c>
      <c r="C13" s="169"/>
      <c r="D13" s="169"/>
      <c r="E13" s="170"/>
      <c r="F13" s="203"/>
      <c r="G13" s="948" t="str">
        <f t="shared" si="0"/>
        <v>SBB Grades 4-8 (for schools that do NOT have HS grades)</v>
      </c>
      <c r="H13" s="951">
        <f>$B$13</f>
        <v>5016.8</v>
      </c>
      <c r="I13" s="169"/>
      <c r="J13" s="169"/>
      <c r="K13" s="170"/>
      <c r="L13" s="948" t="str">
        <f t="shared" si="1"/>
        <v>SBB Grades 4-8 (for schools that do NOT have HS grades)</v>
      </c>
      <c r="M13" s="951">
        <f>$B$13</f>
        <v>5016.8</v>
      </c>
      <c r="N13" s="169"/>
      <c r="O13" s="169"/>
      <c r="P13" s="170"/>
      <c r="Q13" s="252"/>
      <c r="R13" s="952" t="str">
        <f t="shared" si="2"/>
        <v>SBB Grades 4-8 (for schools that do NOT have HS grades)</v>
      </c>
      <c r="S13" s="951">
        <f>$B$13</f>
        <v>5016.8</v>
      </c>
      <c r="T13" s="169"/>
      <c r="U13" s="169"/>
      <c r="V13" s="170"/>
      <c r="W13" s="252"/>
      <c r="X13" s="952" t="str">
        <f t="shared" si="3"/>
        <v>SBB Grades 4-8 (for schools that do NOT have HS grades)</v>
      </c>
      <c r="Y13" s="951">
        <f>$B$13</f>
        <v>5016.8</v>
      </c>
      <c r="Z13" s="169"/>
      <c r="AA13" s="169"/>
      <c r="AB13" s="170"/>
      <c r="AC13" s="252"/>
    </row>
    <row r="14" spans="1:29" ht="15">
      <c r="A14" s="261" t="s">
        <v>288</v>
      </c>
      <c r="B14" s="950">
        <v>1973.81</v>
      </c>
      <c r="C14" s="169"/>
      <c r="D14" s="169"/>
      <c r="E14" s="170"/>
      <c r="F14" s="203"/>
      <c r="G14" s="948" t="str">
        <f t="shared" si="0"/>
        <v>Non-SBB Grades 4-8 (for schools that do NOT have HS grades)</v>
      </c>
      <c r="H14" s="951">
        <f>$B$14</f>
        <v>1973.81</v>
      </c>
      <c r="I14" s="169"/>
      <c r="J14" s="169"/>
      <c r="K14" s="170"/>
      <c r="L14" s="948" t="str">
        <f t="shared" si="1"/>
        <v>Non-SBB Grades 4-8 (for schools that do NOT have HS grades)</v>
      </c>
      <c r="M14" s="951">
        <f>$B$14</f>
        <v>1973.81</v>
      </c>
      <c r="N14" s="169"/>
      <c r="O14" s="169"/>
      <c r="P14" s="170"/>
      <c r="Q14" s="252"/>
      <c r="R14" s="952" t="str">
        <f t="shared" si="2"/>
        <v>Non-SBB Grades 4-8 (for schools that do NOT have HS grades)</v>
      </c>
      <c r="S14" s="951">
        <f>$B$14</f>
        <v>1973.81</v>
      </c>
      <c r="T14" s="169"/>
      <c r="U14" s="169"/>
      <c r="V14" s="170"/>
      <c r="W14" s="252"/>
      <c r="X14" s="952" t="str">
        <f t="shared" si="3"/>
        <v>Non-SBB Grades 4-8 (for schools that do NOT have HS grades)</v>
      </c>
      <c r="Y14" s="951">
        <f>$B$14</f>
        <v>1973.81</v>
      </c>
      <c r="Z14" s="169"/>
      <c r="AA14" s="169"/>
      <c r="AB14" s="170"/>
      <c r="AC14" s="252"/>
    </row>
    <row r="15" spans="1:29" ht="15">
      <c r="A15" s="430" t="s">
        <v>93</v>
      </c>
      <c r="B15" s="842">
        <v>6220.83</v>
      </c>
      <c r="C15" s="169"/>
      <c r="D15" s="169"/>
      <c r="E15" s="170"/>
      <c r="F15" s="203"/>
      <c r="G15" s="429" t="str">
        <f t="shared" si="0"/>
        <v>SBB High School (Grades 9-12 or 6-12)</v>
      </c>
      <c r="H15" s="842">
        <f>$B$15</f>
        <v>6220.83</v>
      </c>
      <c r="I15" s="169"/>
      <c r="J15" s="169"/>
      <c r="K15" s="170"/>
      <c r="L15" s="429" t="str">
        <f t="shared" si="1"/>
        <v>SBB High School (Grades 9-12 or 6-12)</v>
      </c>
      <c r="M15" s="842">
        <f>$B$15</f>
        <v>6220.83</v>
      </c>
      <c r="N15" s="169"/>
      <c r="O15" s="169"/>
      <c r="P15" s="170"/>
      <c r="Q15" s="252"/>
      <c r="R15" s="440" t="str">
        <f t="shared" si="2"/>
        <v>SBB High School (Grades 9-12 or 6-12)</v>
      </c>
      <c r="S15" s="842">
        <f>$B$15</f>
        <v>6220.83</v>
      </c>
      <c r="T15" s="169"/>
      <c r="U15" s="169"/>
      <c r="V15" s="170"/>
      <c r="W15" s="252"/>
      <c r="X15" s="440" t="str">
        <f t="shared" si="3"/>
        <v>SBB High School (Grades 9-12 or 6-12)</v>
      </c>
      <c r="Y15" s="842">
        <f>$B$15</f>
        <v>6220.83</v>
      </c>
      <c r="Z15" s="169"/>
      <c r="AA15" s="169"/>
      <c r="AB15" s="170"/>
      <c r="AC15" s="252"/>
    </row>
    <row r="16" spans="1:29" ht="15">
      <c r="A16" s="947" t="s">
        <v>94</v>
      </c>
      <c r="B16" s="842">
        <v>2447.52</v>
      </c>
      <c r="C16" s="169"/>
      <c r="D16" s="169"/>
      <c r="E16" s="170"/>
      <c r="F16" s="203"/>
      <c r="G16" s="429" t="str">
        <f t="shared" si="0"/>
        <v>Non-SBB High School (Grades 9-12 or 6-12)</v>
      </c>
      <c r="H16" s="842">
        <f>$B$16</f>
        <v>2447.52</v>
      </c>
      <c r="I16" s="169"/>
      <c r="J16" s="169"/>
      <c r="K16" s="170"/>
      <c r="L16" s="429" t="str">
        <f t="shared" si="1"/>
        <v>Non-SBB High School (Grades 9-12 or 6-12)</v>
      </c>
      <c r="M16" s="842">
        <f>$B$16</f>
        <v>2447.52</v>
      </c>
      <c r="N16" s="169"/>
      <c r="O16" s="169"/>
      <c r="P16" s="170"/>
      <c r="Q16" s="252"/>
      <c r="R16" s="440" t="str">
        <f t="shared" si="2"/>
        <v>Non-SBB High School (Grades 9-12 or 6-12)</v>
      </c>
      <c r="S16" s="842">
        <f>$B$16</f>
        <v>2447.52</v>
      </c>
      <c r="T16" s="169"/>
      <c r="U16" s="169"/>
      <c r="V16" s="170"/>
      <c r="W16" s="252"/>
      <c r="X16" s="440" t="str">
        <f t="shared" si="3"/>
        <v>Non-SBB High School (Grades 9-12 or 6-12)</v>
      </c>
      <c r="Y16" s="842">
        <f>B16</f>
        <v>2447.52</v>
      </c>
      <c r="Z16" s="169"/>
      <c r="AA16" s="169"/>
      <c r="AB16" s="170"/>
      <c r="AC16" s="252"/>
    </row>
    <row r="17" spans="1:29" ht="15">
      <c r="A17" s="949"/>
      <c r="B17" s="946"/>
      <c r="C17" s="169"/>
      <c r="D17" s="169"/>
      <c r="E17" s="170"/>
      <c r="F17" s="203"/>
      <c r="G17" s="949"/>
      <c r="H17" s="946"/>
      <c r="I17" s="169"/>
      <c r="J17" s="169"/>
      <c r="K17" s="170"/>
      <c r="L17" s="448"/>
      <c r="M17" s="439"/>
      <c r="N17" s="169"/>
      <c r="O17" s="169"/>
      <c r="P17" s="170"/>
      <c r="Q17" s="252"/>
      <c r="R17" s="166"/>
      <c r="S17" s="439"/>
      <c r="T17" s="169"/>
      <c r="U17" s="169"/>
      <c r="V17" s="170"/>
      <c r="W17" s="252"/>
      <c r="X17" s="166"/>
      <c r="Y17" s="439"/>
      <c r="Z17" s="169"/>
      <c r="AA17" s="169"/>
      <c r="AB17" s="170"/>
      <c r="AC17" s="252"/>
    </row>
    <row r="18" spans="1:29" ht="15">
      <c r="A18" s="448"/>
      <c r="B18" s="946"/>
      <c r="C18" s="169"/>
      <c r="D18" s="169"/>
      <c r="E18" s="170"/>
      <c r="F18" s="203"/>
      <c r="G18" s="448"/>
      <c r="H18" s="946"/>
      <c r="I18" s="169"/>
      <c r="J18" s="169"/>
      <c r="K18" s="170"/>
      <c r="L18" s="448"/>
      <c r="M18" s="439"/>
      <c r="N18" s="169"/>
      <c r="O18" s="169"/>
      <c r="P18" s="170"/>
      <c r="Q18" s="252"/>
      <c r="R18" s="166"/>
      <c r="S18" s="439"/>
      <c r="T18" s="169"/>
      <c r="U18" s="169"/>
      <c r="V18" s="170"/>
      <c r="W18" s="252"/>
      <c r="X18" s="166"/>
      <c r="Y18" s="439"/>
      <c r="Z18" s="169"/>
      <c r="AA18" s="169"/>
      <c r="AB18" s="170"/>
      <c r="AC18" s="252"/>
    </row>
    <row r="19" spans="1:29" ht="15">
      <c r="A19" s="262"/>
      <c r="B19" s="169"/>
      <c r="C19" s="169"/>
      <c r="D19" s="169"/>
      <c r="E19" s="170"/>
      <c r="F19" s="203"/>
      <c r="G19" s="168"/>
      <c r="H19" s="169"/>
      <c r="I19" s="169"/>
      <c r="J19" s="169"/>
      <c r="K19" s="170"/>
      <c r="L19" s="262"/>
      <c r="M19" s="169"/>
      <c r="N19" s="169"/>
      <c r="O19" s="169"/>
      <c r="P19" s="170"/>
      <c r="Q19" s="252"/>
      <c r="R19" s="168"/>
      <c r="S19" s="169"/>
      <c r="T19" s="169"/>
      <c r="U19" s="169"/>
      <c r="V19" s="170"/>
      <c r="W19" s="252"/>
      <c r="X19" s="168"/>
      <c r="Y19" s="169"/>
      <c r="Z19" s="169"/>
      <c r="AA19" s="169"/>
      <c r="AB19" s="170"/>
      <c r="AC19" s="252"/>
    </row>
    <row r="20" spans="1:29" ht="16.5" thickBot="1">
      <c r="A20" s="263"/>
      <c r="B20" s="173"/>
      <c r="C20" s="173"/>
      <c r="D20" s="173"/>
      <c r="E20" s="170"/>
      <c r="F20" s="203"/>
      <c r="G20" s="172"/>
      <c r="H20" s="173"/>
      <c r="I20" s="173"/>
      <c r="J20" s="173"/>
      <c r="K20" s="170"/>
      <c r="L20" s="263"/>
      <c r="M20" s="173"/>
      <c r="N20" s="173"/>
      <c r="O20" s="173"/>
      <c r="P20" s="170"/>
      <c r="Q20" s="252"/>
      <c r="R20" s="172"/>
      <c r="S20" s="173"/>
      <c r="T20" s="173"/>
      <c r="U20" s="173"/>
      <c r="V20" s="170"/>
      <c r="W20" s="252"/>
      <c r="X20" s="172"/>
      <c r="Y20" s="173"/>
      <c r="Z20" s="173"/>
      <c r="AA20" s="173"/>
      <c r="AB20" s="170"/>
      <c r="AC20" s="252"/>
    </row>
    <row r="21" spans="1:29" ht="15.75" customHeight="1" hidden="1" outlineLevel="1">
      <c r="A21" s="1080">
        <f>A7</f>
        <v>17</v>
      </c>
      <c r="B21" s="1081"/>
      <c r="C21" s="1081"/>
      <c r="D21" s="1081"/>
      <c r="E21" s="1081"/>
      <c r="F21" s="248"/>
      <c r="G21" s="1087">
        <f>G7</f>
        <v>18</v>
      </c>
      <c r="H21" s="1087"/>
      <c r="I21" s="1087"/>
      <c r="J21" s="1087"/>
      <c r="K21" s="1087"/>
      <c r="L21" s="1081">
        <f>L7</f>
        <v>19</v>
      </c>
      <c r="M21" s="1081"/>
      <c r="N21" s="1081"/>
      <c r="O21" s="1081"/>
      <c r="P21" s="1081"/>
      <c r="Q21" s="252"/>
      <c r="R21" s="1081">
        <f>R7</f>
        <v>20</v>
      </c>
      <c r="S21" s="1081"/>
      <c r="T21" s="1081"/>
      <c r="U21" s="1081"/>
      <c r="V21" s="1081"/>
      <c r="W21" s="252"/>
      <c r="X21" s="1081">
        <f>X7</f>
        <v>21</v>
      </c>
      <c r="Y21" s="1081"/>
      <c r="Z21" s="1081"/>
      <c r="AA21" s="1081"/>
      <c r="AB21" s="1081"/>
      <c r="AC21" s="252"/>
    </row>
    <row r="22" spans="1:29" ht="13.5" hidden="1" outlineLevel="1" thickBot="1">
      <c r="A22" s="1082"/>
      <c r="B22" s="1083"/>
      <c r="C22" s="1083"/>
      <c r="D22" s="1083"/>
      <c r="E22" s="1083"/>
      <c r="F22" s="246"/>
      <c r="G22" s="1088"/>
      <c r="H22" s="1088"/>
      <c r="I22" s="1088"/>
      <c r="J22" s="1088"/>
      <c r="K22" s="1088"/>
      <c r="L22" s="1083"/>
      <c r="M22" s="1083"/>
      <c r="N22" s="1083"/>
      <c r="O22" s="1083"/>
      <c r="P22" s="1083"/>
      <c r="Q22" s="246"/>
      <c r="R22" s="1083"/>
      <c r="S22" s="1083"/>
      <c r="T22" s="1083"/>
      <c r="U22" s="1083"/>
      <c r="V22" s="1083"/>
      <c r="W22" s="246"/>
      <c r="X22" s="1083"/>
      <c r="Y22" s="1083"/>
      <c r="Z22" s="1083"/>
      <c r="AA22" s="1083"/>
      <c r="AB22" s="1083"/>
      <c r="AC22" s="246"/>
    </row>
    <row r="23" spans="1:29" ht="16.5" hidden="1" outlineLevel="1" thickBot="1">
      <c r="A23" s="1057" t="s">
        <v>95</v>
      </c>
      <c r="B23" s="1058"/>
      <c r="C23" s="1058"/>
      <c r="D23" s="1058"/>
      <c r="E23" s="1058"/>
      <c r="F23" s="249"/>
      <c r="G23" s="1058" t="s">
        <v>95</v>
      </c>
      <c r="H23" s="1058"/>
      <c r="I23" s="1058"/>
      <c r="J23" s="1058"/>
      <c r="K23" s="1058"/>
      <c r="L23" s="1058" t="s">
        <v>95</v>
      </c>
      <c r="M23" s="1058"/>
      <c r="N23" s="1058"/>
      <c r="O23" s="1058"/>
      <c r="P23" s="1058"/>
      <c r="Q23" s="249"/>
      <c r="R23" s="1058" t="s">
        <v>95</v>
      </c>
      <c r="S23" s="1058"/>
      <c r="T23" s="1058"/>
      <c r="U23" s="1058"/>
      <c r="V23" s="1058"/>
      <c r="W23" s="249"/>
      <c r="X23" s="1058" t="s">
        <v>95</v>
      </c>
      <c r="Y23" s="1058"/>
      <c r="Z23" s="1058"/>
      <c r="AA23" s="1058"/>
      <c r="AB23" s="1058"/>
      <c r="AC23" s="249"/>
    </row>
    <row r="24" spans="1:29" ht="16.5" hidden="1" outlineLevel="1" thickBot="1">
      <c r="A24" s="175"/>
      <c r="B24" s="176"/>
      <c r="C24" s="176"/>
      <c r="D24" s="174"/>
      <c r="E24" s="174"/>
      <c r="F24" s="249"/>
      <c r="G24" s="174"/>
      <c r="H24" s="176"/>
      <c r="I24" s="176"/>
      <c r="J24" s="174"/>
      <c r="K24" s="174"/>
      <c r="L24" s="174"/>
      <c r="M24" s="176"/>
      <c r="N24" s="176"/>
      <c r="O24" s="174"/>
      <c r="P24" s="174"/>
      <c r="Q24" s="249"/>
      <c r="R24" s="174"/>
      <c r="S24" s="176"/>
      <c r="T24" s="176"/>
      <c r="U24" s="174"/>
      <c r="V24" s="174"/>
      <c r="W24" s="249"/>
      <c r="X24" s="174"/>
      <c r="Y24" s="176"/>
      <c r="Z24" s="176"/>
      <c r="AA24" s="174"/>
      <c r="AB24" s="174"/>
      <c r="AC24" s="249"/>
    </row>
    <row r="25" spans="1:29" ht="30.75" hidden="1" outlineLevel="1" thickBot="1">
      <c r="A25" s="554" t="s">
        <v>96</v>
      </c>
      <c r="B25" s="558" t="s">
        <v>97</v>
      </c>
      <c r="C25" s="559" t="s">
        <v>98</v>
      </c>
      <c r="D25" s="554" t="s">
        <v>99</v>
      </c>
      <c r="E25" s="107"/>
      <c r="F25" s="250"/>
      <c r="G25" s="560" t="s">
        <v>96</v>
      </c>
      <c r="H25" s="558" t="s">
        <v>97</v>
      </c>
      <c r="I25" s="559" t="s">
        <v>98</v>
      </c>
      <c r="J25" s="554" t="s">
        <v>99</v>
      </c>
      <c r="K25" s="107"/>
      <c r="L25" s="560" t="s">
        <v>96</v>
      </c>
      <c r="M25" s="558" t="s">
        <v>97</v>
      </c>
      <c r="N25" s="559" t="s">
        <v>98</v>
      </c>
      <c r="O25" s="554" t="s">
        <v>99</v>
      </c>
      <c r="P25" s="107"/>
      <c r="Q25" s="250"/>
      <c r="R25" s="560" t="s">
        <v>96</v>
      </c>
      <c r="S25" s="558" t="s">
        <v>97</v>
      </c>
      <c r="T25" s="559" t="s">
        <v>98</v>
      </c>
      <c r="U25" s="554" t="s">
        <v>99</v>
      </c>
      <c r="V25" s="107"/>
      <c r="W25" s="250"/>
      <c r="X25" s="560" t="s">
        <v>96</v>
      </c>
      <c r="Y25" s="558" t="s">
        <v>97</v>
      </c>
      <c r="Z25" s="559" t="s">
        <v>98</v>
      </c>
      <c r="AA25" s="554" t="s">
        <v>99</v>
      </c>
      <c r="AB25" s="107"/>
      <c r="AC25" s="250"/>
    </row>
    <row r="26" spans="1:29" ht="12.75" hidden="1" outlineLevel="1">
      <c r="A26" s="555" t="s">
        <v>100</v>
      </c>
      <c r="B26" s="178"/>
      <c r="C26" s="178"/>
      <c r="D26" s="532">
        <f>B26+C26</f>
        <v>0</v>
      </c>
      <c r="E26" s="107"/>
      <c r="F26" s="251"/>
      <c r="G26" s="561" t="s">
        <v>100</v>
      </c>
      <c r="H26" s="178"/>
      <c r="I26" s="178"/>
      <c r="J26" s="532">
        <f>H26+I26</f>
        <v>0</v>
      </c>
      <c r="K26" s="107"/>
      <c r="L26" s="561" t="s">
        <v>100</v>
      </c>
      <c r="M26" s="178"/>
      <c r="N26" s="178"/>
      <c r="O26" s="532">
        <f>M26+N26</f>
        <v>0</v>
      </c>
      <c r="P26" s="107"/>
      <c r="Q26" s="251"/>
      <c r="R26" s="561" t="s">
        <v>100</v>
      </c>
      <c r="S26" s="178"/>
      <c r="T26" s="178"/>
      <c r="U26" s="532">
        <f>S26+T26</f>
        <v>0</v>
      </c>
      <c r="V26" s="107"/>
      <c r="W26" s="251"/>
      <c r="X26" s="561" t="s">
        <v>100</v>
      </c>
      <c r="Y26" s="178"/>
      <c r="Z26" s="178"/>
      <c r="AA26" s="532">
        <f>Y26+Z26</f>
        <v>0</v>
      </c>
      <c r="AB26" s="107"/>
      <c r="AC26" s="251"/>
    </row>
    <row r="27" spans="1:29" ht="12.75" hidden="1" outlineLevel="1">
      <c r="A27" s="531">
        <v>1</v>
      </c>
      <c r="B27" s="180"/>
      <c r="C27" s="180"/>
      <c r="D27" s="533">
        <f>B27+C27</f>
        <v>0</v>
      </c>
      <c r="E27" s="107"/>
      <c r="F27" s="252"/>
      <c r="G27" s="562">
        <v>1</v>
      </c>
      <c r="H27" s="178"/>
      <c r="I27" s="180"/>
      <c r="J27" s="533">
        <f>H27+I27</f>
        <v>0</v>
      </c>
      <c r="K27" s="107"/>
      <c r="L27" s="562">
        <v>1</v>
      </c>
      <c r="M27" s="178"/>
      <c r="N27" s="180"/>
      <c r="O27" s="533">
        <f>M27+N27</f>
        <v>0</v>
      </c>
      <c r="P27" s="107"/>
      <c r="Q27" s="252"/>
      <c r="R27" s="562">
        <v>1</v>
      </c>
      <c r="S27" s="178"/>
      <c r="T27" s="180"/>
      <c r="U27" s="533">
        <f>S27+T27</f>
        <v>0</v>
      </c>
      <c r="V27" s="107"/>
      <c r="W27" s="252"/>
      <c r="X27" s="562">
        <v>1</v>
      </c>
      <c r="Y27" s="178"/>
      <c r="Z27" s="180"/>
      <c r="AA27" s="533">
        <f>Y27+Z27</f>
        <v>0</v>
      </c>
      <c r="AB27" s="107"/>
      <c r="AC27" s="252"/>
    </row>
    <row r="28" spans="1:29" ht="12.75" hidden="1" outlineLevel="1">
      <c r="A28" s="531">
        <v>2</v>
      </c>
      <c r="B28" s="180"/>
      <c r="C28" s="180"/>
      <c r="D28" s="533">
        <f>B28+C28</f>
        <v>0</v>
      </c>
      <c r="E28" s="107"/>
      <c r="F28" s="252"/>
      <c r="G28" s="562">
        <v>2</v>
      </c>
      <c r="H28" s="178"/>
      <c r="I28" s="180"/>
      <c r="J28" s="533">
        <f>H28+I28</f>
        <v>0</v>
      </c>
      <c r="K28" s="107"/>
      <c r="L28" s="562">
        <v>2</v>
      </c>
      <c r="M28" s="178"/>
      <c r="N28" s="180"/>
      <c r="O28" s="533">
        <f>M28+N28</f>
        <v>0</v>
      </c>
      <c r="P28" s="107"/>
      <c r="Q28" s="252"/>
      <c r="R28" s="562">
        <v>2</v>
      </c>
      <c r="S28" s="178"/>
      <c r="T28" s="180"/>
      <c r="U28" s="533">
        <f>S28+T28</f>
        <v>0</v>
      </c>
      <c r="V28" s="107"/>
      <c r="W28" s="252"/>
      <c r="X28" s="562">
        <v>2</v>
      </c>
      <c r="Y28" s="178"/>
      <c r="Z28" s="180"/>
      <c r="AA28" s="533">
        <f>Y28+Z28</f>
        <v>0</v>
      </c>
      <c r="AB28" s="107"/>
      <c r="AC28" s="252"/>
    </row>
    <row r="29" spans="1:29" ht="13.5" hidden="1" outlineLevel="1" thickBot="1">
      <c r="A29" s="531">
        <v>3</v>
      </c>
      <c r="B29" s="180"/>
      <c r="C29" s="180"/>
      <c r="D29" s="534">
        <f>B29+C29</f>
        <v>0</v>
      </c>
      <c r="E29" s="107"/>
      <c r="F29" s="252"/>
      <c r="G29" s="562">
        <v>3</v>
      </c>
      <c r="H29" s="178"/>
      <c r="I29" s="180"/>
      <c r="J29" s="534">
        <f>H29+I29</f>
        <v>0</v>
      </c>
      <c r="K29" s="107"/>
      <c r="L29" s="562">
        <v>3</v>
      </c>
      <c r="M29" s="178"/>
      <c r="N29" s="180"/>
      <c r="O29" s="534">
        <f>M29+N29</f>
        <v>0</v>
      </c>
      <c r="P29" s="107"/>
      <c r="Q29" s="252"/>
      <c r="R29" s="562">
        <v>3</v>
      </c>
      <c r="S29" s="178"/>
      <c r="T29" s="180"/>
      <c r="U29" s="534">
        <f>S29+T29</f>
        <v>0</v>
      </c>
      <c r="V29" s="107"/>
      <c r="W29" s="252"/>
      <c r="X29" s="562">
        <v>3</v>
      </c>
      <c r="Y29" s="178"/>
      <c r="Z29" s="180"/>
      <c r="AA29" s="534">
        <f>Y29+Z29</f>
        <v>0</v>
      </c>
      <c r="AB29" s="107"/>
      <c r="AC29" s="252"/>
    </row>
    <row r="30" spans="1:29" ht="13.5" hidden="1" outlineLevel="1" thickBot="1">
      <c r="A30" s="556" t="s">
        <v>101</v>
      </c>
      <c r="B30" s="536">
        <f>SUM(B26:B29)</f>
        <v>0</v>
      </c>
      <c r="C30" s="537">
        <f>SUM(C26:C29)</f>
        <v>0</v>
      </c>
      <c r="D30" s="535">
        <f>B30+C30</f>
        <v>0</v>
      </c>
      <c r="E30" s="107"/>
      <c r="F30" s="252"/>
      <c r="G30" s="563" t="s">
        <v>101</v>
      </c>
      <c r="H30" s="536">
        <f>SUM(H26:H29)</f>
        <v>0</v>
      </c>
      <c r="I30" s="537">
        <f>SUM(I26:I29)</f>
        <v>0</v>
      </c>
      <c r="J30" s="535">
        <f>H30+I30</f>
        <v>0</v>
      </c>
      <c r="K30" s="107"/>
      <c r="L30" s="563" t="s">
        <v>101</v>
      </c>
      <c r="M30" s="536">
        <f>SUM(M26:M29)</f>
        <v>0</v>
      </c>
      <c r="N30" s="537">
        <f>SUM(N26:N29)</f>
        <v>0</v>
      </c>
      <c r="O30" s="535">
        <f>M30+N30</f>
        <v>0</v>
      </c>
      <c r="P30" s="107"/>
      <c r="Q30" s="252"/>
      <c r="R30" s="563" t="s">
        <v>101</v>
      </c>
      <c r="S30" s="536">
        <f>SUM(S26:S29)</f>
        <v>0</v>
      </c>
      <c r="T30" s="537">
        <f>SUM(T26:T29)</f>
        <v>0</v>
      </c>
      <c r="U30" s="535">
        <f>S30+T30</f>
        <v>0</v>
      </c>
      <c r="V30" s="107"/>
      <c r="W30" s="252"/>
      <c r="X30" s="563" t="s">
        <v>101</v>
      </c>
      <c r="Y30" s="536">
        <f>SUM(Y26:Y29)</f>
        <v>0</v>
      </c>
      <c r="Z30" s="537">
        <f>SUM(Z26:Z29)</f>
        <v>0</v>
      </c>
      <c r="AA30" s="535">
        <f>Y30+Z30</f>
        <v>0</v>
      </c>
      <c r="AB30" s="107"/>
      <c r="AC30" s="252"/>
    </row>
    <row r="31" spans="1:29" ht="13.5" hidden="1" outlineLevel="1" thickBot="1">
      <c r="A31" s="557" t="s">
        <v>102</v>
      </c>
      <c r="B31" s="538">
        <v>1</v>
      </c>
      <c r="C31" s="538">
        <v>0.4</v>
      </c>
      <c r="D31" s="97"/>
      <c r="E31" s="107"/>
      <c r="F31" s="252"/>
      <c r="G31" s="564" t="s">
        <v>102</v>
      </c>
      <c r="H31" s="538">
        <v>1</v>
      </c>
      <c r="I31" s="538">
        <v>0.4</v>
      </c>
      <c r="J31" s="97"/>
      <c r="K31" s="107"/>
      <c r="L31" s="564" t="s">
        <v>102</v>
      </c>
      <c r="M31" s="538">
        <v>1</v>
      </c>
      <c r="N31" s="538">
        <v>0.4</v>
      </c>
      <c r="O31" s="97"/>
      <c r="P31" s="107"/>
      <c r="Q31" s="252"/>
      <c r="R31" s="564" t="s">
        <v>102</v>
      </c>
      <c r="S31" s="538">
        <v>1</v>
      </c>
      <c r="T31" s="538">
        <v>0.4</v>
      </c>
      <c r="U31" s="97"/>
      <c r="V31" s="107"/>
      <c r="W31" s="252"/>
      <c r="X31" s="564" t="s">
        <v>102</v>
      </c>
      <c r="Y31" s="538">
        <v>1</v>
      </c>
      <c r="Z31" s="538">
        <v>0.4</v>
      </c>
      <c r="AA31" s="97"/>
      <c r="AB31" s="107"/>
      <c r="AC31" s="252"/>
    </row>
    <row r="32" spans="1:29" ht="13.5" hidden="1" outlineLevel="1" thickBot="1">
      <c r="A32" s="489" t="s">
        <v>103</v>
      </c>
      <c r="B32" s="539">
        <f>B30*B31</f>
        <v>0</v>
      </c>
      <c r="C32" s="539">
        <f>C30*C31</f>
        <v>0</v>
      </c>
      <c r="D32" s="535">
        <f>B32+C32</f>
        <v>0</v>
      </c>
      <c r="E32" s="107"/>
      <c r="F32" s="252"/>
      <c r="G32" s="565" t="s">
        <v>103</v>
      </c>
      <c r="H32" s="539">
        <f>H30*H31</f>
        <v>0</v>
      </c>
      <c r="I32" s="539">
        <f>I30*I31</f>
        <v>0</v>
      </c>
      <c r="J32" s="535">
        <f>H32+I32</f>
        <v>0</v>
      </c>
      <c r="K32" s="107"/>
      <c r="L32" s="565" t="s">
        <v>103</v>
      </c>
      <c r="M32" s="539">
        <f>M30*M31</f>
        <v>0</v>
      </c>
      <c r="N32" s="539">
        <f>N30*N31</f>
        <v>0</v>
      </c>
      <c r="O32" s="535">
        <f>M32+N32</f>
        <v>0</v>
      </c>
      <c r="P32" s="107"/>
      <c r="Q32" s="252"/>
      <c r="R32" s="565" t="s">
        <v>103</v>
      </c>
      <c r="S32" s="539">
        <f>S30*S31</f>
        <v>0</v>
      </c>
      <c r="T32" s="539">
        <f>T30*T31</f>
        <v>0</v>
      </c>
      <c r="U32" s="535">
        <f>S32+T32</f>
        <v>0</v>
      </c>
      <c r="V32" s="107"/>
      <c r="W32" s="252"/>
      <c r="X32" s="565" t="s">
        <v>103</v>
      </c>
      <c r="Y32" s="539">
        <f>Y30*Y31</f>
        <v>0</v>
      </c>
      <c r="Z32" s="539">
        <f>Z30*Z31</f>
        <v>0</v>
      </c>
      <c r="AA32" s="535">
        <f>Y32+Z32</f>
        <v>0</v>
      </c>
      <c r="AB32" s="107"/>
      <c r="AC32" s="252"/>
    </row>
    <row r="33" spans="1:29" ht="12.75" hidden="1" outlineLevel="1">
      <c r="A33" s="181"/>
      <c r="B33" s="182"/>
      <c r="C33" s="107"/>
      <c r="D33" s="182"/>
      <c r="E33" s="107"/>
      <c r="F33" s="252"/>
      <c r="G33" s="182"/>
      <c r="H33" s="182"/>
      <c r="I33" s="107"/>
      <c r="J33" s="182"/>
      <c r="K33" s="107"/>
      <c r="L33" s="182"/>
      <c r="M33" s="182"/>
      <c r="N33" s="107"/>
      <c r="O33" s="182"/>
      <c r="P33" s="107"/>
      <c r="Q33" s="252"/>
      <c r="R33" s="182"/>
      <c r="S33" s="182"/>
      <c r="T33" s="107"/>
      <c r="U33" s="182"/>
      <c r="V33" s="107"/>
      <c r="W33" s="252"/>
      <c r="X33" s="182"/>
      <c r="Y33" s="182"/>
      <c r="Z33" s="107"/>
      <c r="AA33" s="182"/>
      <c r="AB33" s="107"/>
      <c r="AC33" s="252"/>
    </row>
    <row r="34" spans="1:29" ht="13.5" hidden="1" outlineLevel="1" thickBot="1">
      <c r="A34" s="181"/>
      <c r="B34" s="182"/>
      <c r="C34" s="107"/>
      <c r="D34" s="182"/>
      <c r="E34" s="107"/>
      <c r="F34" s="252"/>
      <c r="G34" s="182"/>
      <c r="H34" s="182"/>
      <c r="I34" s="107"/>
      <c r="J34" s="182"/>
      <c r="K34" s="107"/>
      <c r="L34" s="182" t="s">
        <v>361</v>
      </c>
      <c r="M34" s="182"/>
      <c r="N34" s="107"/>
      <c r="O34" s="182"/>
      <c r="P34" s="107"/>
      <c r="Q34" s="252"/>
      <c r="R34" s="182"/>
      <c r="S34" s="182"/>
      <c r="T34" s="107"/>
      <c r="U34" s="182"/>
      <c r="V34" s="107"/>
      <c r="W34" s="252"/>
      <c r="X34" s="182"/>
      <c r="Y34" s="182"/>
      <c r="Z34" s="107"/>
      <c r="AA34" s="182"/>
      <c r="AB34" s="107"/>
      <c r="AC34" s="252"/>
    </row>
    <row r="35" spans="1:29" ht="13.5" hidden="1" outlineLevel="1" thickBot="1">
      <c r="A35" s="1059" t="s">
        <v>104</v>
      </c>
      <c r="B35" s="1060"/>
      <c r="C35" s="107"/>
      <c r="D35" s="182"/>
      <c r="E35" s="107"/>
      <c r="F35" s="252"/>
      <c r="G35" s="1086" t="s">
        <v>104</v>
      </c>
      <c r="H35" s="1060"/>
      <c r="I35" s="107"/>
      <c r="J35" s="182"/>
      <c r="K35" s="107"/>
      <c r="L35" s="1086" t="s">
        <v>104</v>
      </c>
      <c r="M35" s="1060"/>
      <c r="N35" s="107"/>
      <c r="O35" s="182"/>
      <c r="P35" s="107"/>
      <c r="Q35" s="252"/>
      <c r="R35" s="1086" t="s">
        <v>104</v>
      </c>
      <c r="S35" s="1060"/>
      <c r="T35" s="107"/>
      <c r="U35" s="182"/>
      <c r="V35" s="107"/>
      <c r="W35" s="252"/>
      <c r="X35" s="1086" t="s">
        <v>104</v>
      </c>
      <c r="Y35" s="1060"/>
      <c r="Z35" s="107"/>
      <c r="AA35" s="182"/>
      <c r="AB35" s="107"/>
      <c r="AC35" s="252"/>
    </row>
    <row r="36" spans="1:29" ht="12.75" hidden="1" outlineLevel="1">
      <c r="A36" s="566" t="s">
        <v>296</v>
      </c>
      <c r="B36" s="540">
        <f>D32</f>
        <v>0</v>
      </c>
      <c r="C36" s="107"/>
      <c r="D36" s="182"/>
      <c r="E36" s="107"/>
      <c r="F36" s="252"/>
      <c r="G36" s="570" t="s">
        <v>296</v>
      </c>
      <c r="H36" s="540">
        <f>J32</f>
        <v>0</v>
      </c>
      <c r="I36" s="107"/>
      <c r="J36" s="182"/>
      <c r="K36" s="107"/>
      <c r="L36" s="570" t="s">
        <v>296</v>
      </c>
      <c r="M36" s="540">
        <f>O32</f>
        <v>0</v>
      </c>
      <c r="N36" s="107"/>
      <c r="O36" s="182"/>
      <c r="P36" s="107"/>
      <c r="Q36" s="252"/>
      <c r="R36" s="570" t="s">
        <v>296</v>
      </c>
      <c r="S36" s="540">
        <f>U32</f>
        <v>0</v>
      </c>
      <c r="T36" s="107"/>
      <c r="U36" s="182"/>
      <c r="V36" s="107"/>
      <c r="W36" s="252"/>
      <c r="X36" s="570" t="s">
        <v>296</v>
      </c>
      <c r="Y36" s="540">
        <f>AA32</f>
        <v>0</v>
      </c>
      <c r="Z36" s="107"/>
      <c r="AA36" s="182"/>
      <c r="AB36" s="107"/>
      <c r="AC36" s="252"/>
    </row>
    <row r="37" spans="1:29" ht="13.5" hidden="1" outlineLevel="1" thickBot="1">
      <c r="A37" s="567" t="s">
        <v>105</v>
      </c>
      <c r="B37" s="541">
        <f>B11</f>
        <v>5367.98</v>
      </c>
      <c r="C37" s="107"/>
      <c r="D37" s="182"/>
      <c r="E37" s="107"/>
      <c r="F37" s="252"/>
      <c r="G37" s="571" t="s">
        <v>105</v>
      </c>
      <c r="H37" s="541">
        <f>H11</f>
        <v>5367.98</v>
      </c>
      <c r="I37" s="107"/>
      <c r="J37" s="182"/>
      <c r="K37" s="107"/>
      <c r="L37" s="571" t="s">
        <v>105</v>
      </c>
      <c r="M37" s="541">
        <f>M11</f>
        <v>5367.98</v>
      </c>
      <c r="N37" s="107"/>
      <c r="O37" s="182"/>
      <c r="P37" s="107"/>
      <c r="Q37" s="252"/>
      <c r="R37" s="571" t="s">
        <v>105</v>
      </c>
      <c r="S37" s="541">
        <f>S11</f>
        <v>5367.98</v>
      </c>
      <c r="T37" s="107"/>
      <c r="U37" s="182"/>
      <c r="V37" s="107"/>
      <c r="W37" s="252"/>
      <c r="X37" s="571" t="s">
        <v>105</v>
      </c>
      <c r="Y37" s="541">
        <f>Y11</f>
        <v>5367.98</v>
      </c>
      <c r="Z37" s="107"/>
      <c r="AA37" s="182"/>
      <c r="AB37" s="107"/>
      <c r="AC37" s="252"/>
    </row>
    <row r="38" spans="1:29" ht="15.75" hidden="1" outlineLevel="1" thickBot="1">
      <c r="A38" s="535" t="s">
        <v>106</v>
      </c>
      <c r="B38" s="542">
        <f>B36*B37</f>
        <v>0</v>
      </c>
      <c r="C38" s="107"/>
      <c r="D38" s="182"/>
      <c r="E38" s="107"/>
      <c r="F38" s="252"/>
      <c r="G38" s="572" t="s">
        <v>106</v>
      </c>
      <c r="H38" s="542">
        <f>H36*H37</f>
        <v>0</v>
      </c>
      <c r="I38" s="107"/>
      <c r="J38" s="182"/>
      <c r="K38" s="107"/>
      <c r="L38" s="572" t="s">
        <v>106</v>
      </c>
      <c r="M38" s="542">
        <f>M36*M37</f>
        <v>0</v>
      </c>
      <c r="N38" s="107"/>
      <c r="O38" s="182"/>
      <c r="P38" s="107"/>
      <c r="Q38" s="252"/>
      <c r="R38" s="572" t="s">
        <v>106</v>
      </c>
      <c r="S38" s="542">
        <f>S36*S37</f>
        <v>0</v>
      </c>
      <c r="T38" s="107"/>
      <c r="U38" s="182"/>
      <c r="V38" s="107"/>
      <c r="W38" s="252"/>
      <c r="X38" s="572" t="s">
        <v>106</v>
      </c>
      <c r="Y38" s="542">
        <f>Y36*Y37</f>
        <v>0</v>
      </c>
      <c r="Z38" s="107"/>
      <c r="AA38" s="182"/>
      <c r="AB38" s="107"/>
      <c r="AC38" s="252"/>
    </row>
    <row r="39" spans="1:29" ht="15" hidden="1" outlineLevel="1">
      <c r="A39" s="183"/>
      <c r="B39" s="184"/>
      <c r="C39" s="107"/>
      <c r="D39" s="107"/>
      <c r="E39" s="182"/>
      <c r="F39" s="252"/>
      <c r="G39" s="7"/>
      <c r="H39" s="184"/>
      <c r="I39" s="107"/>
      <c r="J39" s="107"/>
      <c r="K39" s="182"/>
      <c r="L39" s="7"/>
      <c r="M39" s="184"/>
      <c r="N39" s="107"/>
      <c r="O39" s="107"/>
      <c r="P39" s="182"/>
      <c r="Q39" s="252"/>
      <c r="R39" s="7"/>
      <c r="S39" s="184"/>
      <c r="T39" s="107"/>
      <c r="U39" s="107"/>
      <c r="V39" s="182"/>
      <c r="W39" s="252"/>
      <c r="X39" s="7"/>
      <c r="Y39" s="184"/>
      <c r="Z39" s="107"/>
      <c r="AA39" s="107"/>
      <c r="AB39" s="182"/>
      <c r="AC39" s="252"/>
    </row>
    <row r="40" spans="1:29" ht="15.75" hidden="1" outlineLevel="1" thickBot="1">
      <c r="A40" s="183"/>
      <c r="B40" s="184"/>
      <c r="C40" s="107"/>
      <c r="D40" s="107"/>
      <c r="E40" s="182"/>
      <c r="F40" s="252"/>
      <c r="G40" s="7"/>
      <c r="H40" s="184"/>
      <c r="I40" s="107"/>
      <c r="J40" s="107"/>
      <c r="K40" s="182"/>
      <c r="L40" s="7"/>
      <c r="M40" s="184"/>
      <c r="N40" s="107"/>
      <c r="O40" s="107"/>
      <c r="P40" s="182"/>
      <c r="Q40" s="252"/>
      <c r="R40" s="7"/>
      <c r="S40" s="184"/>
      <c r="T40" s="107"/>
      <c r="U40" s="107"/>
      <c r="V40" s="182"/>
      <c r="W40" s="252"/>
      <c r="X40" s="7"/>
      <c r="Y40" s="184"/>
      <c r="Z40" s="107"/>
      <c r="AA40" s="107"/>
      <c r="AB40" s="182"/>
      <c r="AC40" s="252"/>
    </row>
    <row r="41" spans="1:29" ht="13.5" hidden="1" outlineLevel="1" thickBot="1">
      <c r="A41" s="1059" t="s">
        <v>107</v>
      </c>
      <c r="B41" s="1060"/>
      <c r="C41" s="107"/>
      <c r="D41" s="107"/>
      <c r="E41" s="182"/>
      <c r="F41" s="252"/>
      <c r="G41" s="1086" t="s">
        <v>107</v>
      </c>
      <c r="H41" s="1060"/>
      <c r="I41" s="107"/>
      <c r="J41" s="107"/>
      <c r="K41" s="182"/>
      <c r="L41" s="1086" t="s">
        <v>107</v>
      </c>
      <c r="M41" s="1060"/>
      <c r="N41" s="107"/>
      <c r="O41" s="107"/>
      <c r="P41" s="182"/>
      <c r="Q41" s="252"/>
      <c r="R41" s="1086" t="s">
        <v>107</v>
      </c>
      <c r="S41" s="1060"/>
      <c r="T41" s="107"/>
      <c r="U41" s="107"/>
      <c r="V41" s="182"/>
      <c r="W41" s="252"/>
      <c r="X41" s="1086" t="s">
        <v>107</v>
      </c>
      <c r="Y41" s="1060"/>
      <c r="Z41" s="107"/>
      <c r="AA41" s="107"/>
      <c r="AB41" s="182"/>
      <c r="AC41" s="252"/>
    </row>
    <row r="42" spans="1:29" ht="12.75" hidden="1" outlineLevel="1">
      <c r="A42" s="566" t="s">
        <v>108</v>
      </c>
      <c r="B42" s="540">
        <f>D30</f>
        <v>0</v>
      </c>
      <c r="C42" s="107"/>
      <c r="D42" s="107"/>
      <c r="E42" s="182"/>
      <c r="F42" s="252"/>
      <c r="G42" s="570" t="s">
        <v>108</v>
      </c>
      <c r="H42" s="540">
        <f>J30</f>
        <v>0</v>
      </c>
      <c r="I42" s="107"/>
      <c r="J42" s="107"/>
      <c r="K42" s="182"/>
      <c r="L42" s="570" t="s">
        <v>108</v>
      </c>
      <c r="M42" s="540">
        <f>O30</f>
        <v>0</v>
      </c>
      <c r="N42" s="107"/>
      <c r="O42" s="107"/>
      <c r="P42" s="182"/>
      <c r="Q42" s="252"/>
      <c r="R42" s="570" t="s">
        <v>108</v>
      </c>
      <c r="S42" s="540">
        <f>U30</f>
        <v>0</v>
      </c>
      <c r="T42" s="107"/>
      <c r="U42" s="107"/>
      <c r="V42" s="182"/>
      <c r="W42" s="252"/>
      <c r="X42" s="570" t="s">
        <v>108</v>
      </c>
      <c r="Y42" s="540">
        <f>AA30</f>
        <v>0</v>
      </c>
      <c r="Z42" s="107"/>
      <c r="AA42" s="107"/>
      <c r="AB42" s="182"/>
      <c r="AC42" s="252"/>
    </row>
    <row r="43" spans="1:29" ht="13.5" hidden="1" outlineLevel="1" thickBot="1">
      <c r="A43" s="567" t="s">
        <v>109</v>
      </c>
      <c r="B43" s="541">
        <f>B12</f>
        <v>2111.98</v>
      </c>
      <c r="C43" s="107"/>
      <c r="D43" s="107"/>
      <c r="E43" s="107"/>
      <c r="F43" s="252"/>
      <c r="G43" s="571" t="s">
        <v>109</v>
      </c>
      <c r="H43" s="541">
        <f>H12</f>
        <v>2111.98</v>
      </c>
      <c r="I43" s="107"/>
      <c r="J43" s="107"/>
      <c r="K43" s="107"/>
      <c r="L43" s="571" t="s">
        <v>109</v>
      </c>
      <c r="M43" s="541">
        <f>M12</f>
        <v>2111.98</v>
      </c>
      <c r="N43" s="107"/>
      <c r="O43" s="107"/>
      <c r="P43" s="107"/>
      <c r="Q43" s="252"/>
      <c r="R43" s="571" t="s">
        <v>109</v>
      </c>
      <c r="S43" s="541">
        <f>S12</f>
        <v>2111.98</v>
      </c>
      <c r="T43" s="107"/>
      <c r="U43" s="107"/>
      <c r="V43" s="107"/>
      <c r="W43" s="252"/>
      <c r="X43" s="571" t="s">
        <v>109</v>
      </c>
      <c r="Y43" s="541">
        <f>Y12</f>
        <v>2111.98</v>
      </c>
      <c r="Z43" s="107"/>
      <c r="AA43" s="107"/>
      <c r="AB43" s="107"/>
      <c r="AC43" s="252"/>
    </row>
    <row r="44" spans="1:29" ht="15.75" hidden="1" outlineLevel="1" thickBot="1">
      <c r="A44" s="535" t="s">
        <v>110</v>
      </c>
      <c r="B44" s="542">
        <f>B42*B43</f>
        <v>0</v>
      </c>
      <c r="C44" s="107"/>
      <c r="D44" s="107"/>
      <c r="E44" s="107"/>
      <c r="F44" s="252"/>
      <c r="G44" s="572" t="s">
        <v>110</v>
      </c>
      <c r="H44" s="542">
        <f>H42*H43</f>
        <v>0</v>
      </c>
      <c r="I44" s="107"/>
      <c r="J44" s="107"/>
      <c r="K44" s="107"/>
      <c r="L44" s="572" t="s">
        <v>110</v>
      </c>
      <c r="M44" s="542">
        <f>M42*M43</f>
        <v>0</v>
      </c>
      <c r="N44" s="107"/>
      <c r="O44" s="107"/>
      <c r="P44" s="107"/>
      <c r="Q44" s="252"/>
      <c r="R44" s="572" t="s">
        <v>110</v>
      </c>
      <c r="S44" s="542">
        <f>S42*S43</f>
        <v>0</v>
      </c>
      <c r="T44" s="107"/>
      <c r="U44" s="107"/>
      <c r="V44" s="107"/>
      <c r="W44" s="252"/>
      <c r="X44" s="572" t="s">
        <v>110</v>
      </c>
      <c r="Y44" s="542">
        <f>Y42*Y43</f>
        <v>0</v>
      </c>
      <c r="Z44" s="107"/>
      <c r="AA44" s="107"/>
      <c r="AB44" s="107"/>
      <c r="AC44" s="252"/>
    </row>
    <row r="45" spans="1:29" ht="12.75" hidden="1" outlineLevel="1">
      <c r="A45" s="185"/>
      <c r="B45" s="186"/>
      <c r="C45" s="187"/>
      <c r="D45" s="179"/>
      <c r="E45" s="191"/>
      <c r="F45" s="252"/>
      <c r="G45" s="186"/>
      <c r="H45" s="186"/>
      <c r="I45" s="187"/>
      <c r="J45" s="179"/>
      <c r="K45" s="191"/>
      <c r="L45" s="186"/>
      <c r="M45" s="186"/>
      <c r="N45" s="187"/>
      <c r="O45" s="179"/>
      <c r="P45" s="191"/>
      <c r="Q45" s="252"/>
      <c r="R45" s="186"/>
      <c r="S45" s="186"/>
      <c r="T45" s="187"/>
      <c r="U45" s="179"/>
      <c r="V45" s="191"/>
      <c r="W45" s="252"/>
      <c r="X45" s="186"/>
      <c r="Y45" s="186"/>
      <c r="Z45" s="187"/>
      <c r="AA45" s="179"/>
      <c r="AB45" s="191"/>
      <c r="AC45" s="252"/>
    </row>
    <row r="46" spans="1:29" ht="13.5" hidden="1" outlineLevel="1" thickBot="1">
      <c r="A46" s="185"/>
      <c r="B46" s="186"/>
      <c r="C46" s="187"/>
      <c r="D46" s="179"/>
      <c r="E46" s="191"/>
      <c r="F46" s="252"/>
      <c r="G46" s="186"/>
      <c r="H46" s="186"/>
      <c r="I46" s="187"/>
      <c r="J46" s="179"/>
      <c r="K46" s="191"/>
      <c r="L46" s="186"/>
      <c r="M46" s="186"/>
      <c r="N46" s="187"/>
      <c r="O46" s="179"/>
      <c r="P46" s="191"/>
      <c r="Q46" s="252"/>
      <c r="R46" s="186"/>
      <c r="S46" s="186"/>
      <c r="T46" s="187"/>
      <c r="U46" s="179"/>
      <c r="V46" s="191"/>
      <c r="W46" s="252"/>
      <c r="X46" s="186"/>
      <c r="Y46" s="186"/>
      <c r="Z46" s="187"/>
      <c r="AA46" s="179"/>
      <c r="AB46" s="191"/>
      <c r="AC46" s="252"/>
    </row>
    <row r="47" spans="1:29" ht="13.5" hidden="1" outlineLevel="1" thickBot="1">
      <c r="A47" s="568" t="s">
        <v>111</v>
      </c>
      <c r="B47" s="565"/>
      <c r="C47" s="187"/>
      <c r="D47" s="179"/>
      <c r="E47" s="191"/>
      <c r="F47" s="252"/>
      <c r="G47" s="573" t="s">
        <v>111</v>
      </c>
      <c r="H47" s="565"/>
      <c r="I47" s="187"/>
      <c r="J47" s="179"/>
      <c r="K47" s="191"/>
      <c r="L47" s="573" t="s">
        <v>111</v>
      </c>
      <c r="M47" s="565"/>
      <c r="N47" s="187"/>
      <c r="O47" s="179"/>
      <c r="P47" s="191"/>
      <c r="Q47" s="252"/>
      <c r="R47" s="573" t="s">
        <v>111</v>
      </c>
      <c r="S47" s="565"/>
      <c r="T47" s="187"/>
      <c r="U47" s="179"/>
      <c r="V47" s="191"/>
      <c r="W47" s="252"/>
      <c r="X47" s="573" t="s">
        <v>111</v>
      </c>
      <c r="Y47" s="565"/>
      <c r="Z47" s="187"/>
      <c r="AA47" s="179"/>
      <c r="AB47" s="191"/>
      <c r="AC47" s="252"/>
    </row>
    <row r="48" spans="1:29" ht="12.75" hidden="1" outlineLevel="1">
      <c r="A48" s="569" t="s">
        <v>106</v>
      </c>
      <c r="B48" s="543">
        <f>B38</f>
        <v>0</v>
      </c>
      <c r="C48" s="187"/>
      <c r="D48" s="179"/>
      <c r="E48" s="191"/>
      <c r="F48" s="252"/>
      <c r="G48" s="574" t="s">
        <v>106</v>
      </c>
      <c r="H48" s="543">
        <f>H38</f>
        <v>0</v>
      </c>
      <c r="I48" s="187"/>
      <c r="J48" s="179"/>
      <c r="K48" s="191"/>
      <c r="L48" s="574" t="s">
        <v>106</v>
      </c>
      <c r="M48" s="543">
        <f>M38</f>
        <v>0</v>
      </c>
      <c r="N48" s="187"/>
      <c r="O48" s="179"/>
      <c r="P48" s="191"/>
      <c r="Q48" s="252"/>
      <c r="R48" s="574" t="s">
        <v>106</v>
      </c>
      <c r="S48" s="543">
        <f>S38</f>
        <v>0</v>
      </c>
      <c r="T48" s="187"/>
      <c r="U48" s="179"/>
      <c r="V48" s="191"/>
      <c r="W48" s="252"/>
      <c r="X48" s="574" t="s">
        <v>106</v>
      </c>
      <c r="Y48" s="543">
        <f>Y38</f>
        <v>0</v>
      </c>
      <c r="Z48" s="187"/>
      <c r="AA48" s="179"/>
      <c r="AB48" s="191"/>
      <c r="AC48" s="252"/>
    </row>
    <row r="49" spans="1:29" ht="13.5" hidden="1" outlineLevel="1" thickBot="1">
      <c r="A49" s="569" t="s">
        <v>110</v>
      </c>
      <c r="B49" s="541">
        <f>B44</f>
        <v>0</v>
      </c>
      <c r="C49" s="187"/>
      <c r="D49" s="179"/>
      <c r="E49" s="191"/>
      <c r="F49" s="252"/>
      <c r="G49" s="574" t="s">
        <v>110</v>
      </c>
      <c r="H49" s="541">
        <f>H44</f>
        <v>0</v>
      </c>
      <c r="I49" s="187"/>
      <c r="J49" s="179"/>
      <c r="K49" s="191"/>
      <c r="L49" s="574" t="s">
        <v>110</v>
      </c>
      <c r="M49" s="541">
        <f>M44</f>
        <v>0</v>
      </c>
      <c r="N49" s="187"/>
      <c r="O49" s="179"/>
      <c r="P49" s="191"/>
      <c r="Q49" s="252"/>
      <c r="R49" s="574" t="s">
        <v>110</v>
      </c>
      <c r="S49" s="541">
        <f>S44</f>
        <v>0</v>
      </c>
      <c r="T49" s="187"/>
      <c r="U49" s="179"/>
      <c r="V49" s="191"/>
      <c r="W49" s="252"/>
      <c r="X49" s="574" t="s">
        <v>110</v>
      </c>
      <c r="Y49" s="541">
        <f>Y44</f>
        <v>0</v>
      </c>
      <c r="Z49" s="187"/>
      <c r="AA49" s="179"/>
      <c r="AB49" s="191"/>
      <c r="AC49" s="252"/>
    </row>
    <row r="50" spans="1:29" ht="15.75" hidden="1" outlineLevel="1" thickBot="1">
      <c r="A50" s="535" t="s">
        <v>112</v>
      </c>
      <c r="B50" s="542">
        <f>B48+B49</f>
        <v>0</v>
      </c>
      <c r="C50" s="187"/>
      <c r="D50" s="179"/>
      <c r="E50" s="191"/>
      <c r="F50" s="252"/>
      <c r="G50" s="572" t="s">
        <v>112</v>
      </c>
      <c r="H50" s="542">
        <f>H48+H49</f>
        <v>0</v>
      </c>
      <c r="I50" s="187"/>
      <c r="J50" s="179"/>
      <c r="K50" s="191"/>
      <c r="L50" s="572" t="s">
        <v>112</v>
      </c>
      <c r="M50" s="542">
        <f>M48+M49</f>
        <v>0</v>
      </c>
      <c r="N50" s="187"/>
      <c r="O50" s="179"/>
      <c r="P50" s="191"/>
      <c r="Q50" s="252"/>
      <c r="R50" s="572" t="s">
        <v>112</v>
      </c>
      <c r="S50" s="542">
        <f>S48+S49</f>
        <v>0</v>
      </c>
      <c r="T50" s="187"/>
      <c r="U50" s="179"/>
      <c r="V50" s="191"/>
      <c r="W50" s="252"/>
      <c r="X50" s="572" t="s">
        <v>112</v>
      </c>
      <c r="Y50" s="542">
        <f>Y48+Y49</f>
        <v>0</v>
      </c>
      <c r="Z50" s="187"/>
      <c r="AA50" s="179"/>
      <c r="AB50" s="191"/>
      <c r="AC50" s="252"/>
    </row>
    <row r="51" spans="1:29" ht="12.75" hidden="1" outlineLevel="1">
      <c r="A51" s="185"/>
      <c r="B51" s="186"/>
      <c r="C51" s="187"/>
      <c r="D51" s="179"/>
      <c r="E51" s="191"/>
      <c r="F51" s="252"/>
      <c r="G51" s="186"/>
      <c r="H51" s="186"/>
      <c r="I51" s="187"/>
      <c r="J51" s="179"/>
      <c r="K51" s="191"/>
      <c r="L51" s="186"/>
      <c r="M51" s="186"/>
      <c r="N51" s="187"/>
      <c r="O51" s="179"/>
      <c r="P51" s="191"/>
      <c r="Q51" s="252"/>
      <c r="R51" s="186"/>
      <c r="S51" s="186"/>
      <c r="T51" s="187"/>
      <c r="U51" s="179"/>
      <c r="V51" s="191"/>
      <c r="W51" s="252"/>
      <c r="X51" s="186"/>
      <c r="Y51" s="186"/>
      <c r="Z51" s="187"/>
      <c r="AA51" s="179"/>
      <c r="AB51" s="191"/>
      <c r="AC51" s="252"/>
    </row>
    <row r="52" spans="1:29" ht="13.5" hidden="1" outlineLevel="1" thickBot="1">
      <c r="A52" s="188"/>
      <c r="B52" s="189"/>
      <c r="C52" s="190"/>
      <c r="D52" s="190"/>
      <c r="E52" s="247"/>
      <c r="F52" s="252"/>
      <c r="G52" s="189"/>
      <c r="H52" s="189"/>
      <c r="I52" s="190"/>
      <c r="J52" s="190"/>
      <c r="K52" s="247"/>
      <c r="L52" s="189"/>
      <c r="M52" s="189"/>
      <c r="N52" s="190"/>
      <c r="O52" s="190"/>
      <c r="P52" s="247"/>
      <c r="Q52" s="252"/>
      <c r="R52" s="189"/>
      <c r="S52" s="189"/>
      <c r="T52" s="190"/>
      <c r="U52" s="190"/>
      <c r="V52" s="247"/>
      <c r="W52" s="252"/>
      <c r="X52" s="189"/>
      <c r="Y52" s="189"/>
      <c r="Z52" s="190"/>
      <c r="AA52" s="190"/>
      <c r="AB52" s="247"/>
      <c r="AC52" s="252"/>
    </row>
    <row r="53" spans="1:29" ht="12.75" hidden="1" outlineLevel="1">
      <c r="A53" s="264"/>
      <c r="B53" s="171"/>
      <c r="C53" s="171"/>
      <c r="D53" s="171"/>
      <c r="E53" s="191"/>
      <c r="F53" s="252"/>
      <c r="G53" s="171"/>
      <c r="H53" s="171"/>
      <c r="I53" s="171"/>
      <c r="J53" s="171"/>
      <c r="K53" s="191"/>
      <c r="L53" s="171"/>
      <c r="M53" s="171"/>
      <c r="N53" s="171"/>
      <c r="O53" s="171"/>
      <c r="P53" s="191"/>
      <c r="Q53" s="252"/>
      <c r="R53" s="171"/>
      <c r="S53" s="171"/>
      <c r="T53" s="171"/>
      <c r="U53" s="171"/>
      <c r="V53" s="191"/>
      <c r="W53" s="252"/>
      <c r="X53" s="171"/>
      <c r="Y53" s="171"/>
      <c r="Z53" s="171"/>
      <c r="AA53" s="171"/>
      <c r="AB53" s="191"/>
      <c r="AC53" s="252"/>
    </row>
    <row r="54" spans="1:29" ht="12.75" hidden="1" outlineLevel="1">
      <c r="A54" s="264"/>
      <c r="B54" s="171"/>
      <c r="C54" s="171"/>
      <c r="D54" s="171"/>
      <c r="E54" s="170"/>
      <c r="F54" s="252"/>
      <c r="G54" s="171"/>
      <c r="H54" s="171"/>
      <c r="I54" s="171"/>
      <c r="J54" s="171"/>
      <c r="K54" s="170"/>
      <c r="L54" s="171"/>
      <c r="M54" s="171"/>
      <c r="N54" s="171"/>
      <c r="O54" s="171"/>
      <c r="P54" s="170"/>
      <c r="Q54" s="252"/>
      <c r="R54" s="171"/>
      <c r="S54" s="171"/>
      <c r="T54" s="171"/>
      <c r="U54" s="171"/>
      <c r="V54" s="170"/>
      <c r="W54" s="252"/>
      <c r="X54" s="171"/>
      <c r="Y54" s="171"/>
      <c r="Z54" s="171"/>
      <c r="AA54" s="171"/>
      <c r="AB54" s="170"/>
      <c r="AC54" s="252"/>
    </row>
    <row r="55" spans="1:29" ht="12.75" hidden="1" outlineLevel="1">
      <c r="A55" s="264"/>
      <c r="B55" s="171"/>
      <c r="C55" s="171"/>
      <c r="D55" s="171"/>
      <c r="E55" s="170"/>
      <c r="F55" s="252"/>
      <c r="G55" s="171"/>
      <c r="H55" s="171"/>
      <c r="I55" s="171"/>
      <c r="J55" s="171"/>
      <c r="K55" s="170"/>
      <c r="L55" s="171"/>
      <c r="M55" s="171"/>
      <c r="N55" s="171"/>
      <c r="O55" s="171"/>
      <c r="P55" s="170"/>
      <c r="Q55" s="252"/>
      <c r="R55" s="171"/>
      <c r="S55" s="171"/>
      <c r="T55" s="171"/>
      <c r="U55" s="171"/>
      <c r="V55" s="170"/>
      <c r="W55" s="252"/>
      <c r="X55" s="171"/>
      <c r="Y55" s="171"/>
      <c r="Z55" s="171"/>
      <c r="AA55" s="171"/>
      <c r="AB55" s="170"/>
      <c r="AC55" s="252"/>
    </row>
    <row r="56" spans="1:29" ht="13.5" hidden="1" outlineLevel="1" thickBot="1">
      <c r="A56" s="264"/>
      <c r="B56" s="171"/>
      <c r="C56" s="171"/>
      <c r="D56" s="171"/>
      <c r="E56" s="170"/>
      <c r="F56" s="252"/>
      <c r="G56" s="171"/>
      <c r="H56" s="171"/>
      <c r="I56" s="171"/>
      <c r="J56" s="171"/>
      <c r="K56" s="170"/>
      <c r="L56" s="171"/>
      <c r="M56" s="171"/>
      <c r="N56" s="171"/>
      <c r="O56" s="171"/>
      <c r="P56" s="170"/>
      <c r="Q56" s="252"/>
      <c r="R56" s="171"/>
      <c r="S56" s="171"/>
      <c r="T56" s="171"/>
      <c r="U56" s="171"/>
      <c r="V56" s="170"/>
      <c r="W56" s="252"/>
      <c r="X56" s="171"/>
      <c r="Y56" s="171"/>
      <c r="Z56" s="171"/>
      <c r="AA56" s="171"/>
      <c r="AB56" s="170"/>
      <c r="AC56" s="252"/>
    </row>
    <row r="57" spans="1:29" ht="16.5" hidden="1" outlineLevel="1" thickBot="1">
      <c r="A57" s="1057" t="s">
        <v>113</v>
      </c>
      <c r="B57" s="1058"/>
      <c r="C57" s="1058"/>
      <c r="D57" s="1058"/>
      <c r="E57" s="1058"/>
      <c r="F57" s="660"/>
      <c r="G57" s="1058" t="s">
        <v>113</v>
      </c>
      <c r="H57" s="1058"/>
      <c r="I57" s="1058"/>
      <c r="J57" s="1058"/>
      <c r="K57" s="1058"/>
      <c r="L57" s="1058" t="s">
        <v>113</v>
      </c>
      <c r="M57" s="1058"/>
      <c r="N57" s="1058"/>
      <c r="O57" s="1058"/>
      <c r="P57" s="1058"/>
      <c r="Q57" s="251"/>
      <c r="R57" s="1058" t="s">
        <v>113</v>
      </c>
      <c r="S57" s="1058"/>
      <c r="T57" s="1058"/>
      <c r="U57" s="1058"/>
      <c r="V57" s="1058"/>
      <c r="W57" s="251"/>
      <c r="X57" s="1058" t="s">
        <v>113</v>
      </c>
      <c r="Y57" s="1058"/>
      <c r="Z57" s="1058"/>
      <c r="AA57" s="1058"/>
      <c r="AB57" s="1058"/>
      <c r="AC57" s="251"/>
    </row>
    <row r="58" spans="1:29" ht="36" customHeight="1" hidden="1" outlineLevel="1" thickBot="1">
      <c r="A58" s="1061" t="s">
        <v>114</v>
      </c>
      <c r="B58" s="1062"/>
      <c r="C58" s="1062"/>
      <c r="D58" s="1062"/>
      <c r="E58" s="1062"/>
      <c r="F58" s="251"/>
      <c r="G58" s="1062" t="s">
        <v>114</v>
      </c>
      <c r="H58" s="1062"/>
      <c r="I58" s="1062"/>
      <c r="J58" s="1062"/>
      <c r="K58" s="1062"/>
      <c r="L58" s="1062" t="s">
        <v>360</v>
      </c>
      <c r="M58" s="1062"/>
      <c r="N58" s="1062"/>
      <c r="O58" s="1062"/>
      <c r="P58" s="1062"/>
      <c r="Q58" s="251"/>
      <c r="R58" s="1062" t="s">
        <v>360</v>
      </c>
      <c r="S58" s="1062"/>
      <c r="T58" s="1062"/>
      <c r="U58" s="1062"/>
      <c r="V58" s="1062"/>
      <c r="W58" s="251"/>
      <c r="X58" s="1062" t="s">
        <v>360</v>
      </c>
      <c r="Y58" s="1062"/>
      <c r="Z58" s="1062"/>
      <c r="AA58" s="1062"/>
      <c r="AB58" s="1062"/>
      <c r="AC58" s="251"/>
    </row>
    <row r="59" spans="1:29" ht="16.5" hidden="1" outlineLevel="1" thickBot="1">
      <c r="A59" s="175"/>
      <c r="B59" s="176"/>
      <c r="C59" s="176"/>
      <c r="D59" s="174"/>
      <c r="E59" s="174"/>
      <c r="F59" s="252"/>
      <c r="G59" s="174"/>
      <c r="H59" s="176"/>
      <c r="I59" s="176"/>
      <c r="J59" s="174"/>
      <c r="K59" s="174"/>
      <c r="L59" s="174"/>
      <c r="M59" s="176"/>
      <c r="N59" s="176"/>
      <c r="O59" s="174"/>
      <c r="P59" s="174"/>
      <c r="Q59" s="252"/>
      <c r="R59" s="174"/>
      <c r="S59" s="176"/>
      <c r="T59" s="176"/>
      <c r="U59" s="174"/>
      <c r="V59" s="174"/>
      <c r="W59" s="252"/>
      <c r="X59" s="174"/>
      <c r="Y59" s="176"/>
      <c r="Z59" s="176"/>
      <c r="AA59" s="174"/>
      <c r="AB59" s="174"/>
      <c r="AC59" s="252"/>
    </row>
    <row r="60" spans="1:29" ht="26.25" hidden="1" outlineLevel="1" thickBot="1">
      <c r="A60" s="489" t="s">
        <v>96</v>
      </c>
      <c r="B60" s="576" t="s">
        <v>97</v>
      </c>
      <c r="C60" s="577" t="s">
        <v>98</v>
      </c>
      <c r="D60" s="489" t="s">
        <v>99</v>
      </c>
      <c r="E60" s="97"/>
      <c r="F60" s="252"/>
      <c r="G60" s="565" t="s">
        <v>96</v>
      </c>
      <c r="H60" s="576" t="s">
        <v>97</v>
      </c>
      <c r="I60" s="577" t="s">
        <v>98</v>
      </c>
      <c r="J60" s="489" t="s">
        <v>99</v>
      </c>
      <c r="K60" s="97"/>
      <c r="L60" s="565" t="s">
        <v>96</v>
      </c>
      <c r="M60" s="576" t="s">
        <v>97</v>
      </c>
      <c r="N60" s="577" t="s">
        <v>98</v>
      </c>
      <c r="O60" s="489" t="s">
        <v>99</v>
      </c>
      <c r="P60" s="97"/>
      <c r="Q60" s="252"/>
      <c r="R60" s="565" t="s">
        <v>96</v>
      </c>
      <c r="S60" s="576" t="s">
        <v>97</v>
      </c>
      <c r="T60" s="577" t="s">
        <v>98</v>
      </c>
      <c r="U60" s="489" t="s">
        <v>99</v>
      </c>
      <c r="V60" s="97"/>
      <c r="W60" s="252"/>
      <c r="X60" s="565" t="s">
        <v>96</v>
      </c>
      <c r="Y60" s="576" t="s">
        <v>97</v>
      </c>
      <c r="Z60" s="577" t="s">
        <v>98</v>
      </c>
      <c r="AA60" s="489" t="s">
        <v>99</v>
      </c>
      <c r="AB60" s="97"/>
      <c r="AC60" s="252"/>
    </row>
    <row r="61" spans="1:29" ht="12.75" hidden="1" outlineLevel="1">
      <c r="A61" s="555">
        <v>4</v>
      </c>
      <c r="B61" s="178"/>
      <c r="C61" s="178"/>
      <c r="D61" s="532">
        <f>B61+C61</f>
        <v>0</v>
      </c>
      <c r="E61" s="97"/>
      <c r="F61" s="252"/>
      <c r="G61" s="561">
        <v>4</v>
      </c>
      <c r="H61" s="178"/>
      <c r="I61" s="178"/>
      <c r="J61" s="532">
        <f>H61+I61</f>
        <v>0</v>
      </c>
      <c r="K61" s="97"/>
      <c r="L61" s="561">
        <v>4</v>
      </c>
      <c r="M61" s="178"/>
      <c r="N61" s="178"/>
      <c r="O61" s="532">
        <f>M61+N61</f>
        <v>0</v>
      </c>
      <c r="P61" s="97"/>
      <c r="Q61" s="252"/>
      <c r="R61" s="561">
        <v>4</v>
      </c>
      <c r="S61" s="178"/>
      <c r="T61" s="178"/>
      <c r="U61" s="532">
        <f>S61+T61</f>
        <v>0</v>
      </c>
      <c r="V61" s="97"/>
      <c r="W61" s="252"/>
      <c r="X61" s="561">
        <v>4</v>
      </c>
      <c r="Y61" s="178"/>
      <c r="Z61" s="178"/>
      <c r="AA61" s="532">
        <f>Y61+Z61</f>
        <v>0</v>
      </c>
      <c r="AB61" s="97"/>
      <c r="AC61" s="252"/>
    </row>
    <row r="62" spans="1:29" ht="12.75" hidden="1" outlineLevel="1">
      <c r="A62" s="531">
        <v>5</v>
      </c>
      <c r="B62" s="178"/>
      <c r="C62" s="180"/>
      <c r="D62" s="533">
        <f>B62+C62</f>
        <v>0</v>
      </c>
      <c r="E62" s="97"/>
      <c r="F62" s="252"/>
      <c r="G62" s="562">
        <v>5</v>
      </c>
      <c r="H62" s="178"/>
      <c r="I62" s="180"/>
      <c r="J62" s="533">
        <f>H62+I62</f>
        <v>0</v>
      </c>
      <c r="K62" s="97"/>
      <c r="L62" s="562">
        <v>5</v>
      </c>
      <c r="M62" s="178"/>
      <c r="N62" s="180"/>
      <c r="O62" s="533">
        <f>M62+N62</f>
        <v>0</v>
      </c>
      <c r="P62" s="97"/>
      <c r="Q62" s="252"/>
      <c r="R62" s="562">
        <v>5</v>
      </c>
      <c r="S62" s="178"/>
      <c r="T62" s="178"/>
      <c r="U62" s="533">
        <f>S62+T62</f>
        <v>0</v>
      </c>
      <c r="V62" s="97"/>
      <c r="W62" s="252"/>
      <c r="X62" s="562">
        <v>5</v>
      </c>
      <c r="Y62" s="178"/>
      <c r="Z62" s="178"/>
      <c r="AA62" s="533">
        <f>Y62+Z62</f>
        <v>0</v>
      </c>
      <c r="AB62" s="97"/>
      <c r="AC62" s="252"/>
    </row>
    <row r="63" spans="1:29" ht="12.75" hidden="1" outlineLevel="1">
      <c r="A63" s="531">
        <v>6</v>
      </c>
      <c r="B63" s="178"/>
      <c r="C63" s="180"/>
      <c r="D63" s="533">
        <f>B63+C63</f>
        <v>0</v>
      </c>
      <c r="E63" s="97"/>
      <c r="F63" s="252"/>
      <c r="G63" s="562">
        <v>6</v>
      </c>
      <c r="H63" s="178"/>
      <c r="I63" s="180"/>
      <c r="J63" s="533">
        <f>H63+I63</f>
        <v>0</v>
      </c>
      <c r="K63" s="97"/>
      <c r="L63" s="562">
        <v>6</v>
      </c>
      <c r="M63" s="178"/>
      <c r="N63" s="180"/>
      <c r="O63" s="533">
        <f>M63+N63</f>
        <v>0</v>
      </c>
      <c r="P63" s="97"/>
      <c r="Q63" s="252"/>
      <c r="R63" s="562">
        <v>6</v>
      </c>
      <c r="S63" s="178"/>
      <c r="T63" s="178"/>
      <c r="U63" s="533">
        <f>S63+T63</f>
        <v>0</v>
      </c>
      <c r="V63" s="97"/>
      <c r="W63" s="252"/>
      <c r="X63" s="562">
        <v>6</v>
      </c>
      <c r="Y63" s="178"/>
      <c r="Z63" s="178"/>
      <c r="AA63" s="533">
        <f>Y63+Z63</f>
        <v>0</v>
      </c>
      <c r="AB63" s="97"/>
      <c r="AC63" s="252"/>
    </row>
    <row r="64" spans="1:29" ht="12.75" hidden="1" outlineLevel="1">
      <c r="A64" s="531">
        <v>7</v>
      </c>
      <c r="B64" s="178"/>
      <c r="C64" s="180"/>
      <c r="D64" s="533">
        <f>B64+C64</f>
        <v>0</v>
      </c>
      <c r="E64" s="97"/>
      <c r="F64" s="252"/>
      <c r="G64" s="562">
        <v>7</v>
      </c>
      <c r="H64" s="178"/>
      <c r="I64" s="180"/>
      <c r="J64" s="533">
        <f>H64+I64</f>
        <v>0</v>
      </c>
      <c r="K64" s="97"/>
      <c r="L64" s="562">
        <v>7</v>
      </c>
      <c r="M64" s="178"/>
      <c r="N64" s="180"/>
      <c r="O64" s="533">
        <f>M64+N64</f>
        <v>0</v>
      </c>
      <c r="P64" s="97"/>
      <c r="Q64" s="252"/>
      <c r="R64" s="562">
        <v>7</v>
      </c>
      <c r="S64" s="178"/>
      <c r="T64" s="178"/>
      <c r="U64" s="533">
        <f>S64+T64</f>
        <v>0</v>
      </c>
      <c r="V64" s="97"/>
      <c r="W64" s="252"/>
      <c r="X64" s="562">
        <v>7</v>
      </c>
      <c r="Y64" s="178"/>
      <c r="Z64" s="178"/>
      <c r="AA64" s="533">
        <f>Y64+Z64</f>
        <v>0</v>
      </c>
      <c r="AB64" s="97"/>
      <c r="AC64" s="252"/>
    </row>
    <row r="65" spans="1:29" ht="13.5" hidden="1" outlineLevel="1" thickBot="1">
      <c r="A65" s="575">
        <v>8</v>
      </c>
      <c r="B65" s="178"/>
      <c r="C65" s="180"/>
      <c r="D65" s="534">
        <f>B65+C65</f>
        <v>0</v>
      </c>
      <c r="E65" s="97"/>
      <c r="F65" s="252"/>
      <c r="G65" s="578">
        <v>8</v>
      </c>
      <c r="H65" s="178"/>
      <c r="I65" s="180"/>
      <c r="J65" s="534">
        <f>H65+I65</f>
        <v>0</v>
      </c>
      <c r="K65" s="97"/>
      <c r="L65" s="578">
        <v>8</v>
      </c>
      <c r="M65" s="178"/>
      <c r="N65" s="180"/>
      <c r="O65" s="534">
        <f>M65+N65</f>
        <v>0</v>
      </c>
      <c r="P65" s="97"/>
      <c r="Q65" s="252"/>
      <c r="R65" s="578">
        <v>8</v>
      </c>
      <c r="S65" s="178"/>
      <c r="T65" s="178"/>
      <c r="U65" s="534">
        <f>S65+T65</f>
        <v>0</v>
      </c>
      <c r="V65" s="97"/>
      <c r="W65" s="252"/>
      <c r="X65" s="578">
        <v>8</v>
      </c>
      <c r="Y65" s="178"/>
      <c r="Z65" s="178"/>
      <c r="AA65" s="534">
        <f>Y65+Z65</f>
        <v>0</v>
      </c>
      <c r="AB65" s="97"/>
      <c r="AC65" s="252"/>
    </row>
    <row r="66" spans="1:29" ht="13.5" hidden="1" outlineLevel="1" thickBot="1">
      <c r="A66" s="556" t="s">
        <v>115</v>
      </c>
      <c r="B66" s="536">
        <f>SUM(B61:B65)</f>
        <v>0</v>
      </c>
      <c r="C66" s="537">
        <f>SUM(C61:C65)</f>
        <v>0</v>
      </c>
      <c r="D66" s="539">
        <f>SUM(D61:D65)</f>
        <v>0</v>
      </c>
      <c r="E66" s="97"/>
      <c r="F66" s="252"/>
      <c r="G66" s="563" t="s">
        <v>115</v>
      </c>
      <c r="H66" s="536">
        <f>SUM(H61:H65)</f>
        <v>0</v>
      </c>
      <c r="I66" s="537">
        <f>SUM(I61:I65)</f>
        <v>0</v>
      </c>
      <c r="J66" s="539">
        <f>SUM(J61:J65)</f>
        <v>0</v>
      </c>
      <c r="K66" s="97"/>
      <c r="L66" s="563" t="s">
        <v>115</v>
      </c>
      <c r="M66" s="536">
        <f>SUM(M61:M65)</f>
        <v>0</v>
      </c>
      <c r="N66" s="537">
        <f>SUM(N61:N65)</f>
        <v>0</v>
      </c>
      <c r="O66" s="539">
        <f>SUM(O61:O65)</f>
        <v>0</v>
      </c>
      <c r="P66" s="97"/>
      <c r="Q66" s="252"/>
      <c r="R66" s="563" t="s">
        <v>115</v>
      </c>
      <c r="S66" s="536">
        <f>SUM(S61:S65)</f>
        <v>0</v>
      </c>
      <c r="T66" s="537">
        <f>SUM(T61:T65)</f>
        <v>0</v>
      </c>
      <c r="U66" s="539">
        <f>SUM(U61:U65)</f>
        <v>0</v>
      </c>
      <c r="V66" s="97"/>
      <c r="W66" s="252"/>
      <c r="X66" s="563" t="s">
        <v>115</v>
      </c>
      <c r="Y66" s="536">
        <f>SUM(Y61:Y65)</f>
        <v>0</v>
      </c>
      <c r="Z66" s="537">
        <f>SUM(Z61:Z65)</f>
        <v>0</v>
      </c>
      <c r="AA66" s="539">
        <f>SUM(AA61:AA65)</f>
        <v>0</v>
      </c>
      <c r="AB66" s="97"/>
      <c r="AC66" s="252"/>
    </row>
    <row r="67" spans="1:29" ht="13.5" hidden="1" outlineLevel="1" thickBot="1">
      <c r="A67" s="557" t="s">
        <v>102</v>
      </c>
      <c r="B67" s="538">
        <v>1</v>
      </c>
      <c r="C67" s="538">
        <v>0.4</v>
      </c>
      <c r="D67" s="97"/>
      <c r="E67" s="97"/>
      <c r="F67" s="252"/>
      <c r="G67" s="564" t="s">
        <v>102</v>
      </c>
      <c r="H67" s="538">
        <v>1</v>
      </c>
      <c r="I67" s="538">
        <v>0.4</v>
      </c>
      <c r="J67" s="97"/>
      <c r="K67" s="97"/>
      <c r="L67" s="564" t="s">
        <v>102</v>
      </c>
      <c r="M67" s="538">
        <v>1</v>
      </c>
      <c r="N67" s="538">
        <v>0.4</v>
      </c>
      <c r="O67" s="97"/>
      <c r="P67" s="97"/>
      <c r="Q67" s="252"/>
      <c r="R67" s="564" t="s">
        <v>102</v>
      </c>
      <c r="S67" s="538">
        <v>1</v>
      </c>
      <c r="T67" s="538">
        <v>0.4</v>
      </c>
      <c r="U67" s="97"/>
      <c r="V67" s="97"/>
      <c r="W67" s="252"/>
      <c r="X67" s="564" t="s">
        <v>102</v>
      </c>
      <c r="Y67" s="538">
        <v>1</v>
      </c>
      <c r="Z67" s="538">
        <v>0.4</v>
      </c>
      <c r="AA67" s="97"/>
      <c r="AB67" s="97"/>
      <c r="AC67" s="252"/>
    </row>
    <row r="68" spans="1:29" ht="13.5" hidden="1" outlineLevel="1" thickBot="1">
      <c r="A68" s="489" t="s">
        <v>116</v>
      </c>
      <c r="B68" s="539">
        <f>B66*B67</f>
        <v>0</v>
      </c>
      <c r="C68" s="627">
        <f>C66*C67</f>
        <v>0</v>
      </c>
      <c r="D68" s="628">
        <f>B68+C68</f>
        <v>0</v>
      </c>
      <c r="E68" s="97"/>
      <c r="F68" s="252"/>
      <c r="G68" s="565" t="s">
        <v>116</v>
      </c>
      <c r="H68" s="539">
        <f>H66*H67</f>
        <v>0</v>
      </c>
      <c r="I68" s="627">
        <f>I66*I67</f>
        <v>0</v>
      </c>
      <c r="J68" s="628">
        <f>H68+I68</f>
        <v>0</v>
      </c>
      <c r="K68" s="97"/>
      <c r="L68" s="565" t="s">
        <v>116</v>
      </c>
      <c r="M68" s="539">
        <f>M66*M67</f>
        <v>0</v>
      </c>
      <c r="N68" s="627">
        <f>N66*N67</f>
        <v>0</v>
      </c>
      <c r="O68" s="628">
        <f>M68+N68</f>
        <v>0</v>
      </c>
      <c r="P68" s="97"/>
      <c r="Q68" s="252"/>
      <c r="R68" s="565" t="s">
        <v>116</v>
      </c>
      <c r="S68" s="539">
        <f>S66*S67</f>
        <v>0</v>
      </c>
      <c r="T68" s="627">
        <f>T66*T67</f>
        <v>0</v>
      </c>
      <c r="U68" s="628">
        <f>S68+T68</f>
        <v>0</v>
      </c>
      <c r="V68" s="97"/>
      <c r="W68" s="252"/>
      <c r="X68" s="565" t="s">
        <v>116</v>
      </c>
      <c r="Y68" s="539">
        <f>Y66*Y67</f>
        <v>0</v>
      </c>
      <c r="Z68" s="627">
        <f>Z66*Z67</f>
        <v>0</v>
      </c>
      <c r="AA68" s="628">
        <f>Y68+Z68</f>
        <v>0</v>
      </c>
      <c r="AB68" s="97"/>
      <c r="AC68" s="252"/>
    </row>
    <row r="69" spans="1:29" ht="12.75" hidden="1" outlineLevel="1">
      <c r="A69" s="181"/>
      <c r="B69" s="182"/>
      <c r="C69" s="107"/>
      <c r="D69" s="182"/>
      <c r="E69" s="107"/>
      <c r="F69" s="252"/>
      <c r="G69" s="182"/>
      <c r="H69" s="182"/>
      <c r="I69" s="107"/>
      <c r="J69" s="182"/>
      <c r="K69" s="107"/>
      <c r="L69" s="182"/>
      <c r="M69" s="182"/>
      <c r="N69" s="107"/>
      <c r="O69" s="182"/>
      <c r="P69" s="107"/>
      <c r="Q69" s="252"/>
      <c r="R69" s="182"/>
      <c r="S69" s="182"/>
      <c r="T69" s="107"/>
      <c r="U69" s="182"/>
      <c r="V69" s="107"/>
      <c r="W69" s="252"/>
      <c r="X69" s="182"/>
      <c r="Y69" s="182"/>
      <c r="Z69" s="107"/>
      <c r="AA69" s="182"/>
      <c r="AB69" s="107"/>
      <c r="AC69" s="252"/>
    </row>
    <row r="70" spans="1:29" ht="13.5" hidden="1" outlineLevel="1" thickBot="1">
      <c r="A70" s="181"/>
      <c r="B70" s="182"/>
      <c r="C70" s="107"/>
      <c r="D70" s="182"/>
      <c r="E70" s="107"/>
      <c r="F70" s="252"/>
      <c r="G70" s="182"/>
      <c r="H70" s="182"/>
      <c r="I70" s="107"/>
      <c r="J70" s="182"/>
      <c r="K70" s="107"/>
      <c r="L70" s="182"/>
      <c r="M70" s="182"/>
      <c r="N70" s="107"/>
      <c r="O70" s="182"/>
      <c r="P70" s="107"/>
      <c r="Q70" s="252"/>
      <c r="R70" s="182"/>
      <c r="S70" s="182"/>
      <c r="T70" s="107"/>
      <c r="U70" s="182"/>
      <c r="V70" s="107"/>
      <c r="W70" s="252"/>
      <c r="X70" s="182"/>
      <c r="Y70" s="182"/>
      <c r="Z70" s="107"/>
      <c r="AA70" s="182"/>
      <c r="AB70" s="107"/>
      <c r="AC70" s="252"/>
    </row>
    <row r="71" spans="1:29" ht="13.5" hidden="1" outlineLevel="1" thickBot="1">
      <c r="A71" s="1059" t="s">
        <v>117</v>
      </c>
      <c r="B71" s="1060"/>
      <c r="C71" s="107"/>
      <c r="D71" s="182"/>
      <c r="E71" s="107"/>
      <c r="F71" s="252"/>
      <c r="G71" s="1086" t="s">
        <v>117</v>
      </c>
      <c r="H71" s="1060"/>
      <c r="I71" s="107"/>
      <c r="J71" s="182"/>
      <c r="K71" s="107"/>
      <c r="L71" s="1086" t="s">
        <v>117</v>
      </c>
      <c r="M71" s="1060"/>
      <c r="N71" s="107"/>
      <c r="O71" s="182"/>
      <c r="P71" s="107"/>
      <c r="Q71" s="252"/>
      <c r="R71" s="1086" t="s">
        <v>117</v>
      </c>
      <c r="S71" s="1060"/>
      <c r="T71" s="107"/>
      <c r="U71" s="182"/>
      <c r="V71" s="107"/>
      <c r="W71" s="252"/>
      <c r="X71" s="1086" t="s">
        <v>117</v>
      </c>
      <c r="Y71" s="1060"/>
      <c r="Z71" s="107"/>
      <c r="AA71" s="182"/>
      <c r="AB71" s="107"/>
      <c r="AC71" s="252"/>
    </row>
    <row r="72" spans="1:29" ht="12.75" hidden="1" outlineLevel="1">
      <c r="A72" s="566" t="s">
        <v>295</v>
      </c>
      <c r="B72" s="629">
        <f>D68</f>
        <v>0</v>
      </c>
      <c r="C72" s="107"/>
      <c r="D72" s="182"/>
      <c r="E72" s="107"/>
      <c r="F72" s="252"/>
      <c r="G72" s="570" t="s">
        <v>295</v>
      </c>
      <c r="H72" s="630">
        <f>J68</f>
        <v>0</v>
      </c>
      <c r="I72" s="107"/>
      <c r="J72" s="182"/>
      <c r="K72" s="107"/>
      <c r="L72" s="570" t="s">
        <v>295</v>
      </c>
      <c r="M72" s="630">
        <f>O68</f>
        <v>0</v>
      </c>
      <c r="N72" s="107"/>
      <c r="O72" s="182"/>
      <c r="P72" s="107"/>
      <c r="Q72" s="252"/>
      <c r="R72" s="570" t="s">
        <v>295</v>
      </c>
      <c r="S72" s="630">
        <f>U68</f>
        <v>0</v>
      </c>
      <c r="T72" s="107"/>
      <c r="U72" s="182"/>
      <c r="V72" s="107"/>
      <c r="W72" s="252"/>
      <c r="X72" s="570" t="s">
        <v>295</v>
      </c>
      <c r="Y72" s="630">
        <f>AA68</f>
        <v>0</v>
      </c>
      <c r="Z72" s="107"/>
      <c r="AA72" s="182"/>
      <c r="AB72" s="107"/>
      <c r="AC72" s="252"/>
    </row>
    <row r="73" spans="1:29" ht="13.5" hidden="1" outlineLevel="1" thickBot="1">
      <c r="A73" s="567" t="s">
        <v>118</v>
      </c>
      <c r="B73" s="541">
        <f>B13</f>
        <v>5016.8</v>
      </c>
      <c r="C73" s="107"/>
      <c r="D73" s="182"/>
      <c r="E73" s="107"/>
      <c r="F73" s="252"/>
      <c r="G73" s="571" t="s">
        <v>118</v>
      </c>
      <c r="H73" s="541">
        <f>H13</f>
        <v>5016.8</v>
      </c>
      <c r="I73" s="107"/>
      <c r="J73" s="182"/>
      <c r="K73" s="107"/>
      <c r="L73" s="571" t="s">
        <v>118</v>
      </c>
      <c r="M73" s="541">
        <f>M13</f>
        <v>5016.8</v>
      </c>
      <c r="N73" s="107"/>
      <c r="O73" s="182"/>
      <c r="P73" s="107"/>
      <c r="Q73" s="252"/>
      <c r="R73" s="571" t="s">
        <v>118</v>
      </c>
      <c r="S73" s="541">
        <f>S13</f>
        <v>5016.8</v>
      </c>
      <c r="T73" s="107"/>
      <c r="U73" s="182"/>
      <c r="V73" s="107"/>
      <c r="W73" s="252"/>
      <c r="X73" s="571" t="s">
        <v>118</v>
      </c>
      <c r="Y73" s="541">
        <f>Y13</f>
        <v>5016.8</v>
      </c>
      <c r="Z73" s="107"/>
      <c r="AA73" s="182"/>
      <c r="AB73" s="107"/>
      <c r="AC73" s="252"/>
    </row>
    <row r="74" spans="1:29" ht="15.75" hidden="1" outlineLevel="1" thickBot="1">
      <c r="A74" s="535" t="s">
        <v>119</v>
      </c>
      <c r="B74" s="542">
        <f>B72*B73</f>
        <v>0</v>
      </c>
      <c r="C74" s="107"/>
      <c r="D74" s="182"/>
      <c r="E74" s="107"/>
      <c r="F74" s="252"/>
      <c r="G74" s="572" t="s">
        <v>119</v>
      </c>
      <c r="H74" s="542">
        <f>H72*H73</f>
        <v>0</v>
      </c>
      <c r="I74" s="107"/>
      <c r="J74" s="182"/>
      <c r="K74" s="107"/>
      <c r="L74" s="572" t="s">
        <v>119</v>
      </c>
      <c r="M74" s="542">
        <f>M72*M73</f>
        <v>0</v>
      </c>
      <c r="N74" s="107"/>
      <c r="O74" s="182"/>
      <c r="P74" s="107"/>
      <c r="Q74" s="252"/>
      <c r="R74" s="572" t="s">
        <v>119</v>
      </c>
      <c r="S74" s="542">
        <f>S72*S73</f>
        <v>0</v>
      </c>
      <c r="T74" s="107"/>
      <c r="U74" s="182"/>
      <c r="V74" s="107"/>
      <c r="W74" s="252"/>
      <c r="X74" s="572" t="s">
        <v>119</v>
      </c>
      <c r="Y74" s="542">
        <f>Y72*Y73</f>
        <v>0</v>
      </c>
      <c r="Z74" s="107"/>
      <c r="AA74" s="182"/>
      <c r="AB74" s="107"/>
      <c r="AC74" s="252"/>
    </row>
    <row r="75" spans="1:29" ht="15" hidden="1" outlineLevel="1">
      <c r="A75" s="194"/>
      <c r="B75" s="195"/>
      <c r="C75" s="107"/>
      <c r="D75" s="107"/>
      <c r="E75" s="182"/>
      <c r="F75" s="253"/>
      <c r="G75" s="242"/>
      <c r="H75" s="195"/>
      <c r="I75" s="107"/>
      <c r="J75" s="107"/>
      <c r="K75" s="182"/>
      <c r="L75" s="242"/>
      <c r="M75" s="195"/>
      <c r="N75" s="107"/>
      <c r="O75" s="107"/>
      <c r="P75" s="182"/>
      <c r="Q75" s="253"/>
      <c r="R75" s="242"/>
      <c r="S75" s="195"/>
      <c r="T75" s="107"/>
      <c r="U75" s="107"/>
      <c r="V75" s="182"/>
      <c r="W75" s="253"/>
      <c r="X75" s="242"/>
      <c r="Y75" s="195"/>
      <c r="Z75" s="107"/>
      <c r="AA75" s="107"/>
      <c r="AB75" s="182"/>
      <c r="AC75" s="253"/>
    </row>
    <row r="76" spans="1:29" ht="15.75" hidden="1" outlineLevel="1" thickBot="1">
      <c r="A76" s="194"/>
      <c r="B76" s="195"/>
      <c r="C76" s="107"/>
      <c r="D76" s="107"/>
      <c r="E76" s="182"/>
      <c r="F76" s="253"/>
      <c r="G76" s="242"/>
      <c r="H76" s="195"/>
      <c r="I76" s="107"/>
      <c r="J76" s="107"/>
      <c r="K76" s="182"/>
      <c r="L76" s="242"/>
      <c r="M76" s="195"/>
      <c r="N76" s="107"/>
      <c r="O76" s="107"/>
      <c r="P76" s="182"/>
      <c r="Q76" s="253"/>
      <c r="R76" s="242"/>
      <c r="S76" s="195"/>
      <c r="T76" s="107"/>
      <c r="U76" s="107"/>
      <c r="V76" s="182"/>
      <c r="W76" s="253"/>
      <c r="X76" s="242"/>
      <c r="Y76" s="195"/>
      <c r="Z76" s="107"/>
      <c r="AA76" s="107"/>
      <c r="AB76" s="182"/>
      <c r="AC76" s="253"/>
    </row>
    <row r="77" spans="1:29" ht="13.5" hidden="1" outlineLevel="1" thickBot="1">
      <c r="A77" s="1059" t="s">
        <v>120</v>
      </c>
      <c r="B77" s="1060"/>
      <c r="C77" s="107"/>
      <c r="D77" s="107"/>
      <c r="E77" s="182"/>
      <c r="F77" s="251"/>
      <c r="G77" s="1086" t="s">
        <v>120</v>
      </c>
      <c r="H77" s="1060"/>
      <c r="I77" s="107"/>
      <c r="J77" s="107"/>
      <c r="K77" s="182"/>
      <c r="L77" s="1086" t="s">
        <v>120</v>
      </c>
      <c r="M77" s="1060"/>
      <c r="N77" s="107"/>
      <c r="O77" s="107"/>
      <c r="P77" s="182"/>
      <c r="Q77" s="251"/>
      <c r="R77" s="1086" t="s">
        <v>120</v>
      </c>
      <c r="S77" s="1060"/>
      <c r="T77" s="107"/>
      <c r="U77" s="107"/>
      <c r="V77" s="182"/>
      <c r="W77" s="251"/>
      <c r="X77" s="1086" t="s">
        <v>120</v>
      </c>
      <c r="Y77" s="1060"/>
      <c r="Z77" s="107"/>
      <c r="AA77" s="107"/>
      <c r="AB77" s="182"/>
      <c r="AC77" s="251"/>
    </row>
    <row r="78" spans="1:29" ht="12.75" hidden="1" outlineLevel="1">
      <c r="A78" s="566" t="s">
        <v>121</v>
      </c>
      <c r="B78" s="540">
        <f>D66</f>
        <v>0</v>
      </c>
      <c r="C78" s="107"/>
      <c r="D78" s="107"/>
      <c r="E78" s="182"/>
      <c r="F78" s="252"/>
      <c r="G78" s="570" t="s">
        <v>121</v>
      </c>
      <c r="H78" s="540">
        <f>J66</f>
        <v>0</v>
      </c>
      <c r="I78" s="107"/>
      <c r="J78" s="107"/>
      <c r="K78" s="182"/>
      <c r="L78" s="570" t="s">
        <v>121</v>
      </c>
      <c r="M78" s="540">
        <f>O66</f>
        <v>0</v>
      </c>
      <c r="N78" s="107"/>
      <c r="O78" s="107"/>
      <c r="P78" s="182"/>
      <c r="Q78" s="252"/>
      <c r="R78" s="570" t="s">
        <v>121</v>
      </c>
      <c r="S78" s="540">
        <f>U66</f>
        <v>0</v>
      </c>
      <c r="T78" s="107"/>
      <c r="U78" s="107"/>
      <c r="V78" s="182"/>
      <c r="W78" s="252"/>
      <c r="X78" s="570" t="s">
        <v>121</v>
      </c>
      <c r="Y78" s="540">
        <f>AA66</f>
        <v>0</v>
      </c>
      <c r="Z78" s="107"/>
      <c r="AA78" s="107"/>
      <c r="AB78" s="182"/>
      <c r="AC78" s="252"/>
    </row>
    <row r="79" spans="1:29" ht="13.5" hidden="1" outlineLevel="1" thickBot="1">
      <c r="A79" s="567" t="s">
        <v>122</v>
      </c>
      <c r="B79" s="541">
        <f>B14</f>
        <v>1973.81</v>
      </c>
      <c r="C79" s="107"/>
      <c r="D79" s="107"/>
      <c r="E79" s="107"/>
      <c r="F79" s="252"/>
      <c r="G79" s="571" t="s">
        <v>122</v>
      </c>
      <c r="H79" s="541">
        <f>H14</f>
        <v>1973.81</v>
      </c>
      <c r="I79" s="107"/>
      <c r="J79" s="107"/>
      <c r="K79" s="107"/>
      <c r="L79" s="571" t="s">
        <v>122</v>
      </c>
      <c r="M79" s="541">
        <f>M14</f>
        <v>1973.81</v>
      </c>
      <c r="N79" s="107"/>
      <c r="O79" s="107"/>
      <c r="P79" s="107"/>
      <c r="Q79" s="252"/>
      <c r="R79" s="571" t="s">
        <v>122</v>
      </c>
      <c r="S79" s="541">
        <f>S14</f>
        <v>1973.81</v>
      </c>
      <c r="T79" s="107"/>
      <c r="U79" s="107"/>
      <c r="V79" s="107"/>
      <c r="W79" s="252"/>
      <c r="X79" s="571" t="s">
        <v>122</v>
      </c>
      <c r="Y79" s="541">
        <f>Y14</f>
        <v>1973.81</v>
      </c>
      <c r="Z79" s="107"/>
      <c r="AA79" s="107"/>
      <c r="AB79" s="107"/>
      <c r="AC79" s="252"/>
    </row>
    <row r="80" spans="1:29" ht="15.75" hidden="1" outlineLevel="1" thickBot="1">
      <c r="A80" s="535" t="s">
        <v>123</v>
      </c>
      <c r="B80" s="542">
        <f>B78*B79</f>
        <v>0</v>
      </c>
      <c r="C80" s="107"/>
      <c r="D80" s="107"/>
      <c r="E80" s="107"/>
      <c r="F80" s="252"/>
      <c r="G80" s="572" t="s">
        <v>123</v>
      </c>
      <c r="H80" s="542">
        <f>H78*H79</f>
        <v>0</v>
      </c>
      <c r="I80" s="107"/>
      <c r="J80" s="107"/>
      <c r="K80" s="107"/>
      <c r="L80" s="572" t="s">
        <v>123</v>
      </c>
      <c r="M80" s="542">
        <f>M78*M79</f>
        <v>0</v>
      </c>
      <c r="N80" s="107"/>
      <c r="O80" s="107"/>
      <c r="P80" s="107"/>
      <c r="Q80" s="252"/>
      <c r="R80" s="572" t="s">
        <v>123</v>
      </c>
      <c r="S80" s="542">
        <f>S78*S79</f>
        <v>0</v>
      </c>
      <c r="T80" s="107"/>
      <c r="U80" s="107"/>
      <c r="V80" s="107"/>
      <c r="W80" s="252"/>
      <c r="X80" s="572" t="s">
        <v>123</v>
      </c>
      <c r="Y80" s="542">
        <f>Y78*Y79</f>
        <v>0</v>
      </c>
      <c r="Z80" s="107"/>
      <c r="AA80" s="107"/>
      <c r="AB80" s="107"/>
      <c r="AC80" s="252"/>
    </row>
    <row r="81" spans="1:29" ht="12.75" hidden="1" outlineLevel="1">
      <c r="A81" s="196"/>
      <c r="B81" s="187"/>
      <c r="C81" s="187"/>
      <c r="D81" s="179"/>
      <c r="E81" s="191"/>
      <c r="F81" s="252"/>
      <c r="G81" s="187"/>
      <c r="H81" s="187"/>
      <c r="I81" s="187"/>
      <c r="J81" s="179"/>
      <c r="K81" s="191"/>
      <c r="L81" s="187"/>
      <c r="M81" s="187"/>
      <c r="N81" s="187"/>
      <c r="O81" s="179"/>
      <c r="P81" s="191"/>
      <c r="Q81" s="252"/>
      <c r="R81" s="187"/>
      <c r="S81" s="187"/>
      <c r="T81" s="187"/>
      <c r="U81" s="179"/>
      <c r="V81" s="191"/>
      <c r="W81" s="252"/>
      <c r="X81" s="187"/>
      <c r="Y81" s="187"/>
      <c r="Z81" s="187"/>
      <c r="AA81" s="179"/>
      <c r="AB81" s="191"/>
      <c r="AC81" s="252"/>
    </row>
    <row r="82" spans="1:29" ht="13.5" hidden="1" outlineLevel="1" thickBot="1">
      <c r="A82" s="196"/>
      <c r="B82" s="187"/>
      <c r="C82" s="187"/>
      <c r="D82" s="179"/>
      <c r="E82" s="191"/>
      <c r="F82" s="252"/>
      <c r="G82" s="187"/>
      <c r="H82" s="187"/>
      <c r="I82" s="187"/>
      <c r="J82" s="179"/>
      <c r="K82" s="191"/>
      <c r="L82" s="187"/>
      <c r="M82" s="187"/>
      <c r="N82" s="187"/>
      <c r="O82" s="179"/>
      <c r="P82" s="191"/>
      <c r="Q82" s="252"/>
      <c r="R82" s="187"/>
      <c r="S82" s="187"/>
      <c r="T82" s="187"/>
      <c r="U82" s="179"/>
      <c r="V82" s="191"/>
      <c r="W82" s="252"/>
      <c r="X82" s="187"/>
      <c r="Y82" s="187"/>
      <c r="Z82" s="187"/>
      <c r="AA82" s="179"/>
      <c r="AB82" s="191"/>
      <c r="AC82" s="252"/>
    </row>
    <row r="83" spans="1:29" ht="13.5" hidden="1" outlineLevel="1" thickBot="1">
      <c r="A83" s="1059" t="s">
        <v>124</v>
      </c>
      <c r="B83" s="1060"/>
      <c r="C83" s="187"/>
      <c r="D83" s="179"/>
      <c r="E83" s="191"/>
      <c r="F83" s="252"/>
      <c r="G83" s="1086" t="s">
        <v>124</v>
      </c>
      <c r="H83" s="1060"/>
      <c r="I83" s="187"/>
      <c r="J83" s="179"/>
      <c r="K83" s="191"/>
      <c r="L83" s="1086" t="s">
        <v>124</v>
      </c>
      <c r="M83" s="1060"/>
      <c r="N83" s="187"/>
      <c r="O83" s="179"/>
      <c r="P83" s="191"/>
      <c r="Q83" s="252"/>
      <c r="R83" s="1086" t="s">
        <v>124</v>
      </c>
      <c r="S83" s="1060"/>
      <c r="T83" s="187"/>
      <c r="U83" s="179"/>
      <c r="V83" s="191"/>
      <c r="W83" s="252"/>
      <c r="X83" s="1086" t="s">
        <v>124</v>
      </c>
      <c r="Y83" s="1060"/>
      <c r="Z83" s="187"/>
      <c r="AA83" s="179"/>
      <c r="AB83" s="191"/>
      <c r="AC83" s="252"/>
    </row>
    <row r="84" spans="1:29" ht="12.75" hidden="1" outlineLevel="1">
      <c r="A84" s="566" t="s">
        <v>119</v>
      </c>
      <c r="B84" s="544">
        <f>B74</f>
        <v>0</v>
      </c>
      <c r="C84" s="187"/>
      <c r="D84" s="179"/>
      <c r="E84" s="191"/>
      <c r="F84" s="252"/>
      <c r="G84" s="570" t="s">
        <v>119</v>
      </c>
      <c r="H84" s="544">
        <f>H74</f>
        <v>0</v>
      </c>
      <c r="I84" s="187"/>
      <c r="J84" s="179"/>
      <c r="K84" s="191"/>
      <c r="L84" s="570" t="s">
        <v>119</v>
      </c>
      <c r="M84" s="544">
        <f>M74</f>
        <v>0</v>
      </c>
      <c r="N84" s="187"/>
      <c r="O84" s="179"/>
      <c r="P84" s="191"/>
      <c r="Q84" s="252"/>
      <c r="R84" s="570" t="s">
        <v>119</v>
      </c>
      <c r="S84" s="544">
        <f>S74</f>
        <v>0</v>
      </c>
      <c r="T84" s="187"/>
      <c r="U84" s="179"/>
      <c r="V84" s="191"/>
      <c r="W84" s="252"/>
      <c r="X84" s="570" t="s">
        <v>119</v>
      </c>
      <c r="Y84" s="544">
        <f>Y74</f>
        <v>0</v>
      </c>
      <c r="Z84" s="187"/>
      <c r="AA84" s="179"/>
      <c r="AB84" s="191"/>
      <c r="AC84" s="252"/>
    </row>
    <row r="85" spans="1:29" ht="13.5" hidden="1" outlineLevel="1" thickBot="1">
      <c r="A85" s="566" t="s">
        <v>123</v>
      </c>
      <c r="B85" s="545">
        <f>B80</f>
        <v>0</v>
      </c>
      <c r="C85" s="187"/>
      <c r="D85" s="179"/>
      <c r="E85" s="191"/>
      <c r="F85" s="252"/>
      <c r="G85" s="570" t="s">
        <v>123</v>
      </c>
      <c r="H85" s="545">
        <f>H80</f>
        <v>0</v>
      </c>
      <c r="I85" s="187"/>
      <c r="J85" s="179"/>
      <c r="K85" s="191"/>
      <c r="L85" s="570" t="s">
        <v>123</v>
      </c>
      <c r="M85" s="545">
        <f>M80</f>
        <v>0</v>
      </c>
      <c r="N85" s="187"/>
      <c r="O85" s="179"/>
      <c r="P85" s="191"/>
      <c r="Q85" s="252"/>
      <c r="R85" s="570" t="s">
        <v>123</v>
      </c>
      <c r="S85" s="545">
        <f>S80</f>
        <v>0</v>
      </c>
      <c r="T85" s="187"/>
      <c r="U85" s="179"/>
      <c r="V85" s="191"/>
      <c r="W85" s="252"/>
      <c r="X85" s="570" t="s">
        <v>123</v>
      </c>
      <c r="Y85" s="545">
        <f>Y80</f>
        <v>0</v>
      </c>
      <c r="Z85" s="187"/>
      <c r="AA85" s="179"/>
      <c r="AB85" s="191"/>
      <c r="AC85" s="252"/>
    </row>
    <row r="86" spans="1:29" ht="15.75" hidden="1" outlineLevel="1" thickBot="1">
      <c r="A86" s="535" t="s">
        <v>125</v>
      </c>
      <c r="B86" s="542">
        <f>B84+B85</f>
        <v>0</v>
      </c>
      <c r="C86" s="187"/>
      <c r="D86" s="179"/>
      <c r="E86" s="191"/>
      <c r="F86" s="252"/>
      <c r="G86" s="572" t="s">
        <v>125</v>
      </c>
      <c r="H86" s="542">
        <f>H84+H85</f>
        <v>0</v>
      </c>
      <c r="I86" s="187"/>
      <c r="J86" s="179"/>
      <c r="K86" s="191"/>
      <c r="L86" s="572" t="s">
        <v>125</v>
      </c>
      <c r="M86" s="542">
        <f>M84+M85</f>
        <v>0</v>
      </c>
      <c r="N86" s="187"/>
      <c r="O86" s="179"/>
      <c r="P86" s="191"/>
      <c r="Q86" s="252"/>
      <c r="R86" s="572" t="s">
        <v>125</v>
      </c>
      <c r="S86" s="542">
        <f>S84+S85</f>
        <v>0</v>
      </c>
      <c r="T86" s="187"/>
      <c r="U86" s="179"/>
      <c r="V86" s="191"/>
      <c r="W86" s="252"/>
      <c r="X86" s="572" t="s">
        <v>125</v>
      </c>
      <c r="Y86" s="542">
        <f>Y84+Y85</f>
        <v>0</v>
      </c>
      <c r="Z86" s="187"/>
      <c r="AA86" s="179"/>
      <c r="AB86" s="191"/>
      <c r="AC86" s="252"/>
    </row>
    <row r="87" spans="1:29" ht="12.75" hidden="1" outlineLevel="1">
      <c r="A87" s="196"/>
      <c r="B87" s="187"/>
      <c r="C87" s="187"/>
      <c r="D87" s="179"/>
      <c r="E87" s="191"/>
      <c r="F87" s="252"/>
      <c r="G87" s="187"/>
      <c r="H87" s="187"/>
      <c r="I87" s="187"/>
      <c r="J87" s="179"/>
      <c r="K87" s="191"/>
      <c r="L87" s="187"/>
      <c r="M87" s="187"/>
      <c r="N87" s="187"/>
      <c r="O87" s="179"/>
      <c r="P87" s="191"/>
      <c r="Q87" s="252"/>
      <c r="R87" s="187"/>
      <c r="S87" s="187"/>
      <c r="T87" s="187"/>
      <c r="U87" s="179"/>
      <c r="V87" s="191"/>
      <c r="W87" s="252"/>
      <c r="X87" s="187"/>
      <c r="Y87" s="187"/>
      <c r="Z87" s="187"/>
      <c r="AA87" s="179"/>
      <c r="AB87" s="191"/>
      <c r="AC87" s="252"/>
    </row>
    <row r="88" spans="1:29" ht="12.75" hidden="1" outlineLevel="1">
      <c r="A88" s="196"/>
      <c r="B88" s="187"/>
      <c r="C88" s="187"/>
      <c r="D88" s="179"/>
      <c r="E88" s="191"/>
      <c r="F88" s="252"/>
      <c r="G88" s="187"/>
      <c r="H88" s="187"/>
      <c r="I88" s="187"/>
      <c r="J88" s="179"/>
      <c r="K88" s="191"/>
      <c r="L88" s="187"/>
      <c r="M88" s="187"/>
      <c r="N88" s="187"/>
      <c r="O88" s="179"/>
      <c r="P88" s="191"/>
      <c r="Q88" s="252"/>
      <c r="R88" s="187"/>
      <c r="S88" s="187"/>
      <c r="T88" s="187"/>
      <c r="U88" s="179"/>
      <c r="V88" s="191"/>
      <c r="W88" s="252"/>
      <c r="X88" s="187"/>
      <c r="Y88" s="187"/>
      <c r="Z88" s="187"/>
      <c r="AA88" s="179"/>
      <c r="AB88" s="191"/>
      <c r="AC88" s="252"/>
    </row>
    <row r="89" spans="1:29" ht="12.75" hidden="1" outlineLevel="1">
      <c r="A89" s="196"/>
      <c r="B89" s="187"/>
      <c r="C89" s="187"/>
      <c r="D89" s="179"/>
      <c r="E89" s="191"/>
      <c r="F89" s="252"/>
      <c r="G89" s="187"/>
      <c r="H89" s="187"/>
      <c r="I89" s="187"/>
      <c r="J89" s="179"/>
      <c r="K89" s="191"/>
      <c r="L89" s="187"/>
      <c r="M89" s="187"/>
      <c r="N89" s="187"/>
      <c r="O89" s="179"/>
      <c r="P89" s="191"/>
      <c r="Q89" s="252"/>
      <c r="R89" s="187"/>
      <c r="S89" s="187"/>
      <c r="T89" s="187"/>
      <c r="U89" s="179"/>
      <c r="V89" s="191"/>
      <c r="W89" s="252"/>
      <c r="X89" s="187"/>
      <c r="Y89" s="187"/>
      <c r="Z89" s="187"/>
      <c r="AA89" s="179"/>
      <c r="AB89" s="191"/>
      <c r="AC89" s="252"/>
    </row>
    <row r="90" spans="1:29" ht="13.5" hidden="1" outlineLevel="1" thickBot="1">
      <c r="A90" s="196"/>
      <c r="B90" s="187"/>
      <c r="C90" s="187"/>
      <c r="D90" s="179"/>
      <c r="E90" s="191"/>
      <c r="F90" s="252"/>
      <c r="G90" s="187"/>
      <c r="H90" s="187"/>
      <c r="I90" s="187"/>
      <c r="J90" s="179"/>
      <c r="K90" s="191"/>
      <c r="L90" s="187"/>
      <c r="M90" s="187"/>
      <c r="N90" s="187"/>
      <c r="O90" s="179"/>
      <c r="P90" s="191"/>
      <c r="Q90" s="252"/>
      <c r="R90" s="187"/>
      <c r="S90" s="187"/>
      <c r="T90" s="187"/>
      <c r="U90" s="179"/>
      <c r="V90" s="191"/>
      <c r="W90" s="252"/>
      <c r="X90" s="187"/>
      <c r="Y90" s="187"/>
      <c r="Z90" s="187"/>
      <c r="AA90" s="179"/>
      <c r="AB90" s="191"/>
      <c r="AC90" s="252"/>
    </row>
    <row r="91" spans="1:29" ht="16.5" customHeight="1" hidden="1" outlineLevel="1" thickBot="1">
      <c r="A91" s="1057" t="s">
        <v>286</v>
      </c>
      <c r="B91" s="1058"/>
      <c r="C91" s="1058"/>
      <c r="D91" s="1058"/>
      <c r="E91" s="1096"/>
      <c r="F91" s="661"/>
      <c r="G91" s="1057" t="s">
        <v>286</v>
      </c>
      <c r="H91" s="1058"/>
      <c r="I91" s="1058"/>
      <c r="J91" s="1058"/>
      <c r="K91" s="1096"/>
      <c r="L91" s="1057" t="s">
        <v>286</v>
      </c>
      <c r="M91" s="1058"/>
      <c r="N91" s="1058"/>
      <c r="O91" s="1058"/>
      <c r="P91" s="1096"/>
      <c r="Q91" s="252"/>
      <c r="R91" s="1057" t="s">
        <v>286</v>
      </c>
      <c r="S91" s="1058"/>
      <c r="T91" s="1058"/>
      <c r="U91" s="1058"/>
      <c r="V91" s="1096"/>
      <c r="W91" s="252"/>
      <c r="X91" s="1057" t="s">
        <v>286</v>
      </c>
      <c r="Y91" s="1058"/>
      <c r="Z91" s="1058"/>
      <c r="AA91" s="1058"/>
      <c r="AB91" s="1096"/>
      <c r="AC91" s="252"/>
    </row>
    <row r="92" spans="1:29" ht="34.5" customHeight="1" hidden="1" outlineLevel="1" thickBot="1">
      <c r="A92" s="1061" t="s">
        <v>446</v>
      </c>
      <c r="B92" s="1062"/>
      <c r="C92" s="1062"/>
      <c r="D92" s="1062"/>
      <c r="E92" s="1098"/>
      <c r="F92" s="662"/>
      <c r="G92" s="1061" t="s">
        <v>446</v>
      </c>
      <c r="H92" s="1062"/>
      <c r="I92" s="1062"/>
      <c r="J92" s="1062"/>
      <c r="K92" s="1098"/>
      <c r="L92" s="1061" t="s">
        <v>446</v>
      </c>
      <c r="M92" s="1062"/>
      <c r="N92" s="1062"/>
      <c r="O92" s="1062"/>
      <c r="P92" s="1098"/>
      <c r="Q92" s="252"/>
      <c r="R92" s="1061" t="s">
        <v>446</v>
      </c>
      <c r="S92" s="1062"/>
      <c r="T92" s="1062"/>
      <c r="U92" s="1062"/>
      <c r="V92" s="1098"/>
      <c r="W92" s="252"/>
      <c r="X92" s="1061" t="s">
        <v>446</v>
      </c>
      <c r="Y92" s="1062"/>
      <c r="Z92" s="1062"/>
      <c r="AA92" s="1062"/>
      <c r="AB92" s="1098"/>
      <c r="AC92" s="252"/>
    </row>
    <row r="93" spans="1:29" ht="16.5" hidden="1" outlineLevel="1" thickBot="1">
      <c r="A93" s="175"/>
      <c r="B93" s="176"/>
      <c r="C93" s="176"/>
      <c r="D93" s="174"/>
      <c r="E93" s="444"/>
      <c r="F93" s="663"/>
      <c r="G93" s="175"/>
      <c r="H93" s="176"/>
      <c r="I93" s="176"/>
      <c r="J93" s="174"/>
      <c r="K93" s="174"/>
      <c r="L93" s="175"/>
      <c r="M93" s="176"/>
      <c r="N93" s="176"/>
      <c r="O93" s="174"/>
      <c r="P93" s="174"/>
      <c r="Q93" s="252"/>
      <c r="R93" s="175"/>
      <c r="S93" s="176"/>
      <c r="T93" s="176"/>
      <c r="U93" s="174"/>
      <c r="V93" s="174"/>
      <c r="W93" s="252"/>
      <c r="X93" s="175"/>
      <c r="Y93" s="176"/>
      <c r="Z93" s="176"/>
      <c r="AA93" s="174"/>
      <c r="AB93" s="174"/>
      <c r="AC93" s="252"/>
    </row>
    <row r="94" spans="1:29" ht="26.25" hidden="1" outlineLevel="1" thickBot="1">
      <c r="A94" s="489" t="s">
        <v>96</v>
      </c>
      <c r="B94" s="938" t="s">
        <v>474</v>
      </c>
      <c r="C94" s="577" t="s">
        <v>128</v>
      </c>
      <c r="D94" s="489" t="s">
        <v>98</v>
      </c>
      <c r="E94" s="568" t="s">
        <v>39</v>
      </c>
      <c r="F94" s="664"/>
      <c r="G94" s="489" t="s">
        <v>96</v>
      </c>
      <c r="H94" s="576" t="str">
        <f>B94</f>
        <v>Gen Ed and  LRE1Students</v>
      </c>
      <c r="I94" s="625" t="s">
        <v>128</v>
      </c>
      <c r="J94" s="489" t="s">
        <v>349</v>
      </c>
      <c r="K94" s="568" t="s">
        <v>39</v>
      </c>
      <c r="L94" s="489" t="s">
        <v>96</v>
      </c>
      <c r="M94" s="576" t="str">
        <f>B94</f>
        <v>Gen Ed and  LRE1Students</v>
      </c>
      <c r="N94" s="577" t="str">
        <f>C94</f>
        <v>LRE2 Students</v>
      </c>
      <c r="O94" s="489" t="str">
        <f>D94</f>
        <v>LRE3 Students</v>
      </c>
      <c r="P94" s="489" t="str">
        <f>K94</f>
        <v>Total Enrollment</v>
      </c>
      <c r="Q94" s="252"/>
      <c r="R94" s="489" t="s">
        <v>96</v>
      </c>
      <c r="S94" s="938" t="str">
        <f>H94</f>
        <v>Gen Ed and  LRE1Students</v>
      </c>
      <c r="T94" s="939" t="s">
        <v>128</v>
      </c>
      <c r="U94" s="489" t="s">
        <v>98</v>
      </c>
      <c r="V94" s="489" t="str">
        <f>K94</f>
        <v>Total Enrollment</v>
      </c>
      <c r="W94" s="252"/>
      <c r="X94" s="489" t="s">
        <v>96</v>
      </c>
      <c r="Y94" s="576" t="str">
        <f>B94</f>
        <v>Gen Ed and  LRE1Students</v>
      </c>
      <c r="Z94" s="938" t="str">
        <f>C94</f>
        <v>LRE2 Students</v>
      </c>
      <c r="AA94" s="595" t="str">
        <f>D94</f>
        <v>LRE3 Students</v>
      </c>
      <c r="AB94" s="595" t="str">
        <f>E94</f>
        <v>Total Enrollment</v>
      </c>
      <c r="AC94" s="252"/>
    </row>
    <row r="95" spans="1:29" ht="12.75" hidden="1" outlineLevel="1">
      <c r="A95" s="531">
        <v>6</v>
      </c>
      <c r="B95" s="178"/>
      <c r="C95" s="180"/>
      <c r="D95" s="843"/>
      <c r="E95" s="546">
        <f>SUM(B95:D95)</f>
        <v>0</v>
      </c>
      <c r="F95" s="665"/>
      <c r="G95" s="531">
        <v>6</v>
      </c>
      <c r="H95" s="178"/>
      <c r="I95" s="180"/>
      <c r="J95" s="845"/>
      <c r="K95" s="546">
        <f>SUM(H95:J95)</f>
        <v>0</v>
      </c>
      <c r="L95" s="531">
        <v>6</v>
      </c>
      <c r="M95" s="989"/>
      <c r="N95" s="989"/>
      <c r="O95" s="989"/>
      <c r="P95" s="532">
        <f>SUM(M95:O95)</f>
        <v>0</v>
      </c>
      <c r="Q95" s="676"/>
      <c r="R95" s="531">
        <v>6</v>
      </c>
      <c r="S95" s="989"/>
      <c r="T95" s="989"/>
      <c r="U95" s="989"/>
      <c r="V95" s="642">
        <f>SUM(S95:U95)</f>
        <v>0</v>
      </c>
      <c r="W95" s="252"/>
      <c r="X95" s="531">
        <v>6</v>
      </c>
      <c r="Y95" s="989"/>
      <c r="Z95" s="989"/>
      <c r="AA95" s="989"/>
      <c r="AB95" s="642">
        <f>SUM(Y95:AA95)</f>
        <v>0</v>
      </c>
      <c r="AC95" s="252"/>
    </row>
    <row r="96" spans="1:29" ht="12.75" hidden="1" outlineLevel="1">
      <c r="A96" s="531">
        <v>7</v>
      </c>
      <c r="B96" s="178"/>
      <c r="C96" s="180"/>
      <c r="D96" s="843"/>
      <c r="E96" s="546">
        <f>SUM(B96:D96)</f>
        <v>0</v>
      </c>
      <c r="F96" s="665"/>
      <c r="G96" s="531">
        <v>7</v>
      </c>
      <c r="H96" s="178"/>
      <c r="I96" s="180"/>
      <c r="J96" s="845"/>
      <c r="K96" s="546">
        <f>SUM(H96:J96)</f>
        <v>0</v>
      </c>
      <c r="L96" s="531">
        <v>7</v>
      </c>
      <c r="M96" s="989"/>
      <c r="N96" s="989"/>
      <c r="O96" s="989"/>
      <c r="P96" s="533">
        <f>SUM(M96:O96)</f>
        <v>0</v>
      </c>
      <c r="Q96" s="676"/>
      <c r="R96" s="531">
        <v>7</v>
      </c>
      <c r="S96" s="989"/>
      <c r="T96" s="989"/>
      <c r="U96" s="989"/>
      <c r="V96" s="642">
        <f>SUM(S96:U96)</f>
        <v>0</v>
      </c>
      <c r="W96" s="252"/>
      <c r="X96" s="531">
        <v>7</v>
      </c>
      <c r="Y96" s="989"/>
      <c r="Z96" s="989"/>
      <c r="AA96" s="989"/>
      <c r="AB96" s="642">
        <f>SUM(Y96:AA96)</f>
        <v>0</v>
      </c>
      <c r="AC96" s="252"/>
    </row>
    <row r="97" spans="1:29" ht="13.5" hidden="1" outlineLevel="1" thickBot="1">
      <c r="A97" s="575">
        <v>8</v>
      </c>
      <c r="B97" s="178"/>
      <c r="C97" s="580"/>
      <c r="D97" s="844"/>
      <c r="E97" s="579">
        <f>SUM(B97:D97)</f>
        <v>0</v>
      </c>
      <c r="F97" s="666"/>
      <c r="G97" s="575">
        <v>8</v>
      </c>
      <c r="H97" s="178"/>
      <c r="I97" s="180"/>
      <c r="J97" s="846"/>
      <c r="K97" s="579">
        <f>SUM(H97:J97)</f>
        <v>0</v>
      </c>
      <c r="L97" s="575">
        <v>8</v>
      </c>
      <c r="M97" s="989"/>
      <c r="N97" s="989"/>
      <c r="O97" s="990"/>
      <c r="P97" s="534">
        <f>SUM(M97:O97)</f>
        <v>0</v>
      </c>
      <c r="Q97" s="676"/>
      <c r="R97" s="575">
        <v>8</v>
      </c>
      <c r="S97" s="989"/>
      <c r="T97" s="989"/>
      <c r="U97" s="989"/>
      <c r="V97" s="642">
        <f>SUM(S97:U97)</f>
        <v>0</v>
      </c>
      <c r="W97" s="252"/>
      <c r="X97" s="575">
        <v>8</v>
      </c>
      <c r="Y97" s="989"/>
      <c r="Z97" s="989"/>
      <c r="AA97" s="989"/>
      <c r="AB97" s="642">
        <f>SUM(Y97:AA97)</f>
        <v>0</v>
      </c>
      <c r="AC97" s="252"/>
    </row>
    <row r="98" spans="1:29" ht="13.5" hidden="1" outlineLevel="1" thickBot="1">
      <c r="A98" s="556" t="s">
        <v>301</v>
      </c>
      <c r="B98" s="537">
        <f>SUM(B95:B97)</f>
        <v>0</v>
      </c>
      <c r="C98" s="539">
        <f>SUM(C95:C97)</f>
        <v>0</v>
      </c>
      <c r="D98" s="539">
        <f>SUM(D95:D97)</f>
        <v>0</v>
      </c>
      <c r="E98" s="535">
        <f>SUM(E95:E97)</f>
        <v>0</v>
      </c>
      <c r="F98" s="664"/>
      <c r="G98" s="556" t="s">
        <v>301</v>
      </c>
      <c r="H98" s="536">
        <f>SUM(H95:H97)</f>
        <v>0</v>
      </c>
      <c r="I98" s="537">
        <f>SUM(I95:I97)</f>
        <v>0</v>
      </c>
      <c r="J98" s="539">
        <f>SUM(J95:J97)</f>
        <v>0</v>
      </c>
      <c r="K98" s="535">
        <f>SUM(K95:K97)</f>
        <v>0</v>
      </c>
      <c r="L98" s="556" t="s">
        <v>301</v>
      </c>
      <c r="M98" s="536">
        <f>SUM(M95:M97)</f>
        <v>0</v>
      </c>
      <c r="N98" s="537">
        <f>SUM(N95:N97)</f>
        <v>0</v>
      </c>
      <c r="O98" s="537">
        <f>SUM(O95:O97)</f>
        <v>0</v>
      </c>
      <c r="P98" s="539">
        <f>SUM(P95:P97)</f>
        <v>0</v>
      </c>
      <c r="Q98" s="252"/>
      <c r="R98" s="556" t="s">
        <v>301</v>
      </c>
      <c r="S98" s="536">
        <f>SUM(S95:S97)</f>
        <v>0</v>
      </c>
      <c r="T98" s="537">
        <f>SUM(T95:T97)</f>
        <v>0</v>
      </c>
      <c r="U98" s="537">
        <f>SUM(U95:U97)</f>
        <v>0</v>
      </c>
      <c r="V98" s="537">
        <f>SUM(V95:V97)</f>
        <v>0</v>
      </c>
      <c r="W98" s="252"/>
      <c r="X98" s="556" t="s">
        <v>301</v>
      </c>
      <c r="Y98" s="536">
        <f>SUM(Y95:Y97)</f>
        <v>0</v>
      </c>
      <c r="Z98" s="537">
        <f>SUM(Z95:Z97)</f>
        <v>0</v>
      </c>
      <c r="AA98" s="539">
        <f>SUM(AA95:AA97)</f>
        <v>0</v>
      </c>
      <c r="AB98" s="539">
        <f>SUM(AB95:AB97)</f>
        <v>0</v>
      </c>
      <c r="AC98" s="252"/>
    </row>
    <row r="99" spans="1:29" ht="13.5" hidden="1" outlineLevel="1" thickBot="1">
      <c r="A99" s="557" t="s">
        <v>102</v>
      </c>
      <c r="B99" s="538">
        <v>1</v>
      </c>
      <c r="C99" s="631">
        <v>0.7</v>
      </c>
      <c r="D99" s="632">
        <v>0.4</v>
      </c>
      <c r="E99" s="193"/>
      <c r="F99" s="664"/>
      <c r="G99" s="557" t="s">
        <v>102</v>
      </c>
      <c r="H99" s="538">
        <v>1</v>
      </c>
      <c r="I99" s="631">
        <v>0.7</v>
      </c>
      <c r="J99" s="632">
        <v>0.4</v>
      </c>
      <c r="K99" s="193"/>
      <c r="L99" s="557" t="s">
        <v>102</v>
      </c>
      <c r="M99" s="538">
        <v>1</v>
      </c>
      <c r="N99" s="538">
        <v>0.7</v>
      </c>
      <c r="O99" s="538">
        <v>0.4</v>
      </c>
      <c r="P99" s="97"/>
      <c r="Q99" s="252"/>
      <c r="R99" s="557" t="s">
        <v>102</v>
      </c>
      <c r="S99" s="538">
        <v>1</v>
      </c>
      <c r="T99" s="538">
        <v>0.7</v>
      </c>
      <c r="U99" s="538">
        <v>0.4</v>
      </c>
      <c r="V99" s="945"/>
      <c r="W99" s="252"/>
      <c r="X99" s="557" t="s">
        <v>102</v>
      </c>
      <c r="Y99" s="538">
        <v>1</v>
      </c>
      <c r="Z99" s="538">
        <v>0.7</v>
      </c>
      <c r="AA99" s="538">
        <v>0.4</v>
      </c>
      <c r="AB99" s="97"/>
      <c r="AC99" s="252"/>
    </row>
    <row r="100" spans="1:29" ht="13.5" hidden="1" outlineLevel="1" thickBot="1">
      <c r="A100" s="489" t="s">
        <v>297</v>
      </c>
      <c r="B100" s="539">
        <f>B98*B99</f>
        <v>0</v>
      </c>
      <c r="C100" s="539">
        <f>C98*C99</f>
        <v>0</v>
      </c>
      <c r="D100" s="539">
        <f>D98*D99</f>
        <v>0</v>
      </c>
      <c r="E100" s="535">
        <f>SUM(B100:D100)</f>
        <v>0</v>
      </c>
      <c r="F100" s="664"/>
      <c r="G100" s="489" t="s">
        <v>297</v>
      </c>
      <c r="H100" s="539">
        <f>H98*H99</f>
        <v>0</v>
      </c>
      <c r="I100" s="539">
        <f>I98*I99</f>
        <v>0</v>
      </c>
      <c r="J100" s="539">
        <f>J98*J99</f>
        <v>0</v>
      </c>
      <c r="K100" s="535">
        <f>SUM(H100:J100)</f>
        <v>0</v>
      </c>
      <c r="L100" s="489" t="s">
        <v>297</v>
      </c>
      <c r="M100" s="539">
        <f>M98*M99</f>
        <v>0</v>
      </c>
      <c r="N100" s="539">
        <f>N98*N99</f>
        <v>0</v>
      </c>
      <c r="O100" s="535">
        <f>O98*O99</f>
        <v>0</v>
      </c>
      <c r="P100" s="944">
        <f>SUM(M100:O100)</f>
        <v>0</v>
      </c>
      <c r="Q100" s="252"/>
      <c r="R100" s="489" t="s">
        <v>297</v>
      </c>
      <c r="S100" s="539">
        <f>S98*S99</f>
        <v>0</v>
      </c>
      <c r="T100" s="539">
        <f>T98*T99</f>
        <v>0</v>
      </c>
      <c r="U100" s="535">
        <f>U98*U99</f>
        <v>0</v>
      </c>
      <c r="V100" s="944">
        <f>SUM(S100:U100)</f>
        <v>0</v>
      </c>
      <c r="W100" s="252"/>
      <c r="X100" s="489" t="s">
        <v>297</v>
      </c>
      <c r="Y100" s="539">
        <f>Y98*Y99</f>
        <v>0</v>
      </c>
      <c r="Z100" s="539">
        <f>Z98*Z99</f>
        <v>0</v>
      </c>
      <c r="AA100" s="535">
        <f>AA98*AA99</f>
        <v>0</v>
      </c>
      <c r="AB100" s="944">
        <f>SUM(Y100:AA100)</f>
        <v>0</v>
      </c>
      <c r="AC100" s="252"/>
    </row>
    <row r="101" spans="1:29" ht="12.75" hidden="1" outlineLevel="1">
      <c r="A101" s="181"/>
      <c r="B101" s="182"/>
      <c r="C101" s="107"/>
      <c r="D101" s="182"/>
      <c r="E101" s="177"/>
      <c r="F101" s="667"/>
      <c r="G101" s="181"/>
      <c r="H101" s="182"/>
      <c r="I101" s="107"/>
      <c r="J101" s="182"/>
      <c r="K101" s="107"/>
      <c r="L101" s="181"/>
      <c r="M101" s="182"/>
      <c r="N101" s="107"/>
      <c r="O101" s="182"/>
      <c r="P101" s="107"/>
      <c r="Q101" s="252"/>
      <c r="R101" s="181"/>
      <c r="S101" s="182"/>
      <c r="T101" s="107"/>
      <c r="U101" s="182"/>
      <c r="V101" s="107"/>
      <c r="W101" s="252"/>
      <c r="X101" s="181"/>
      <c r="Y101" s="182"/>
      <c r="Z101" s="107"/>
      <c r="AA101" s="182"/>
      <c r="AB101" s="107"/>
      <c r="AC101" s="252"/>
    </row>
    <row r="102" spans="1:29" ht="13.5" hidden="1" outlineLevel="1" thickBot="1">
      <c r="A102" s="181"/>
      <c r="B102" s="182"/>
      <c r="C102" s="107"/>
      <c r="D102" s="182"/>
      <c r="E102" s="177"/>
      <c r="F102" s="667"/>
      <c r="G102" s="181"/>
      <c r="H102" s="182"/>
      <c r="I102" s="107"/>
      <c r="J102" s="182"/>
      <c r="K102" s="107"/>
      <c r="L102" s="181"/>
      <c r="M102" s="182"/>
      <c r="N102" s="107"/>
      <c r="O102" s="182"/>
      <c r="P102" s="107"/>
      <c r="Q102" s="252"/>
      <c r="R102" s="181"/>
      <c r="S102" s="182"/>
      <c r="T102" s="107"/>
      <c r="U102" s="182"/>
      <c r="V102" s="107"/>
      <c r="W102" s="252"/>
      <c r="X102" s="181"/>
      <c r="Y102" s="182"/>
      <c r="Z102" s="107"/>
      <c r="AA102" s="182"/>
      <c r="AB102" s="107"/>
      <c r="AC102" s="252"/>
    </row>
    <row r="103" spans="1:29" ht="13.5" hidden="1" outlineLevel="1" thickBot="1">
      <c r="A103" s="1059" t="s">
        <v>302</v>
      </c>
      <c r="B103" s="1060"/>
      <c r="C103" s="107"/>
      <c r="D103" s="182"/>
      <c r="E103" s="177"/>
      <c r="F103" s="984"/>
      <c r="G103" s="1059" t="s">
        <v>302</v>
      </c>
      <c r="H103" s="1060"/>
      <c r="I103" s="107"/>
      <c r="J103" s="182"/>
      <c r="K103" s="107"/>
      <c r="L103" s="1059" t="s">
        <v>302</v>
      </c>
      <c r="M103" s="1060"/>
      <c r="N103" s="107"/>
      <c r="O103" s="182"/>
      <c r="P103" s="107"/>
      <c r="Q103" s="252"/>
      <c r="R103" s="1059" t="s">
        <v>302</v>
      </c>
      <c r="S103" s="1060"/>
      <c r="T103" s="107"/>
      <c r="U103" s="182"/>
      <c r="V103" s="107"/>
      <c r="W103" s="252"/>
      <c r="X103" s="1059" t="s">
        <v>302</v>
      </c>
      <c r="Y103" s="1060"/>
      <c r="Z103" s="107"/>
      <c r="AA103" s="182"/>
      <c r="AB103" s="107"/>
      <c r="AC103" s="252"/>
    </row>
    <row r="104" spans="1:29" ht="12.75" hidden="1" outlineLevel="1">
      <c r="A104" s="566" t="s">
        <v>298</v>
      </c>
      <c r="B104" s="540">
        <f>E100</f>
        <v>0</v>
      </c>
      <c r="C104" s="107"/>
      <c r="D104" s="182"/>
      <c r="E104" s="177"/>
      <c r="F104" s="668"/>
      <c r="G104" s="566" t="s">
        <v>298</v>
      </c>
      <c r="H104" s="540">
        <f>K100</f>
        <v>0</v>
      </c>
      <c r="I104" s="107"/>
      <c r="J104" s="182"/>
      <c r="K104" s="107"/>
      <c r="L104" s="566" t="s">
        <v>298</v>
      </c>
      <c r="M104" s="540">
        <f>P100</f>
        <v>0</v>
      </c>
      <c r="N104" s="107"/>
      <c r="O104" s="182"/>
      <c r="P104" s="107"/>
      <c r="Q104" s="252"/>
      <c r="R104" s="566" t="s">
        <v>298</v>
      </c>
      <c r="S104" s="540">
        <f>V100</f>
        <v>0</v>
      </c>
      <c r="T104" s="107"/>
      <c r="U104" s="182"/>
      <c r="V104" s="107"/>
      <c r="W104" s="252"/>
      <c r="X104" s="566" t="s">
        <v>298</v>
      </c>
      <c r="Y104" s="540">
        <f>AB100</f>
        <v>0</v>
      </c>
      <c r="Z104" s="107"/>
      <c r="AA104" s="182"/>
      <c r="AB104" s="107"/>
      <c r="AC104" s="252"/>
    </row>
    <row r="105" spans="1:29" ht="13.5" hidden="1" outlineLevel="1" thickBot="1">
      <c r="A105" s="567" t="s">
        <v>289</v>
      </c>
      <c r="B105" s="541">
        <f>B15</f>
        <v>6220.83</v>
      </c>
      <c r="C105" s="107"/>
      <c r="D105" s="182"/>
      <c r="E105" s="177"/>
      <c r="F105" s="669"/>
      <c r="G105" s="567" t="s">
        <v>289</v>
      </c>
      <c r="H105" s="541">
        <f>H15</f>
        <v>6220.83</v>
      </c>
      <c r="I105" s="107"/>
      <c r="J105" s="182"/>
      <c r="K105" s="107"/>
      <c r="L105" s="567" t="s">
        <v>289</v>
      </c>
      <c r="M105" s="541">
        <f>M15</f>
        <v>6220.83</v>
      </c>
      <c r="N105" s="107"/>
      <c r="O105" s="182"/>
      <c r="P105" s="107"/>
      <c r="Q105" s="252"/>
      <c r="R105" s="567" t="s">
        <v>289</v>
      </c>
      <c r="S105" s="541">
        <f>S15</f>
        <v>6220.83</v>
      </c>
      <c r="T105" s="107"/>
      <c r="U105" s="182"/>
      <c r="V105" s="107"/>
      <c r="W105" s="252"/>
      <c r="X105" s="567" t="s">
        <v>289</v>
      </c>
      <c r="Y105" s="541">
        <f>Y15</f>
        <v>6220.83</v>
      </c>
      <c r="Z105" s="107"/>
      <c r="AA105" s="182"/>
      <c r="AB105" s="107"/>
      <c r="AC105" s="252"/>
    </row>
    <row r="106" spans="1:29" ht="15.75" hidden="1" outlineLevel="1" thickBot="1">
      <c r="A106" s="535" t="s">
        <v>290</v>
      </c>
      <c r="B106" s="542">
        <f>B104*B105</f>
        <v>0</v>
      </c>
      <c r="C106" s="107"/>
      <c r="D106" s="182"/>
      <c r="E106" s="177"/>
      <c r="F106" s="670"/>
      <c r="G106" s="535" t="s">
        <v>290</v>
      </c>
      <c r="H106" s="542">
        <f>H104*H105</f>
        <v>0</v>
      </c>
      <c r="I106" s="107"/>
      <c r="J106" s="182"/>
      <c r="K106" s="107"/>
      <c r="L106" s="535" t="s">
        <v>290</v>
      </c>
      <c r="M106" s="542">
        <f>M104*M105</f>
        <v>0</v>
      </c>
      <c r="N106" s="107"/>
      <c r="O106" s="182"/>
      <c r="P106" s="107"/>
      <c r="Q106" s="252"/>
      <c r="R106" s="535" t="s">
        <v>290</v>
      </c>
      <c r="S106" s="542">
        <f>S104*S105</f>
        <v>0</v>
      </c>
      <c r="T106" s="107"/>
      <c r="U106" s="182"/>
      <c r="V106" s="107"/>
      <c r="W106" s="252"/>
      <c r="X106" s="535" t="s">
        <v>290</v>
      </c>
      <c r="Y106" s="542">
        <f>Y104*Y105</f>
        <v>0</v>
      </c>
      <c r="Z106" s="107"/>
      <c r="AA106" s="182"/>
      <c r="AB106" s="107"/>
      <c r="AC106" s="252"/>
    </row>
    <row r="107" spans="1:29" ht="15" hidden="1" outlineLevel="1">
      <c r="A107" s="194"/>
      <c r="B107" s="195"/>
      <c r="C107" s="107"/>
      <c r="D107" s="107"/>
      <c r="E107" s="443"/>
      <c r="F107" s="671"/>
      <c r="G107" s="194"/>
      <c r="H107" s="195"/>
      <c r="I107" s="107"/>
      <c r="J107" s="107"/>
      <c r="K107" s="182"/>
      <c r="L107" s="194"/>
      <c r="M107" s="195"/>
      <c r="N107" s="107"/>
      <c r="O107" s="107"/>
      <c r="P107" s="182"/>
      <c r="Q107" s="252"/>
      <c r="R107" s="194"/>
      <c r="S107" s="195"/>
      <c r="T107" s="107"/>
      <c r="U107" s="107"/>
      <c r="V107" s="182"/>
      <c r="W107" s="252"/>
      <c r="X107" s="194"/>
      <c r="Y107" s="195"/>
      <c r="Z107" s="107"/>
      <c r="AA107" s="107"/>
      <c r="AB107" s="182"/>
      <c r="AC107" s="252"/>
    </row>
    <row r="108" spans="1:29" ht="15.75" hidden="1" outlineLevel="1" thickBot="1">
      <c r="A108" s="194"/>
      <c r="B108" s="195"/>
      <c r="C108" s="107"/>
      <c r="D108" s="107"/>
      <c r="E108" s="443"/>
      <c r="F108" s="671"/>
      <c r="G108" s="194"/>
      <c r="H108" s="195"/>
      <c r="I108" s="107"/>
      <c r="J108" s="107"/>
      <c r="K108" s="182"/>
      <c r="L108" s="194"/>
      <c r="M108" s="195"/>
      <c r="N108" s="107"/>
      <c r="O108" s="107"/>
      <c r="P108" s="182"/>
      <c r="Q108" s="252"/>
      <c r="R108" s="194"/>
      <c r="S108" s="195"/>
      <c r="T108" s="107"/>
      <c r="U108" s="107"/>
      <c r="V108" s="182"/>
      <c r="W108" s="252"/>
      <c r="X108" s="194"/>
      <c r="Y108" s="195"/>
      <c r="Z108" s="107"/>
      <c r="AA108" s="107"/>
      <c r="AB108" s="182"/>
      <c r="AC108" s="252"/>
    </row>
    <row r="109" spans="1:29" ht="13.5" hidden="1" outlineLevel="1" thickBot="1">
      <c r="A109" s="1059" t="s">
        <v>303</v>
      </c>
      <c r="B109" s="1060"/>
      <c r="C109" s="107"/>
      <c r="D109" s="107"/>
      <c r="E109" s="443"/>
      <c r="F109" s="984"/>
      <c r="G109" s="1059" t="s">
        <v>303</v>
      </c>
      <c r="H109" s="1060"/>
      <c r="I109" s="107"/>
      <c r="J109" s="107"/>
      <c r="K109" s="182"/>
      <c r="L109" s="1059" t="s">
        <v>303</v>
      </c>
      <c r="M109" s="1060"/>
      <c r="N109" s="107"/>
      <c r="O109" s="107"/>
      <c r="P109" s="182"/>
      <c r="Q109" s="252"/>
      <c r="R109" s="1059" t="s">
        <v>303</v>
      </c>
      <c r="S109" s="1060"/>
      <c r="T109" s="107"/>
      <c r="U109" s="107"/>
      <c r="V109" s="182"/>
      <c r="W109" s="252"/>
      <c r="X109" s="1059" t="s">
        <v>303</v>
      </c>
      <c r="Y109" s="1060"/>
      <c r="Z109" s="107"/>
      <c r="AA109" s="107"/>
      <c r="AB109" s="182"/>
      <c r="AC109" s="252"/>
    </row>
    <row r="110" spans="1:29" ht="12.75" hidden="1" outlineLevel="1">
      <c r="A110" s="566" t="s">
        <v>294</v>
      </c>
      <c r="B110" s="540">
        <f>E98</f>
        <v>0</v>
      </c>
      <c r="C110" s="107"/>
      <c r="D110" s="107"/>
      <c r="E110" s="443"/>
      <c r="F110" s="668"/>
      <c r="G110" s="566" t="s">
        <v>294</v>
      </c>
      <c r="H110" s="540">
        <f>K98</f>
        <v>0</v>
      </c>
      <c r="I110" s="107"/>
      <c r="J110" s="107"/>
      <c r="K110" s="182"/>
      <c r="L110" s="566" t="s">
        <v>294</v>
      </c>
      <c r="M110" s="540">
        <f>P98</f>
        <v>0</v>
      </c>
      <c r="N110" s="107"/>
      <c r="O110" s="107"/>
      <c r="P110" s="182"/>
      <c r="Q110" s="252"/>
      <c r="R110" s="566" t="s">
        <v>294</v>
      </c>
      <c r="S110" s="540">
        <f>V98</f>
        <v>0</v>
      </c>
      <c r="T110" s="107"/>
      <c r="U110" s="107"/>
      <c r="V110" s="182"/>
      <c r="W110" s="252"/>
      <c r="X110" s="566" t="s">
        <v>294</v>
      </c>
      <c r="Y110" s="540">
        <f>AB98</f>
        <v>0</v>
      </c>
      <c r="Z110" s="107"/>
      <c r="AA110" s="107"/>
      <c r="AB110" s="182"/>
      <c r="AC110" s="252"/>
    </row>
    <row r="111" spans="1:29" ht="13.5" hidden="1" outlineLevel="1" thickBot="1">
      <c r="A111" s="567" t="s">
        <v>291</v>
      </c>
      <c r="B111" s="541">
        <f>B16</f>
        <v>2447.52</v>
      </c>
      <c r="C111" s="107"/>
      <c r="D111" s="107"/>
      <c r="E111" s="177"/>
      <c r="F111" s="669"/>
      <c r="G111" s="567" t="s">
        <v>291</v>
      </c>
      <c r="H111" s="541">
        <f>H16</f>
        <v>2447.52</v>
      </c>
      <c r="I111" s="107"/>
      <c r="J111" s="107"/>
      <c r="K111" s="107"/>
      <c r="L111" s="567" t="s">
        <v>291</v>
      </c>
      <c r="M111" s="541">
        <f>M16</f>
        <v>2447.52</v>
      </c>
      <c r="N111" s="107"/>
      <c r="O111" s="107"/>
      <c r="P111" s="107"/>
      <c r="Q111" s="252"/>
      <c r="R111" s="567" t="s">
        <v>291</v>
      </c>
      <c r="S111" s="541">
        <f>S16</f>
        <v>2447.52</v>
      </c>
      <c r="T111" s="107"/>
      <c r="U111" s="107"/>
      <c r="V111" s="107"/>
      <c r="W111" s="252"/>
      <c r="X111" s="567" t="s">
        <v>291</v>
      </c>
      <c r="Y111" s="541">
        <f>Y16</f>
        <v>2447.52</v>
      </c>
      <c r="Z111" s="107"/>
      <c r="AA111" s="107"/>
      <c r="AB111" s="107"/>
      <c r="AC111" s="252"/>
    </row>
    <row r="112" spans="1:29" ht="15.75" hidden="1" outlineLevel="1" thickBot="1">
      <c r="A112" s="535" t="s">
        <v>292</v>
      </c>
      <c r="B112" s="542">
        <f>B110*B111</f>
        <v>0</v>
      </c>
      <c r="C112" s="107"/>
      <c r="D112" s="107"/>
      <c r="E112" s="177"/>
      <c r="F112" s="670"/>
      <c r="G112" s="535" t="s">
        <v>292</v>
      </c>
      <c r="H112" s="542">
        <f>H110*H111</f>
        <v>0</v>
      </c>
      <c r="I112" s="107"/>
      <c r="J112" s="107"/>
      <c r="K112" s="107"/>
      <c r="L112" s="535" t="s">
        <v>292</v>
      </c>
      <c r="M112" s="542">
        <f>M110*M111</f>
        <v>0</v>
      </c>
      <c r="N112" s="107"/>
      <c r="O112" s="107"/>
      <c r="P112" s="107"/>
      <c r="Q112" s="252"/>
      <c r="R112" s="535" t="s">
        <v>292</v>
      </c>
      <c r="S112" s="542">
        <f>S110*S111</f>
        <v>0</v>
      </c>
      <c r="T112" s="107"/>
      <c r="U112" s="107"/>
      <c r="V112" s="107"/>
      <c r="W112" s="252"/>
      <c r="X112" s="535" t="s">
        <v>292</v>
      </c>
      <c r="Y112" s="542">
        <f>Y110*Y111</f>
        <v>0</v>
      </c>
      <c r="Z112" s="107"/>
      <c r="AA112" s="107"/>
      <c r="AB112" s="107"/>
      <c r="AC112" s="252"/>
    </row>
    <row r="113" spans="1:29" ht="12.75" hidden="1" outlineLevel="1">
      <c r="A113" s="196"/>
      <c r="B113" s="187"/>
      <c r="C113" s="187"/>
      <c r="D113" s="179"/>
      <c r="E113" s="445"/>
      <c r="F113" s="672"/>
      <c r="G113" s="196"/>
      <c r="H113" s="187"/>
      <c r="I113" s="187"/>
      <c r="J113" s="179"/>
      <c r="K113" s="191"/>
      <c r="L113" s="196"/>
      <c r="M113" s="187"/>
      <c r="N113" s="187"/>
      <c r="O113" s="179"/>
      <c r="P113" s="191"/>
      <c r="Q113" s="252"/>
      <c r="R113" s="196"/>
      <c r="S113" s="187"/>
      <c r="T113" s="187"/>
      <c r="U113" s="179"/>
      <c r="V113" s="191"/>
      <c r="W113" s="252"/>
      <c r="X113" s="196"/>
      <c r="Y113" s="187"/>
      <c r="Z113" s="187"/>
      <c r="AA113" s="179"/>
      <c r="AB113" s="191"/>
      <c r="AC113" s="252"/>
    </row>
    <row r="114" spans="1:29" ht="13.5" hidden="1" outlineLevel="1" thickBot="1">
      <c r="A114" s="196"/>
      <c r="B114" s="187"/>
      <c r="C114" s="187"/>
      <c r="D114" s="179"/>
      <c r="E114" s="445"/>
      <c r="F114" s="672"/>
      <c r="G114" s="196"/>
      <c r="H114" s="187"/>
      <c r="I114" s="187"/>
      <c r="J114" s="179"/>
      <c r="K114" s="191"/>
      <c r="L114" s="196"/>
      <c r="M114" s="187"/>
      <c r="N114" s="187"/>
      <c r="O114" s="179"/>
      <c r="P114" s="191"/>
      <c r="Q114" s="252"/>
      <c r="R114" s="196"/>
      <c r="S114" s="187"/>
      <c r="T114" s="187"/>
      <c r="U114" s="179"/>
      <c r="V114" s="191"/>
      <c r="W114" s="252"/>
      <c r="X114" s="196"/>
      <c r="Y114" s="187"/>
      <c r="Z114" s="187"/>
      <c r="AA114" s="179"/>
      <c r="AB114" s="191"/>
      <c r="AC114" s="252"/>
    </row>
    <row r="115" spans="1:29" ht="13.5" hidden="1" outlineLevel="1" thickBot="1">
      <c r="A115" s="1059" t="s">
        <v>293</v>
      </c>
      <c r="B115" s="1060"/>
      <c r="C115" s="187"/>
      <c r="D115" s="179"/>
      <c r="E115" s="445"/>
      <c r="F115" s="984"/>
      <c r="G115" s="1059" t="s">
        <v>293</v>
      </c>
      <c r="H115" s="1060"/>
      <c r="I115" s="187"/>
      <c r="J115" s="179"/>
      <c r="K115" s="191"/>
      <c r="L115" s="1059" t="s">
        <v>293</v>
      </c>
      <c r="M115" s="1060"/>
      <c r="N115" s="187"/>
      <c r="O115" s="179"/>
      <c r="P115" s="191"/>
      <c r="Q115" s="252"/>
      <c r="R115" s="1059" t="s">
        <v>293</v>
      </c>
      <c r="S115" s="1060"/>
      <c r="T115" s="187"/>
      <c r="U115" s="179"/>
      <c r="V115" s="191"/>
      <c r="W115" s="252"/>
      <c r="X115" s="1059" t="s">
        <v>293</v>
      </c>
      <c r="Y115" s="1060"/>
      <c r="Z115" s="187"/>
      <c r="AA115" s="179"/>
      <c r="AB115" s="191"/>
      <c r="AC115" s="252"/>
    </row>
    <row r="116" spans="1:29" ht="12.75" hidden="1" outlineLevel="1">
      <c r="A116" s="566" t="s">
        <v>290</v>
      </c>
      <c r="B116" s="544">
        <f>B106</f>
        <v>0</v>
      </c>
      <c r="C116" s="187"/>
      <c r="D116" s="179"/>
      <c r="E116" s="445"/>
      <c r="F116" s="668"/>
      <c r="G116" s="566" t="s">
        <v>290</v>
      </c>
      <c r="H116" s="544">
        <f>H106</f>
        <v>0</v>
      </c>
      <c r="I116" s="187"/>
      <c r="J116" s="179"/>
      <c r="K116" s="191"/>
      <c r="L116" s="566" t="s">
        <v>290</v>
      </c>
      <c r="M116" s="544">
        <f>M106</f>
        <v>0</v>
      </c>
      <c r="N116" s="187"/>
      <c r="O116" s="179"/>
      <c r="P116" s="191"/>
      <c r="Q116" s="252"/>
      <c r="R116" s="566" t="s">
        <v>290</v>
      </c>
      <c r="S116" s="544">
        <f>S106</f>
        <v>0</v>
      </c>
      <c r="T116" s="187"/>
      <c r="U116" s="179"/>
      <c r="V116" s="191"/>
      <c r="W116" s="252"/>
      <c r="X116" s="566" t="s">
        <v>290</v>
      </c>
      <c r="Y116" s="544">
        <f>Y106</f>
        <v>0</v>
      </c>
      <c r="Z116" s="187"/>
      <c r="AA116" s="179"/>
      <c r="AB116" s="191"/>
      <c r="AC116" s="252"/>
    </row>
    <row r="117" spans="1:29" ht="13.5" hidden="1" outlineLevel="1" thickBot="1">
      <c r="A117" s="566" t="s">
        <v>292</v>
      </c>
      <c r="B117" s="545">
        <f>B112</f>
        <v>0</v>
      </c>
      <c r="C117" s="187"/>
      <c r="D117" s="179"/>
      <c r="E117" s="445"/>
      <c r="F117" s="668"/>
      <c r="G117" s="566" t="s">
        <v>292</v>
      </c>
      <c r="H117" s="545">
        <f>H112</f>
        <v>0</v>
      </c>
      <c r="I117" s="187"/>
      <c r="J117" s="179"/>
      <c r="K117" s="191"/>
      <c r="L117" s="566" t="s">
        <v>292</v>
      </c>
      <c r="M117" s="545">
        <f>M112</f>
        <v>0</v>
      </c>
      <c r="N117" s="187"/>
      <c r="O117" s="179"/>
      <c r="P117" s="191"/>
      <c r="Q117" s="252"/>
      <c r="R117" s="566" t="s">
        <v>292</v>
      </c>
      <c r="S117" s="545">
        <f>S112</f>
        <v>0</v>
      </c>
      <c r="T117" s="187"/>
      <c r="U117" s="179"/>
      <c r="V117" s="191"/>
      <c r="W117" s="252"/>
      <c r="X117" s="566" t="s">
        <v>292</v>
      </c>
      <c r="Y117" s="545">
        <f>Y112</f>
        <v>0</v>
      </c>
      <c r="Z117" s="187"/>
      <c r="AA117" s="179"/>
      <c r="AB117" s="191"/>
      <c r="AC117" s="252"/>
    </row>
    <row r="118" spans="1:29" ht="15.75" hidden="1" outlineLevel="1" thickBot="1">
      <c r="A118" s="535" t="s">
        <v>299</v>
      </c>
      <c r="B118" s="542">
        <f>B116+B117</f>
        <v>0</v>
      </c>
      <c r="C118" s="437"/>
      <c r="D118" s="190"/>
      <c r="E118" s="446"/>
      <c r="F118" s="673"/>
      <c r="G118" s="535" t="s">
        <v>299</v>
      </c>
      <c r="H118" s="542">
        <f>H116+H117</f>
        <v>0</v>
      </c>
      <c r="I118" s="187"/>
      <c r="J118" s="179"/>
      <c r="K118" s="191"/>
      <c r="L118" s="535" t="s">
        <v>299</v>
      </c>
      <c r="M118" s="542">
        <f>M116+M117</f>
        <v>0</v>
      </c>
      <c r="N118" s="187"/>
      <c r="O118" s="179"/>
      <c r="P118" s="191"/>
      <c r="Q118" s="252"/>
      <c r="R118" s="535" t="s">
        <v>299</v>
      </c>
      <c r="S118" s="542">
        <f>S116+S117</f>
        <v>0</v>
      </c>
      <c r="T118" s="187"/>
      <c r="U118" s="179"/>
      <c r="V118" s="191"/>
      <c r="W118" s="252"/>
      <c r="X118" s="535" t="s">
        <v>299</v>
      </c>
      <c r="Y118" s="542">
        <f>Y116+Y117</f>
        <v>0</v>
      </c>
      <c r="Z118" s="187"/>
      <c r="AA118" s="179"/>
      <c r="AB118" s="191"/>
      <c r="AC118" s="252"/>
    </row>
    <row r="119" spans="1:29" ht="12.75" hidden="1" outlineLevel="1">
      <c r="A119" s="431"/>
      <c r="B119" s="432"/>
      <c r="C119" s="433"/>
      <c r="D119" s="433"/>
      <c r="E119" s="434"/>
      <c r="F119" s="252"/>
      <c r="G119" s="187"/>
      <c r="H119" s="191"/>
      <c r="I119" s="187"/>
      <c r="J119" s="187"/>
      <c r="K119" s="170"/>
      <c r="L119" s="187"/>
      <c r="M119" s="191"/>
      <c r="N119" s="187"/>
      <c r="O119" s="187"/>
      <c r="P119" s="170"/>
      <c r="Q119" s="252"/>
      <c r="R119" s="187"/>
      <c r="S119" s="191"/>
      <c r="T119" s="187"/>
      <c r="U119" s="187"/>
      <c r="V119" s="170"/>
      <c r="W119" s="252"/>
      <c r="X119" s="187"/>
      <c r="Y119" s="191"/>
      <c r="Z119" s="187"/>
      <c r="AA119" s="187"/>
      <c r="AB119" s="170"/>
      <c r="AC119" s="252"/>
    </row>
    <row r="120" spans="1:29" ht="12.75" hidden="1" outlineLevel="1">
      <c r="A120" s="196"/>
      <c r="B120" s="191"/>
      <c r="C120" s="187"/>
      <c r="D120" s="187"/>
      <c r="E120" s="435"/>
      <c r="F120" s="252"/>
      <c r="G120" s="187"/>
      <c r="H120" s="191"/>
      <c r="I120" s="187"/>
      <c r="J120" s="187"/>
      <c r="K120" s="170"/>
      <c r="L120" s="187"/>
      <c r="M120" s="191"/>
      <c r="N120" s="187"/>
      <c r="O120" s="187"/>
      <c r="P120" s="170"/>
      <c r="Q120" s="252"/>
      <c r="R120" s="187"/>
      <c r="S120" s="191"/>
      <c r="T120" s="187"/>
      <c r="U120" s="187"/>
      <c r="V120" s="170"/>
      <c r="W120" s="252"/>
      <c r="X120" s="187"/>
      <c r="Y120" s="191"/>
      <c r="Z120" s="187"/>
      <c r="AA120" s="187"/>
      <c r="AB120" s="170"/>
      <c r="AC120" s="252"/>
    </row>
    <row r="121" spans="1:29" ht="12.75" hidden="1" outlineLevel="1">
      <c r="A121" s="196"/>
      <c r="B121" s="191"/>
      <c r="C121" s="187"/>
      <c r="D121" s="187"/>
      <c r="E121" s="435"/>
      <c r="F121" s="252"/>
      <c r="G121" s="187"/>
      <c r="H121" s="191"/>
      <c r="I121" s="187"/>
      <c r="J121" s="187"/>
      <c r="K121" s="170"/>
      <c r="L121" s="187"/>
      <c r="M121" s="191"/>
      <c r="N121" s="187"/>
      <c r="O121" s="187"/>
      <c r="P121" s="170"/>
      <c r="Q121" s="252"/>
      <c r="R121" s="187"/>
      <c r="S121" s="191"/>
      <c r="T121" s="187"/>
      <c r="U121" s="187"/>
      <c r="V121" s="170"/>
      <c r="W121" s="252"/>
      <c r="X121" s="187"/>
      <c r="Y121" s="191"/>
      <c r="Z121" s="187"/>
      <c r="AA121" s="187"/>
      <c r="AB121" s="170"/>
      <c r="AC121" s="252"/>
    </row>
    <row r="122" spans="1:29" ht="32.25" customHeight="1" hidden="1" outlineLevel="1" thickBot="1">
      <c r="A122" s="436"/>
      <c r="B122" s="247"/>
      <c r="C122" s="437"/>
      <c r="D122" s="437"/>
      <c r="E122" s="438"/>
      <c r="F122" s="252"/>
      <c r="G122" s="187"/>
      <c r="H122" s="191"/>
      <c r="I122" s="187"/>
      <c r="J122" s="187"/>
      <c r="K122" s="170"/>
      <c r="L122" s="187"/>
      <c r="M122" s="191"/>
      <c r="N122" s="187"/>
      <c r="O122" s="187"/>
      <c r="P122" s="170"/>
      <c r="Q122" s="252"/>
      <c r="R122" s="187"/>
      <c r="S122" s="191"/>
      <c r="T122" s="187"/>
      <c r="U122" s="187"/>
      <c r="V122" s="170"/>
      <c r="W122" s="252"/>
      <c r="X122" s="187"/>
      <c r="Y122" s="191"/>
      <c r="Z122" s="187"/>
      <c r="AA122" s="187"/>
      <c r="AB122" s="170"/>
      <c r="AC122" s="252"/>
    </row>
    <row r="123" spans="1:29" ht="16.5" collapsed="1" thickBot="1">
      <c r="A123" s="1057" t="s">
        <v>126</v>
      </c>
      <c r="B123" s="1058"/>
      <c r="C123" s="1058"/>
      <c r="D123" s="1058"/>
      <c r="E123" s="1058"/>
      <c r="F123" s="252"/>
      <c r="G123" s="1058" t="s">
        <v>126</v>
      </c>
      <c r="H123" s="1058"/>
      <c r="I123" s="1058"/>
      <c r="J123" s="1058"/>
      <c r="K123" s="1058"/>
      <c r="L123" s="1057" t="s">
        <v>126</v>
      </c>
      <c r="M123" s="1058"/>
      <c r="N123" s="1058"/>
      <c r="O123" s="1058"/>
      <c r="P123" s="1096"/>
      <c r="Q123" s="252"/>
      <c r="R123" s="1058" t="s">
        <v>126</v>
      </c>
      <c r="S123" s="1058"/>
      <c r="T123" s="1058"/>
      <c r="U123" s="1058"/>
      <c r="V123" s="1058"/>
      <c r="W123" s="252"/>
      <c r="X123" s="1058" t="s">
        <v>126</v>
      </c>
      <c r="Y123" s="1058"/>
      <c r="Z123" s="1058"/>
      <c r="AA123" s="1058"/>
      <c r="AB123" s="1058"/>
      <c r="AC123" s="252"/>
    </row>
    <row r="124" spans="1:29" ht="16.5" thickBot="1">
      <c r="A124" s="197"/>
      <c r="B124" s="198"/>
      <c r="C124" s="198"/>
      <c r="D124" s="198"/>
      <c r="E124" s="198"/>
      <c r="F124" s="252"/>
      <c r="G124" s="198"/>
      <c r="H124" s="198"/>
      <c r="I124" s="198"/>
      <c r="J124" s="198"/>
      <c r="K124" s="198"/>
      <c r="L124" s="198"/>
      <c r="M124" s="198"/>
      <c r="N124" s="198"/>
      <c r="O124" s="198"/>
      <c r="P124" s="198"/>
      <c r="Q124" s="252"/>
      <c r="R124" s="198"/>
      <c r="S124" s="198"/>
      <c r="T124" s="198"/>
      <c r="U124" s="198"/>
      <c r="V124" s="198"/>
      <c r="W124" s="252"/>
      <c r="X124" s="198"/>
      <c r="Y124" s="198"/>
      <c r="Z124" s="198"/>
      <c r="AA124" s="198"/>
      <c r="AB124" s="198"/>
      <c r="AC124" s="252"/>
    </row>
    <row r="125" spans="1:29" ht="26.25" thickBot="1">
      <c r="A125" s="489" t="s">
        <v>96</v>
      </c>
      <c r="B125" s="576" t="s">
        <v>127</v>
      </c>
      <c r="C125" s="577" t="s">
        <v>128</v>
      </c>
      <c r="D125" s="489" t="s">
        <v>98</v>
      </c>
      <c r="E125" s="568" t="s">
        <v>39</v>
      </c>
      <c r="F125" s="252"/>
      <c r="G125" s="565" t="s">
        <v>96</v>
      </c>
      <c r="H125" s="576" t="s">
        <v>127</v>
      </c>
      <c r="I125" s="577" t="s">
        <v>128</v>
      </c>
      <c r="J125" s="489" t="s">
        <v>98</v>
      </c>
      <c r="K125" s="568" t="s">
        <v>39</v>
      </c>
      <c r="L125" s="565" t="s">
        <v>96</v>
      </c>
      <c r="M125" s="576" t="s">
        <v>127</v>
      </c>
      <c r="N125" s="577" t="s">
        <v>128</v>
      </c>
      <c r="O125" s="489" t="s">
        <v>98</v>
      </c>
      <c r="P125" s="568" t="s">
        <v>39</v>
      </c>
      <c r="Q125" s="252"/>
      <c r="R125" s="565" t="s">
        <v>96</v>
      </c>
      <c r="S125" s="576" t="s">
        <v>127</v>
      </c>
      <c r="T125" s="577" t="s">
        <v>128</v>
      </c>
      <c r="U125" s="489" t="s">
        <v>98</v>
      </c>
      <c r="V125" s="568" t="s">
        <v>39</v>
      </c>
      <c r="W125" s="252"/>
      <c r="X125" s="565" t="s">
        <v>96</v>
      </c>
      <c r="Y125" s="576" t="s">
        <v>127</v>
      </c>
      <c r="Z125" s="577" t="s">
        <v>128</v>
      </c>
      <c r="AA125" s="489" t="s">
        <v>98</v>
      </c>
      <c r="AB125" s="568" t="s">
        <v>39</v>
      </c>
      <c r="AC125" s="252"/>
    </row>
    <row r="126" spans="1:29" ht="12.75">
      <c r="A126" s="531">
        <v>9</v>
      </c>
      <c r="B126" s="178">
        <f>20*0.95</f>
        <v>19</v>
      </c>
      <c r="C126" s="178">
        <f>20*0.04</f>
        <v>0.8</v>
      </c>
      <c r="D126" s="199">
        <f>20*0.01</f>
        <v>0.2</v>
      </c>
      <c r="E126" s="546">
        <f>SUM(B126:D126)</f>
        <v>20</v>
      </c>
      <c r="F126" s="252"/>
      <c r="G126" s="562">
        <v>9</v>
      </c>
      <c r="H126" s="178">
        <f>35*0.95</f>
        <v>33.25</v>
      </c>
      <c r="I126" s="178">
        <f>35*0.04</f>
        <v>1.4000000000000001</v>
      </c>
      <c r="J126" s="199">
        <f>35*0.01</f>
        <v>0.35000000000000003</v>
      </c>
      <c r="K126" s="546">
        <f>SUM(H126:J126)</f>
        <v>35</v>
      </c>
      <c r="L126" s="562">
        <v>9</v>
      </c>
      <c r="M126" s="178">
        <f>50*0.95</f>
        <v>47.5</v>
      </c>
      <c r="N126" s="178">
        <f>50*0.04</f>
        <v>2</v>
      </c>
      <c r="O126" s="199">
        <f>50*0.01</f>
        <v>0.5</v>
      </c>
      <c r="P126" s="546">
        <f>SUM(M126:O126)</f>
        <v>50</v>
      </c>
      <c r="Q126" s="252"/>
      <c r="R126" s="562">
        <v>9</v>
      </c>
      <c r="S126" s="178">
        <f>50*0.95</f>
        <v>47.5</v>
      </c>
      <c r="T126" s="178">
        <f>50*0.04</f>
        <v>2</v>
      </c>
      <c r="U126" s="199">
        <f>50*0.01</f>
        <v>0.5</v>
      </c>
      <c r="V126" s="546">
        <f>SUM(S126:U126)</f>
        <v>50</v>
      </c>
      <c r="W126" s="252"/>
      <c r="X126" s="562">
        <v>9</v>
      </c>
      <c r="Y126" s="178">
        <f>50*0.95</f>
        <v>47.5</v>
      </c>
      <c r="Z126" s="178">
        <f>50*0.04</f>
        <v>2</v>
      </c>
      <c r="AA126" s="199">
        <f>50*0.01</f>
        <v>0.5</v>
      </c>
      <c r="AB126" s="546">
        <f>SUM(Y126:AA126)</f>
        <v>50</v>
      </c>
      <c r="AC126" s="252"/>
    </row>
    <row r="127" spans="1:29" ht="12.75">
      <c r="A127" s="575">
        <v>10</v>
      </c>
      <c r="B127" s="178">
        <f>20*0.95</f>
        <v>19</v>
      </c>
      <c r="C127" s="178">
        <f>20*0.04</f>
        <v>0.8</v>
      </c>
      <c r="D127" s="199">
        <f>20*0.01</f>
        <v>0.2</v>
      </c>
      <c r="E127" s="546">
        <f>SUM(B127:D127)</f>
        <v>20</v>
      </c>
      <c r="F127" s="252"/>
      <c r="G127" s="578">
        <v>10</v>
      </c>
      <c r="H127" s="178">
        <f>35*0.95</f>
        <v>33.25</v>
      </c>
      <c r="I127" s="178">
        <f>35*0.04</f>
        <v>1.4000000000000001</v>
      </c>
      <c r="J127" s="199">
        <f>35*0.01</f>
        <v>0.35000000000000003</v>
      </c>
      <c r="K127" s="546">
        <f>SUM(H127:J127)</f>
        <v>35</v>
      </c>
      <c r="L127" s="578">
        <v>10</v>
      </c>
      <c r="M127" s="178">
        <f>50*0.95</f>
        <v>47.5</v>
      </c>
      <c r="N127" s="178">
        <f>50*0.04</f>
        <v>2</v>
      </c>
      <c r="O127" s="199">
        <f>50*0.01</f>
        <v>0.5</v>
      </c>
      <c r="P127" s="546">
        <f>SUM(M127:O127)</f>
        <v>50</v>
      </c>
      <c r="Q127" s="252"/>
      <c r="R127" s="578">
        <v>10</v>
      </c>
      <c r="S127" s="178">
        <f>50*0.95</f>
        <v>47.5</v>
      </c>
      <c r="T127" s="178">
        <f>50*0.04</f>
        <v>2</v>
      </c>
      <c r="U127" s="199">
        <f>50*0.01</f>
        <v>0.5</v>
      </c>
      <c r="V127" s="546">
        <f>SUM(S127:U127)</f>
        <v>50</v>
      </c>
      <c r="W127" s="252"/>
      <c r="X127" s="578">
        <v>10</v>
      </c>
      <c r="Y127" s="178">
        <f>50*0.95</f>
        <v>47.5</v>
      </c>
      <c r="Z127" s="178">
        <f>50*0.04</f>
        <v>2</v>
      </c>
      <c r="AA127" s="199">
        <f>50*0.01</f>
        <v>0.5</v>
      </c>
      <c r="AB127" s="546">
        <f>SUM(Y127:AA127)</f>
        <v>50</v>
      </c>
      <c r="AC127" s="252"/>
    </row>
    <row r="128" spans="1:29" ht="12.75">
      <c r="A128" s="575">
        <v>11</v>
      </c>
      <c r="B128" s="178">
        <f>25*0.95</f>
        <v>23.75</v>
      </c>
      <c r="C128" s="178">
        <f>25*0.04</f>
        <v>1</v>
      </c>
      <c r="D128" s="199">
        <f>25*0.01</f>
        <v>0.25</v>
      </c>
      <c r="E128" s="546">
        <f>SUM(B128:D128)</f>
        <v>25</v>
      </c>
      <c r="F128" s="252"/>
      <c r="G128" s="578">
        <v>11</v>
      </c>
      <c r="H128" s="178">
        <f>44*0.95</f>
        <v>41.8</v>
      </c>
      <c r="I128" s="178">
        <f>44*0.04</f>
        <v>1.76</v>
      </c>
      <c r="J128" s="199">
        <f>44*0.01</f>
        <v>0.44</v>
      </c>
      <c r="K128" s="546">
        <f>SUM(H128:J128)</f>
        <v>43.99999999999999</v>
      </c>
      <c r="L128" s="578">
        <v>11</v>
      </c>
      <c r="M128" s="178">
        <f>63*0.95</f>
        <v>59.849999999999994</v>
      </c>
      <c r="N128" s="178">
        <f>63*0.04</f>
        <v>2.52</v>
      </c>
      <c r="O128" s="199">
        <f>63*0.01</f>
        <v>0.63</v>
      </c>
      <c r="P128" s="546">
        <f>SUM(M128:O128)</f>
        <v>63</v>
      </c>
      <c r="Q128" s="252"/>
      <c r="R128" s="578">
        <v>11</v>
      </c>
      <c r="S128" s="178">
        <f>63*0.95</f>
        <v>59.849999999999994</v>
      </c>
      <c r="T128" s="178">
        <f>63*0.04</f>
        <v>2.52</v>
      </c>
      <c r="U128" s="199">
        <f>63*0.01</f>
        <v>0.63</v>
      </c>
      <c r="V128" s="546">
        <f>SUM(S128:U128)</f>
        <v>63</v>
      </c>
      <c r="W128" s="252"/>
      <c r="X128" s="578">
        <v>11</v>
      </c>
      <c r="Y128" s="178">
        <f>63*0.95</f>
        <v>59.849999999999994</v>
      </c>
      <c r="Z128" s="178">
        <f>63*0.04</f>
        <v>2.52</v>
      </c>
      <c r="AA128" s="199">
        <f>63*0.01</f>
        <v>0.63</v>
      </c>
      <c r="AB128" s="546">
        <f>SUM(Y128:AA128)</f>
        <v>63</v>
      </c>
      <c r="AC128" s="252"/>
    </row>
    <row r="129" spans="1:29" ht="12.75">
      <c r="A129" s="575">
        <v>12</v>
      </c>
      <c r="B129" s="178">
        <f>35*0.95</f>
        <v>33.25</v>
      </c>
      <c r="C129" s="178">
        <f>35*0.04</f>
        <v>1.4000000000000001</v>
      </c>
      <c r="D129" s="199">
        <f>35*0.01</f>
        <v>0.35000000000000003</v>
      </c>
      <c r="E129" s="546">
        <f>SUM(B129:D129)</f>
        <v>35</v>
      </c>
      <c r="F129" s="252"/>
      <c r="G129" s="578">
        <v>12</v>
      </c>
      <c r="H129" s="178">
        <f>61*0.95</f>
        <v>57.949999999999996</v>
      </c>
      <c r="I129" s="178">
        <f>61*0.04</f>
        <v>2.44</v>
      </c>
      <c r="J129" s="199">
        <f>61*0.01</f>
        <v>0.61</v>
      </c>
      <c r="K129" s="546">
        <f>SUM(H129:J129)</f>
        <v>60.99999999999999</v>
      </c>
      <c r="L129" s="578">
        <v>12</v>
      </c>
      <c r="M129" s="178">
        <f>87*0.95</f>
        <v>82.64999999999999</v>
      </c>
      <c r="N129" s="178">
        <f>87*0.04</f>
        <v>3.48</v>
      </c>
      <c r="O129" s="199">
        <f>87*0.01</f>
        <v>0.87</v>
      </c>
      <c r="P129" s="546">
        <f>SUM(M129:O129)</f>
        <v>87</v>
      </c>
      <c r="Q129" s="252"/>
      <c r="R129" s="578">
        <v>12</v>
      </c>
      <c r="S129" s="178">
        <f>87*0.95</f>
        <v>82.64999999999999</v>
      </c>
      <c r="T129" s="178">
        <f>87*0.04</f>
        <v>3.48</v>
      </c>
      <c r="U129" s="199">
        <f>87*0.01</f>
        <v>0.87</v>
      </c>
      <c r="V129" s="546">
        <f>SUM(S129:U129)</f>
        <v>87</v>
      </c>
      <c r="W129" s="252"/>
      <c r="X129" s="578">
        <v>12</v>
      </c>
      <c r="Y129" s="178">
        <f>87*0.95</f>
        <v>82.64999999999999</v>
      </c>
      <c r="Z129" s="178">
        <f>87*0.04</f>
        <v>3.48</v>
      </c>
      <c r="AA129" s="199">
        <f>87*0.01</f>
        <v>0.87</v>
      </c>
      <c r="AB129" s="546">
        <f>SUM(Y129:AA129)</f>
        <v>87</v>
      </c>
      <c r="AC129" s="252"/>
    </row>
    <row r="130" spans="1:29" ht="12.75">
      <c r="A130" s="556" t="s">
        <v>129</v>
      </c>
      <c r="B130" s="536">
        <f>SUM(B126:B129)</f>
        <v>95</v>
      </c>
      <c r="C130" s="536">
        <f>SUM(C126:C129)</f>
        <v>4</v>
      </c>
      <c r="D130" s="536">
        <f>SUM(D126:D129)</f>
        <v>1</v>
      </c>
      <c r="E130" s="537">
        <f>SUM(E126:E129)</f>
        <v>100</v>
      </c>
      <c r="F130" s="252"/>
      <c r="G130" s="563" t="s">
        <v>129</v>
      </c>
      <c r="H130" s="536">
        <f>SUM(H126:H129)</f>
        <v>166.25</v>
      </c>
      <c r="I130" s="536">
        <f>SUM(I126:I129)</f>
        <v>7</v>
      </c>
      <c r="J130" s="536">
        <f>SUM(J126:J129)</f>
        <v>1.75</v>
      </c>
      <c r="K130" s="537">
        <f>SUM(K126:K129)</f>
        <v>175</v>
      </c>
      <c r="L130" s="563" t="s">
        <v>129</v>
      </c>
      <c r="M130" s="536">
        <f>SUM(M126:M129)</f>
        <v>237.5</v>
      </c>
      <c r="N130" s="536">
        <f>SUM(N126:N129)</f>
        <v>10</v>
      </c>
      <c r="O130" s="536">
        <f>SUM(O126:O129)</f>
        <v>2.5</v>
      </c>
      <c r="P130" s="537">
        <f>SUM(P126:P129)</f>
        <v>250</v>
      </c>
      <c r="Q130" s="252"/>
      <c r="R130" s="563" t="s">
        <v>129</v>
      </c>
      <c r="S130" s="536">
        <f>SUM(S126:S129)</f>
        <v>237.5</v>
      </c>
      <c r="T130" s="536">
        <f>SUM(T126:T129)</f>
        <v>10</v>
      </c>
      <c r="U130" s="536">
        <f>SUM(U126:U129)</f>
        <v>2.5</v>
      </c>
      <c r="V130" s="537">
        <f>SUM(V126:V129)</f>
        <v>250</v>
      </c>
      <c r="W130" s="252"/>
      <c r="X130" s="563" t="s">
        <v>129</v>
      </c>
      <c r="Y130" s="536">
        <f>SUM(Y126:Y129)</f>
        <v>237.5</v>
      </c>
      <c r="Z130" s="536">
        <f>SUM(Z126:Z129)</f>
        <v>10</v>
      </c>
      <c r="AA130" s="536">
        <f>SUM(AA126:AA129)</f>
        <v>2.5</v>
      </c>
      <c r="AB130" s="537">
        <f>SUM(AB126:AB129)</f>
        <v>250</v>
      </c>
      <c r="AC130" s="252"/>
    </row>
    <row r="131" spans="1:29" ht="13.5" thickBot="1">
      <c r="A131" s="557" t="s">
        <v>102</v>
      </c>
      <c r="B131" s="538">
        <v>1</v>
      </c>
      <c r="C131" s="538">
        <v>0.7</v>
      </c>
      <c r="D131" s="538">
        <v>0.4</v>
      </c>
      <c r="E131" s="97"/>
      <c r="F131" s="252"/>
      <c r="G131" s="564" t="s">
        <v>102</v>
      </c>
      <c r="H131" s="538">
        <v>1</v>
      </c>
      <c r="I131" s="538">
        <v>0.7</v>
      </c>
      <c r="J131" s="538">
        <v>0.4</v>
      </c>
      <c r="K131" s="97"/>
      <c r="L131" s="564" t="s">
        <v>102</v>
      </c>
      <c r="M131" s="538">
        <v>1</v>
      </c>
      <c r="N131" s="538">
        <v>0.7</v>
      </c>
      <c r="O131" s="538">
        <v>0.4</v>
      </c>
      <c r="P131" s="97"/>
      <c r="Q131" s="252"/>
      <c r="R131" s="564" t="s">
        <v>102</v>
      </c>
      <c r="S131" s="538">
        <v>1</v>
      </c>
      <c r="T131" s="538">
        <v>0.7</v>
      </c>
      <c r="U131" s="538">
        <v>0.4</v>
      </c>
      <c r="V131" s="97"/>
      <c r="W131" s="252"/>
      <c r="X131" s="564" t="s">
        <v>102</v>
      </c>
      <c r="Y131" s="538">
        <v>1</v>
      </c>
      <c r="Z131" s="538">
        <v>0.7</v>
      </c>
      <c r="AA131" s="538">
        <v>0.4</v>
      </c>
      <c r="AB131" s="165"/>
      <c r="AC131" s="252"/>
    </row>
    <row r="132" spans="1:29" ht="13.5" thickBot="1">
      <c r="A132" s="489" t="s">
        <v>130</v>
      </c>
      <c r="B132" s="539">
        <f>B130*B131</f>
        <v>95</v>
      </c>
      <c r="C132" s="539">
        <f>C130*C131</f>
        <v>2.8</v>
      </c>
      <c r="D132" s="539">
        <f>D130*D131</f>
        <v>0.4</v>
      </c>
      <c r="E132" s="547">
        <f>SUM(B132:D132)</f>
        <v>98.2</v>
      </c>
      <c r="F132" s="252"/>
      <c r="G132" s="565" t="s">
        <v>130</v>
      </c>
      <c r="H132" s="539">
        <f>H130*H131</f>
        <v>166.25</v>
      </c>
      <c r="I132" s="539">
        <f>I130*I131</f>
        <v>4.8999999999999995</v>
      </c>
      <c r="J132" s="539">
        <f>J130*J131</f>
        <v>0.7000000000000001</v>
      </c>
      <c r="K132" s="547">
        <f>SUM(H132:J132)</f>
        <v>171.85</v>
      </c>
      <c r="L132" s="565" t="s">
        <v>130</v>
      </c>
      <c r="M132" s="539">
        <f>M130*M131</f>
        <v>237.5</v>
      </c>
      <c r="N132" s="539">
        <f>N130*N131</f>
        <v>7</v>
      </c>
      <c r="O132" s="539">
        <f>O130*O131</f>
        <v>1</v>
      </c>
      <c r="P132" s="547">
        <f>SUM(M132:O132)</f>
        <v>245.5</v>
      </c>
      <c r="Q132" s="252"/>
      <c r="R132" s="565" t="s">
        <v>130</v>
      </c>
      <c r="S132" s="539">
        <f>S130*S131</f>
        <v>237.5</v>
      </c>
      <c r="T132" s="539">
        <f>T130*T131</f>
        <v>7</v>
      </c>
      <c r="U132" s="539">
        <f>U130*U131</f>
        <v>1</v>
      </c>
      <c r="V132" s="547">
        <f>SUM(S132:U132)</f>
        <v>245.5</v>
      </c>
      <c r="W132" s="252"/>
      <c r="X132" s="565" t="s">
        <v>130</v>
      </c>
      <c r="Y132" s="539">
        <f>Y130*Y131</f>
        <v>237.5</v>
      </c>
      <c r="Z132" s="539">
        <f>Z130*Z131</f>
        <v>7</v>
      </c>
      <c r="AA132" s="539">
        <f>AA130*AA131</f>
        <v>1</v>
      </c>
      <c r="AB132" s="547">
        <f>SUM(Y132:AA132)</f>
        <v>245.5</v>
      </c>
      <c r="AC132" s="252"/>
    </row>
    <row r="133" spans="1:29" ht="12.75">
      <c r="A133" s="181"/>
      <c r="B133" s="182"/>
      <c r="C133" s="107"/>
      <c r="D133" s="182"/>
      <c r="E133" s="107"/>
      <c r="F133" s="252"/>
      <c r="G133" s="182"/>
      <c r="H133" s="182"/>
      <c r="I133" s="107"/>
      <c r="J133" s="182"/>
      <c r="K133" s="107"/>
      <c r="L133" s="182"/>
      <c r="M133" s="182"/>
      <c r="N133" s="107"/>
      <c r="O133" s="182"/>
      <c r="P133" s="107"/>
      <c r="Q133" s="252"/>
      <c r="R133" s="182"/>
      <c r="S133" s="182"/>
      <c r="T133" s="107"/>
      <c r="U133" s="182"/>
      <c r="V133" s="107"/>
      <c r="W133" s="252"/>
      <c r="X133" s="182"/>
      <c r="Y133" s="182"/>
      <c r="Z133" s="107"/>
      <c r="AA133" s="182"/>
      <c r="AB133" s="107"/>
      <c r="AC133" s="252"/>
    </row>
    <row r="134" spans="1:29" ht="13.5" thickBot="1">
      <c r="A134" s="181"/>
      <c r="B134" s="182"/>
      <c r="C134" s="107"/>
      <c r="D134" s="182"/>
      <c r="E134" s="107"/>
      <c r="F134" s="252"/>
      <c r="G134" s="182"/>
      <c r="H134" s="182"/>
      <c r="I134" s="107"/>
      <c r="J134" s="182"/>
      <c r="K134" s="107"/>
      <c r="L134" s="182"/>
      <c r="M134" s="182"/>
      <c r="N134" s="107"/>
      <c r="O134" s="182"/>
      <c r="P134" s="107"/>
      <c r="Q134" s="252"/>
      <c r="R134" s="182"/>
      <c r="S134" s="182"/>
      <c r="T134" s="107"/>
      <c r="U134" s="182"/>
      <c r="V134" s="107"/>
      <c r="W134" s="252"/>
      <c r="X134" s="182"/>
      <c r="Y134" s="182"/>
      <c r="Z134" s="107"/>
      <c r="AA134" s="182"/>
      <c r="AB134" s="107"/>
      <c r="AC134" s="252"/>
    </row>
    <row r="135" spans="1:29" ht="13.5" thickBot="1">
      <c r="A135" s="1059" t="s">
        <v>131</v>
      </c>
      <c r="B135" s="1060"/>
      <c r="C135" s="97"/>
      <c r="D135" s="200"/>
      <c r="E135" s="97"/>
      <c r="F135" s="252"/>
      <c r="G135" s="1086" t="s">
        <v>131</v>
      </c>
      <c r="H135" s="1060"/>
      <c r="I135" s="97"/>
      <c r="J135" s="200"/>
      <c r="K135" s="97"/>
      <c r="L135" s="1059" t="s">
        <v>131</v>
      </c>
      <c r="M135" s="1060"/>
      <c r="N135" s="97"/>
      <c r="O135" s="200"/>
      <c r="P135" s="97"/>
      <c r="Q135" s="252"/>
      <c r="R135" s="1086" t="s">
        <v>131</v>
      </c>
      <c r="S135" s="1060"/>
      <c r="T135" s="97"/>
      <c r="U135" s="200"/>
      <c r="V135" s="97"/>
      <c r="W135" s="252"/>
      <c r="X135" s="1086" t="s">
        <v>131</v>
      </c>
      <c r="Y135" s="1060"/>
      <c r="Z135" s="97"/>
      <c r="AA135" s="200"/>
      <c r="AB135" s="97"/>
      <c r="AC135" s="252"/>
    </row>
    <row r="136" spans="1:29" ht="12.75">
      <c r="A136" s="566" t="s">
        <v>300</v>
      </c>
      <c r="B136" s="540">
        <f>E132</f>
        <v>98.2</v>
      </c>
      <c r="C136" s="97"/>
      <c r="D136" s="200"/>
      <c r="E136" s="97"/>
      <c r="F136" s="252"/>
      <c r="G136" s="570" t="s">
        <v>300</v>
      </c>
      <c r="H136" s="540">
        <f>K132</f>
        <v>171.85</v>
      </c>
      <c r="I136" s="97"/>
      <c r="J136" s="200"/>
      <c r="K136" s="97"/>
      <c r="L136" s="570" t="s">
        <v>132</v>
      </c>
      <c r="M136" s="540">
        <f>P132</f>
        <v>245.5</v>
      </c>
      <c r="N136" s="97"/>
      <c r="O136" s="200"/>
      <c r="P136" s="97"/>
      <c r="Q136" s="252"/>
      <c r="R136" s="570" t="s">
        <v>300</v>
      </c>
      <c r="S136" s="540">
        <f>V132</f>
        <v>245.5</v>
      </c>
      <c r="T136" s="97"/>
      <c r="U136" s="200"/>
      <c r="V136" s="97"/>
      <c r="W136" s="252"/>
      <c r="X136" s="570" t="s">
        <v>300</v>
      </c>
      <c r="Y136" s="540">
        <f>AB132</f>
        <v>245.5</v>
      </c>
      <c r="Z136" s="97"/>
      <c r="AA136" s="200"/>
      <c r="AB136" s="97"/>
      <c r="AC136" s="252"/>
    </row>
    <row r="137" spans="1:29" ht="13.5" thickBot="1">
      <c r="A137" s="567" t="s">
        <v>59</v>
      </c>
      <c r="B137" s="541">
        <f>B15</f>
        <v>6220.83</v>
      </c>
      <c r="C137" s="97"/>
      <c r="D137" s="200"/>
      <c r="E137" s="97"/>
      <c r="F137" s="252"/>
      <c r="G137" s="571" t="s">
        <v>59</v>
      </c>
      <c r="H137" s="541">
        <f>H15</f>
        <v>6220.83</v>
      </c>
      <c r="I137" s="97"/>
      <c r="J137" s="200"/>
      <c r="K137" s="97"/>
      <c r="L137" s="571" t="s">
        <v>59</v>
      </c>
      <c r="M137" s="541">
        <f>M15</f>
        <v>6220.83</v>
      </c>
      <c r="N137" s="97"/>
      <c r="O137" s="200"/>
      <c r="P137" s="97"/>
      <c r="Q137" s="252"/>
      <c r="R137" s="571" t="s">
        <v>59</v>
      </c>
      <c r="S137" s="541">
        <f>S15</f>
        <v>6220.83</v>
      </c>
      <c r="T137" s="97"/>
      <c r="U137" s="200"/>
      <c r="V137" s="97"/>
      <c r="W137" s="252"/>
      <c r="X137" s="571" t="s">
        <v>59</v>
      </c>
      <c r="Y137" s="541">
        <f>Y15</f>
        <v>6220.83</v>
      </c>
      <c r="Z137" s="97"/>
      <c r="AA137" s="200"/>
      <c r="AB137" s="97"/>
      <c r="AC137" s="252"/>
    </row>
    <row r="138" spans="1:29" ht="15.75" thickBot="1">
      <c r="A138" s="535" t="s">
        <v>133</v>
      </c>
      <c r="B138" s="542">
        <f>B136*B137</f>
        <v>610885.506</v>
      </c>
      <c r="C138" s="97"/>
      <c r="D138" s="200"/>
      <c r="E138" s="97"/>
      <c r="F138" s="252"/>
      <c r="G138" s="572" t="s">
        <v>133</v>
      </c>
      <c r="H138" s="542">
        <f>H136*H137</f>
        <v>1069049.6354999999</v>
      </c>
      <c r="I138" s="97"/>
      <c r="J138" s="200"/>
      <c r="K138" s="97"/>
      <c r="L138" s="572" t="s">
        <v>133</v>
      </c>
      <c r="M138" s="542">
        <f>M136*M137</f>
        <v>1527213.765</v>
      </c>
      <c r="N138" s="97"/>
      <c r="O138" s="200"/>
      <c r="P138" s="97"/>
      <c r="Q138" s="252"/>
      <c r="R138" s="572" t="s">
        <v>133</v>
      </c>
      <c r="S138" s="542">
        <f>S136*S137</f>
        <v>1527213.765</v>
      </c>
      <c r="T138" s="97"/>
      <c r="U138" s="200"/>
      <c r="V138" s="97"/>
      <c r="W138" s="252"/>
      <c r="X138" s="572" t="s">
        <v>133</v>
      </c>
      <c r="Y138" s="542">
        <f>Y136*Y137</f>
        <v>1527213.765</v>
      </c>
      <c r="Z138" s="97"/>
      <c r="AA138" s="200"/>
      <c r="AB138" s="97"/>
      <c r="AC138" s="252"/>
    </row>
    <row r="139" spans="1:29" ht="15">
      <c r="A139" s="194"/>
      <c r="B139" s="195"/>
      <c r="C139" s="107"/>
      <c r="D139" s="107"/>
      <c r="E139" s="182"/>
      <c r="F139" s="252"/>
      <c r="G139" s="242"/>
      <c r="H139" s="195"/>
      <c r="I139" s="107"/>
      <c r="J139" s="107"/>
      <c r="K139" s="182"/>
      <c r="L139" s="242"/>
      <c r="M139" s="195"/>
      <c r="N139" s="107"/>
      <c r="O139" s="107"/>
      <c r="P139" s="182"/>
      <c r="Q139" s="252"/>
      <c r="R139" s="242"/>
      <c r="S139" s="195"/>
      <c r="T139" s="107"/>
      <c r="U139" s="107"/>
      <c r="V139" s="182"/>
      <c r="W139" s="252"/>
      <c r="X139" s="242"/>
      <c r="Y139" s="195"/>
      <c r="Z139" s="107"/>
      <c r="AA139" s="107"/>
      <c r="AB139" s="182"/>
      <c r="AC139" s="252"/>
    </row>
    <row r="140" spans="1:29" ht="15.75" thickBot="1">
      <c r="A140" s="194"/>
      <c r="B140" s="195"/>
      <c r="C140" s="107"/>
      <c r="D140" s="107"/>
      <c r="E140" s="182"/>
      <c r="F140" s="252"/>
      <c r="G140" s="242"/>
      <c r="H140" s="195"/>
      <c r="I140" s="107"/>
      <c r="J140" s="107"/>
      <c r="K140" s="182"/>
      <c r="L140" s="242"/>
      <c r="M140" s="195"/>
      <c r="N140" s="107"/>
      <c r="O140" s="107"/>
      <c r="P140" s="182"/>
      <c r="Q140" s="252"/>
      <c r="R140" s="242"/>
      <c r="S140" s="195"/>
      <c r="T140" s="107"/>
      <c r="U140" s="107"/>
      <c r="V140" s="182"/>
      <c r="W140" s="252"/>
      <c r="X140" s="242"/>
      <c r="Y140" s="195"/>
      <c r="Z140" s="107"/>
      <c r="AA140" s="107"/>
      <c r="AB140" s="182"/>
      <c r="AC140" s="252"/>
    </row>
    <row r="141" spans="1:29" ht="13.5" thickBot="1">
      <c r="A141" s="1059" t="s">
        <v>134</v>
      </c>
      <c r="B141" s="1060"/>
      <c r="C141" s="165"/>
      <c r="D141" s="165"/>
      <c r="E141" s="164"/>
      <c r="F141" s="252"/>
      <c r="G141" s="1086" t="s">
        <v>134</v>
      </c>
      <c r="H141" s="1060"/>
      <c r="I141" s="165"/>
      <c r="J141" s="165"/>
      <c r="K141" s="164"/>
      <c r="L141" s="1059" t="s">
        <v>134</v>
      </c>
      <c r="M141" s="1060"/>
      <c r="N141" s="165"/>
      <c r="O141" s="165"/>
      <c r="P141" s="164"/>
      <c r="Q141" s="252"/>
      <c r="R141" s="1086" t="s">
        <v>134</v>
      </c>
      <c r="S141" s="1060"/>
      <c r="T141" s="165"/>
      <c r="U141" s="165"/>
      <c r="V141" s="164"/>
      <c r="W141" s="252"/>
      <c r="X141" s="1086" t="s">
        <v>134</v>
      </c>
      <c r="Y141" s="1060"/>
      <c r="Z141" s="165"/>
      <c r="AA141" s="165"/>
      <c r="AB141" s="164"/>
      <c r="AC141" s="252"/>
    </row>
    <row r="142" spans="1:29" ht="12.75">
      <c r="A142" s="566" t="s">
        <v>135</v>
      </c>
      <c r="B142" s="540">
        <f>E130</f>
        <v>100</v>
      </c>
      <c r="C142" s="165"/>
      <c r="D142" s="165"/>
      <c r="E142" s="164"/>
      <c r="F142" s="252"/>
      <c r="G142" s="570" t="s">
        <v>135</v>
      </c>
      <c r="H142" s="540">
        <f>K130</f>
        <v>175</v>
      </c>
      <c r="I142" s="165"/>
      <c r="J142" s="165"/>
      <c r="K142" s="164"/>
      <c r="L142" s="570" t="s">
        <v>135</v>
      </c>
      <c r="M142" s="540">
        <f>P130</f>
        <v>250</v>
      </c>
      <c r="N142" s="165"/>
      <c r="O142" s="165"/>
      <c r="P142" s="164"/>
      <c r="Q142" s="252"/>
      <c r="R142" s="570" t="s">
        <v>135</v>
      </c>
      <c r="S142" s="540">
        <f>V130</f>
        <v>250</v>
      </c>
      <c r="T142" s="165"/>
      <c r="U142" s="165"/>
      <c r="V142" s="164"/>
      <c r="W142" s="252"/>
      <c r="X142" s="570" t="s">
        <v>135</v>
      </c>
      <c r="Y142" s="540">
        <f>AB130</f>
        <v>250</v>
      </c>
      <c r="Z142" s="165"/>
      <c r="AA142" s="165"/>
      <c r="AB142" s="164"/>
      <c r="AC142" s="252"/>
    </row>
    <row r="143" spans="1:29" ht="16.5" thickBot="1">
      <c r="A143" s="567" t="s">
        <v>136</v>
      </c>
      <c r="B143" s="541">
        <f>B16</f>
        <v>2447.52</v>
      </c>
      <c r="C143" s="165"/>
      <c r="D143" s="165"/>
      <c r="E143" s="165"/>
      <c r="F143" s="254"/>
      <c r="G143" s="571" t="s">
        <v>136</v>
      </c>
      <c r="H143" s="541">
        <f>H16</f>
        <v>2447.52</v>
      </c>
      <c r="I143" s="165"/>
      <c r="J143" s="165"/>
      <c r="K143" s="165"/>
      <c r="L143" s="571" t="s">
        <v>136</v>
      </c>
      <c r="M143" s="541">
        <f>M16</f>
        <v>2447.52</v>
      </c>
      <c r="N143" s="165"/>
      <c r="O143" s="165"/>
      <c r="P143" s="165"/>
      <c r="Q143" s="254"/>
      <c r="R143" s="571" t="s">
        <v>136</v>
      </c>
      <c r="S143" s="541">
        <f>S16</f>
        <v>2447.52</v>
      </c>
      <c r="T143" s="165"/>
      <c r="U143" s="165"/>
      <c r="V143" s="165"/>
      <c r="W143" s="254"/>
      <c r="X143" s="571" t="s">
        <v>136</v>
      </c>
      <c r="Y143" s="541">
        <f>Y16</f>
        <v>2447.52</v>
      </c>
      <c r="Z143" s="165"/>
      <c r="AA143" s="165"/>
      <c r="AB143" s="165"/>
      <c r="AC143" s="254"/>
    </row>
    <row r="144" spans="1:29" ht="16.5" thickBot="1">
      <c r="A144" s="535" t="s">
        <v>137</v>
      </c>
      <c r="B144" s="542">
        <f>B142*B143</f>
        <v>244752</v>
      </c>
      <c r="C144" s="165"/>
      <c r="D144" s="165"/>
      <c r="E144" s="165"/>
      <c r="F144" s="254"/>
      <c r="G144" s="572" t="s">
        <v>137</v>
      </c>
      <c r="H144" s="542">
        <f>H142*H143</f>
        <v>428316</v>
      </c>
      <c r="I144" s="165"/>
      <c r="J144" s="165"/>
      <c r="K144" s="165"/>
      <c r="L144" s="572" t="s">
        <v>137</v>
      </c>
      <c r="M144" s="542">
        <f>M142*M143</f>
        <v>611880</v>
      </c>
      <c r="N144" s="165"/>
      <c r="O144" s="165"/>
      <c r="P144" s="165"/>
      <c r="Q144" s="254"/>
      <c r="R144" s="572" t="s">
        <v>137</v>
      </c>
      <c r="S144" s="542">
        <f>S142*S143</f>
        <v>611880</v>
      </c>
      <c r="T144" s="165"/>
      <c r="U144" s="165"/>
      <c r="V144" s="165"/>
      <c r="W144" s="254"/>
      <c r="X144" s="572" t="s">
        <v>137</v>
      </c>
      <c r="Y144" s="542">
        <f>Y142*Y143</f>
        <v>611880</v>
      </c>
      <c r="Z144" s="165"/>
      <c r="AA144" s="165"/>
      <c r="AB144" s="165"/>
      <c r="AC144" s="254"/>
    </row>
    <row r="145" spans="1:29" ht="15.75">
      <c r="A145" s="196"/>
      <c r="B145" s="187"/>
      <c r="C145" s="187"/>
      <c r="D145" s="179"/>
      <c r="E145" s="191"/>
      <c r="F145" s="255"/>
      <c r="G145" s="187"/>
      <c r="H145" s="187"/>
      <c r="I145" s="187"/>
      <c r="J145" s="179"/>
      <c r="K145" s="191"/>
      <c r="L145" s="187"/>
      <c r="M145" s="187"/>
      <c r="N145" s="187"/>
      <c r="O145" s="179"/>
      <c r="P145" s="191"/>
      <c r="Q145" s="255"/>
      <c r="R145" s="187"/>
      <c r="S145" s="187"/>
      <c r="T145" s="187"/>
      <c r="U145" s="179"/>
      <c r="V145" s="191"/>
      <c r="W145" s="255"/>
      <c r="X145" s="187"/>
      <c r="Y145" s="187"/>
      <c r="Z145" s="187"/>
      <c r="AA145" s="179"/>
      <c r="AB145" s="191"/>
      <c r="AC145" s="255"/>
    </row>
    <row r="146" spans="1:29" ht="16.5" thickBot="1">
      <c r="A146" s="196"/>
      <c r="B146" s="187"/>
      <c r="C146" s="187"/>
      <c r="D146" s="179"/>
      <c r="E146" s="191"/>
      <c r="F146" s="255"/>
      <c r="G146" s="187"/>
      <c r="H146" s="187"/>
      <c r="I146" s="187"/>
      <c r="J146" s="179"/>
      <c r="K146" s="191"/>
      <c r="L146" s="187"/>
      <c r="M146" s="187"/>
      <c r="N146" s="187"/>
      <c r="O146" s="179"/>
      <c r="P146" s="191"/>
      <c r="Q146" s="255"/>
      <c r="R146" s="187"/>
      <c r="S146" s="187"/>
      <c r="T146" s="187"/>
      <c r="U146" s="179"/>
      <c r="V146" s="191"/>
      <c r="W146" s="255"/>
      <c r="X146" s="187"/>
      <c r="Y146" s="187"/>
      <c r="Z146" s="187"/>
      <c r="AA146" s="179"/>
      <c r="AB146" s="191"/>
      <c r="AC146" s="255"/>
    </row>
    <row r="147" spans="1:29" ht="13.5" thickBot="1">
      <c r="A147" s="1059" t="s">
        <v>138</v>
      </c>
      <c r="B147" s="1060"/>
      <c r="C147" s="186"/>
      <c r="D147" s="201"/>
      <c r="E147" s="202"/>
      <c r="F147" s="256"/>
      <c r="G147" s="1086" t="s">
        <v>138</v>
      </c>
      <c r="H147" s="1060"/>
      <c r="I147" s="186"/>
      <c r="J147" s="201"/>
      <c r="K147" s="202"/>
      <c r="L147" s="1059" t="s">
        <v>138</v>
      </c>
      <c r="M147" s="1060"/>
      <c r="N147" s="186"/>
      <c r="O147" s="201"/>
      <c r="P147" s="202"/>
      <c r="Q147" s="256"/>
      <c r="R147" s="1086" t="s">
        <v>138</v>
      </c>
      <c r="S147" s="1060"/>
      <c r="T147" s="186"/>
      <c r="U147" s="201"/>
      <c r="V147" s="202"/>
      <c r="W147" s="256"/>
      <c r="X147" s="1086" t="s">
        <v>138</v>
      </c>
      <c r="Y147" s="1060"/>
      <c r="Z147" s="186"/>
      <c r="AA147" s="201"/>
      <c r="AB147" s="202"/>
      <c r="AC147" s="256"/>
    </row>
    <row r="148" spans="1:29" ht="12.75">
      <c r="A148" s="566" t="s">
        <v>133</v>
      </c>
      <c r="B148" s="543">
        <f>B138</f>
        <v>610885.506</v>
      </c>
      <c r="C148" s="186"/>
      <c r="D148" s="201"/>
      <c r="E148" s="202"/>
      <c r="F148" s="256"/>
      <c r="G148" s="570" t="s">
        <v>133</v>
      </c>
      <c r="H148" s="543">
        <f>H138</f>
        <v>1069049.6354999999</v>
      </c>
      <c r="I148" s="186"/>
      <c r="J148" s="201"/>
      <c r="K148" s="202"/>
      <c r="L148" s="570" t="s">
        <v>133</v>
      </c>
      <c r="M148" s="543">
        <f>M138</f>
        <v>1527213.765</v>
      </c>
      <c r="N148" s="186"/>
      <c r="O148" s="201"/>
      <c r="P148" s="202"/>
      <c r="Q148" s="256"/>
      <c r="R148" s="570" t="s">
        <v>133</v>
      </c>
      <c r="S148" s="543">
        <f>S138</f>
        <v>1527213.765</v>
      </c>
      <c r="T148" s="186"/>
      <c r="U148" s="201"/>
      <c r="V148" s="202"/>
      <c r="W148" s="256"/>
      <c r="X148" s="570" t="s">
        <v>133</v>
      </c>
      <c r="Y148" s="543">
        <f>Y138</f>
        <v>1527213.765</v>
      </c>
      <c r="Z148" s="186"/>
      <c r="AA148" s="201"/>
      <c r="AB148" s="202"/>
      <c r="AC148" s="256"/>
    </row>
    <row r="149" spans="1:29" ht="12.75" customHeight="1" thickBot="1">
      <c r="A149" s="566" t="s">
        <v>137</v>
      </c>
      <c r="B149" s="541">
        <f>B144</f>
        <v>244752</v>
      </c>
      <c r="C149" s="186"/>
      <c r="D149" s="201"/>
      <c r="E149" s="202"/>
      <c r="F149" s="256"/>
      <c r="G149" s="570" t="s">
        <v>137</v>
      </c>
      <c r="H149" s="541">
        <f>H144</f>
        <v>428316</v>
      </c>
      <c r="I149" s="186"/>
      <c r="J149" s="201"/>
      <c r="K149" s="202"/>
      <c r="L149" s="570" t="s">
        <v>137</v>
      </c>
      <c r="M149" s="541">
        <f>M144</f>
        <v>611880</v>
      </c>
      <c r="N149" s="186"/>
      <c r="O149" s="201"/>
      <c r="P149" s="202"/>
      <c r="Q149" s="256"/>
      <c r="R149" s="570" t="s">
        <v>137</v>
      </c>
      <c r="S149" s="541">
        <f>S144</f>
        <v>611880</v>
      </c>
      <c r="T149" s="186"/>
      <c r="U149" s="201"/>
      <c r="V149" s="584"/>
      <c r="W149" s="256"/>
      <c r="X149" s="570" t="s">
        <v>137</v>
      </c>
      <c r="Y149" s="541">
        <f>Y144</f>
        <v>611880</v>
      </c>
      <c r="Z149" s="186"/>
      <c r="AA149" s="201"/>
      <c r="AB149" s="202"/>
      <c r="AC149" s="256"/>
    </row>
    <row r="150" spans="1:29" ht="15.75" thickBot="1">
      <c r="A150" s="535" t="s">
        <v>139</v>
      </c>
      <c r="B150" s="542">
        <f>B148+B149</f>
        <v>855637.506</v>
      </c>
      <c r="C150" s="186"/>
      <c r="D150" s="201"/>
      <c r="E150" s="202"/>
      <c r="F150" s="257"/>
      <c r="G150" s="572" t="s">
        <v>139</v>
      </c>
      <c r="H150" s="542">
        <f>H148+H149</f>
        <v>1497365.6354999999</v>
      </c>
      <c r="I150" s="186"/>
      <c r="J150" s="201"/>
      <c r="K150" s="202"/>
      <c r="L150" s="572" t="s">
        <v>139</v>
      </c>
      <c r="M150" s="542">
        <f>M148+M149</f>
        <v>2139093.7649999997</v>
      </c>
      <c r="N150" s="186"/>
      <c r="O150" s="201"/>
      <c r="P150" s="202"/>
      <c r="Q150" s="257"/>
      <c r="R150" s="572" t="s">
        <v>139</v>
      </c>
      <c r="S150" s="542">
        <f>S148+S149</f>
        <v>2139093.7649999997</v>
      </c>
      <c r="T150" s="186"/>
      <c r="U150" s="201"/>
      <c r="V150" s="584"/>
      <c r="W150" s="257"/>
      <c r="X150" s="572" t="s">
        <v>139</v>
      </c>
      <c r="Y150" s="542">
        <f>Y148+Y149</f>
        <v>2139093.7649999997</v>
      </c>
      <c r="Z150" s="186"/>
      <c r="AA150" s="201"/>
      <c r="AB150" s="202"/>
      <c r="AC150" s="257"/>
    </row>
    <row r="151" spans="1:29" ht="15">
      <c r="A151" s="183"/>
      <c r="B151" s="184"/>
      <c r="C151" s="186"/>
      <c r="D151" s="201"/>
      <c r="E151" s="202"/>
      <c r="F151" s="257"/>
      <c r="G151" s="183"/>
      <c r="H151" s="184"/>
      <c r="I151" s="186"/>
      <c r="J151" s="201"/>
      <c r="K151" s="202"/>
      <c r="L151" s="7"/>
      <c r="M151" s="184"/>
      <c r="N151" s="186"/>
      <c r="O151" s="201"/>
      <c r="P151" s="202"/>
      <c r="Q151" s="257"/>
      <c r="R151" s="7"/>
      <c r="S151" s="184"/>
      <c r="T151" s="186"/>
      <c r="U151" s="201"/>
      <c r="V151" s="584"/>
      <c r="W151" s="257"/>
      <c r="X151" s="7"/>
      <c r="Y151" s="184"/>
      <c r="Z151" s="186"/>
      <c r="AA151" s="201"/>
      <c r="AB151" s="202"/>
      <c r="AC151" s="257"/>
    </row>
    <row r="152" spans="1:29" ht="15">
      <c r="A152" s="183"/>
      <c r="B152" s="184"/>
      <c r="C152" s="186"/>
      <c r="D152" s="201"/>
      <c r="E152" s="202"/>
      <c r="F152" s="257"/>
      <c r="G152" s="183"/>
      <c r="H152" s="184"/>
      <c r="I152" s="186"/>
      <c r="J152" s="201"/>
      <c r="K152" s="202"/>
      <c r="L152" s="7"/>
      <c r="M152" s="184"/>
      <c r="N152" s="186"/>
      <c r="O152" s="201"/>
      <c r="P152" s="202"/>
      <c r="Q152" s="257"/>
      <c r="R152" s="7"/>
      <c r="S152" s="184"/>
      <c r="T152" s="186"/>
      <c r="U152" s="201"/>
      <c r="V152" s="584"/>
      <c r="W152" s="257"/>
      <c r="X152" s="7"/>
      <c r="Y152" s="184"/>
      <c r="Z152" s="186"/>
      <c r="AA152" s="201"/>
      <c r="AB152" s="202"/>
      <c r="AC152" s="257"/>
    </row>
    <row r="153" spans="1:29" ht="15.75" thickBot="1">
      <c r="A153" s="183"/>
      <c r="B153" s="184"/>
      <c r="C153" s="186"/>
      <c r="D153" s="201"/>
      <c r="E153" s="202"/>
      <c r="F153" s="257"/>
      <c r="G153" s="447"/>
      <c r="H153" s="265"/>
      <c r="I153" s="266"/>
      <c r="J153" s="189"/>
      <c r="K153" s="267"/>
      <c r="L153" s="447"/>
      <c r="M153" s="265"/>
      <c r="N153" s="266"/>
      <c r="O153" s="189"/>
      <c r="P153" s="582"/>
      <c r="Q153" s="257"/>
      <c r="R153" s="240"/>
      <c r="S153" s="265"/>
      <c r="T153" s="266"/>
      <c r="U153" s="189"/>
      <c r="V153" s="582"/>
      <c r="W153" s="257"/>
      <c r="X153" s="240"/>
      <c r="Y153" s="265"/>
      <c r="Z153" s="266"/>
      <c r="AA153" s="189"/>
      <c r="AB153" s="267"/>
      <c r="AC153" s="257"/>
    </row>
    <row r="154" spans="1:29" ht="16.5" customHeight="1" thickBot="1">
      <c r="A154" s="1045" t="s">
        <v>140</v>
      </c>
      <c r="B154" s="1046"/>
      <c r="C154" s="1046"/>
      <c r="D154" s="1046"/>
      <c r="E154" s="1047"/>
      <c r="F154" s="674"/>
      <c r="G154" s="1045" t="s">
        <v>140</v>
      </c>
      <c r="H154" s="1046"/>
      <c r="I154" s="1046"/>
      <c r="J154" s="1046"/>
      <c r="K154" s="1047"/>
      <c r="L154" s="1045" t="s">
        <v>140</v>
      </c>
      <c r="M154" s="1046"/>
      <c r="N154" s="1046"/>
      <c r="O154" s="1046"/>
      <c r="P154" s="1047"/>
      <c r="Q154" s="681"/>
      <c r="R154" s="1045" t="s">
        <v>140</v>
      </c>
      <c r="S154" s="1046"/>
      <c r="T154" s="1046"/>
      <c r="U154" s="1046"/>
      <c r="V154" s="1047"/>
      <c r="W154" s="682"/>
      <c r="X154" s="1045" t="s">
        <v>140</v>
      </c>
      <c r="Y154" s="1046"/>
      <c r="Z154" s="1046"/>
      <c r="AA154" s="1046"/>
      <c r="AB154" s="1047"/>
      <c r="AC154" s="683"/>
    </row>
    <row r="155" spans="1:29" ht="13.5" thickBot="1">
      <c r="A155" s="196"/>
      <c r="B155" s="187"/>
      <c r="C155" s="187"/>
      <c r="D155" s="179"/>
      <c r="E155" s="445"/>
      <c r="F155" s="675"/>
      <c r="G155" s="196"/>
      <c r="H155" s="187"/>
      <c r="I155" s="187"/>
      <c r="J155" s="179"/>
      <c r="K155" s="191"/>
      <c r="L155" s="196"/>
      <c r="M155" s="187"/>
      <c r="N155" s="187"/>
      <c r="O155" s="179"/>
      <c r="P155" s="445"/>
      <c r="Q155" s="585"/>
      <c r="R155" s="187"/>
      <c r="S155" s="187"/>
      <c r="T155" s="187"/>
      <c r="U155" s="179"/>
      <c r="V155" s="445"/>
      <c r="W155" s="585"/>
      <c r="X155" s="187"/>
      <c r="Y155" s="187"/>
      <c r="Z155" s="187"/>
      <c r="AA155" s="179"/>
      <c r="AB155" s="191"/>
      <c r="AC155" s="585"/>
    </row>
    <row r="156" spans="1:29" ht="15.75" thickBot="1">
      <c r="A156" s="548" t="s">
        <v>141</v>
      </c>
      <c r="B156" s="548">
        <f>D30+D66+E130+E98</f>
        <v>100</v>
      </c>
      <c r="C156" s="165"/>
      <c r="D156" s="165"/>
      <c r="E156" s="583"/>
      <c r="F156" s="676"/>
      <c r="G156" s="548" t="s">
        <v>141</v>
      </c>
      <c r="H156" s="548">
        <f>J30+J66+K130+K98</f>
        <v>175</v>
      </c>
      <c r="I156" s="165"/>
      <c r="J156" s="165"/>
      <c r="K156" s="164"/>
      <c r="L156" s="548" t="s">
        <v>141</v>
      </c>
      <c r="M156" s="548">
        <f>O30+O66+P130</f>
        <v>250</v>
      </c>
      <c r="N156" s="165"/>
      <c r="O156" s="165"/>
      <c r="P156" s="583"/>
      <c r="Q156" s="252"/>
      <c r="R156" s="581" t="s">
        <v>141</v>
      </c>
      <c r="S156" s="548">
        <f>U30+U66+V130</f>
        <v>250</v>
      </c>
      <c r="T156" s="165"/>
      <c r="U156" s="165"/>
      <c r="V156" s="583"/>
      <c r="W156" s="252"/>
      <c r="X156" s="581" t="s">
        <v>141</v>
      </c>
      <c r="Y156" s="548">
        <f>AA30+AA66+AB130</f>
        <v>250</v>
      </c>
      <c r="Z156" s="165"/>
      <c r="AA156" s="165"/>
      <c r="AB156" s="164"/>
      <c r="AC156" s="252"/>
    </row>
    <row r="157" spans="1:29" ht="13.5" thickBot="1">
      <c r="A157" s="204"/>
      <c r="B157" s="107"/>
      <c r="C157" s="171"/>
      <c r="D157" s="171"/>
      <c r="E157" s="435"/>
      <c r="F157" s="676"/>
      <c r="G157" s="204"/>
      <c r="H157" s="107"/>
      <c r="I157" s="171"/>
      <c r="J157" s="171"/>
      <c r="K157" s="170"/>
      <c r="L157" s="107"/>
      <c r="M157" s="107"/>
      <c r="N157" s="171"/>
      <c r="O157" s="171"/>
      <c r="P157" s="170"/>
      <c r="Q157" s="252"/>
      <c r="R157" s="107"/>
      <c r="S157" s="107"/>
      <c r="T157" s="171"/>
      <c r="U157" s="171"/>
      <c r="V157" s="170"/>
      <c r="W157" s="252"/>
      <c r="X157" s="107"/>
      <c r="Y157" s="107"/>
      <c r="Z157" s="171"/>
      <c r="AA157" s="171"/>
      <c r="AB157" s="170"/>
      <c r="AC157" s="252"/>
    </row>
    <row r="158" spans="1:29" ht="13.5" customHeight="1" thickBot="1">
      <c r="A158" s="1052" t="s">
        <v>355</v>
      </c>
      <c r="B158" s="1053"/>
      <c r="C158" s="1053"/>
      <c r="D158" s="1053"/>
      <c r="E158" s="1054"/>
      <c r="F158" s="676"/>
      <c r="G158" s="1052" t="s">
        <v>356</v>
      </c>
      <c r="H158" s="1053"/>
      <c r="I158" s="1053"/>
      <c r="J158" s="1053"/>
      <c r="K158" s="1054"/>
      <c r="L158" s="1052" t="s">
        <v>357</v>
      </c>
      <c r="M158" s="1053"/>
      <c r="N158" s="1053"/>
      <c r="O158" s="1053"/>
      <c r="P158" s="1054"/>
      <c r="Q158" s="252"/>
      <c r="R158" s="1052" t="s">
        <v>358</v>
      </c>
      <c r="S158" s="1053"/>
      <c r="T158" s="1053"/>
      <c r="U158" s="1053"/>
      <c r="V158" s="1054"/>
      <c r="W158" s="252"/>
      <c r="X158" s="1052" t="s">
        <v>359</v>
      </c>
      <c r="Y158" s="1053"/>
      <c r="Z158" s="1053"/>
      <c r="AA158" s="1053"/>
      <c r="AB158" s="1054"/>
      <c r="AC158" s="252"/>
    </row>
    <row r="159" spans="1:29" ht="13.5" thickBot="1">
      <c r="A159" s="535" t="s">
        <v>142</v>
      </c>
      <c r="B159" s="205"/>
      <c r="C159" s="107"/>
      <c r="D159" s="107"/>
      <c r="E159" s="443"/>
      <c r="F159" s="676"/>
      <c r="G159" s="535" t="s">
        <v>142</v>
      </c>
      <c r="H159" s="205"/>
      <c r="I159" s="107"/>
      <c r="J159" s="107"/>
      <c r="K159" s="182"/>
      <c r="L159" s="572" t="s">
        <v>142</v>
      </c>
      <c r="M159" s="205"/>
      <c r="N159" s="107"/>
      <c r="O159" s="107"/>
      <c r="P159" s="182"/>
      <c r="Q159" s="252"/>
      <c r="R159" s="572" t="s">
        <v>142</v>
      </c>
      <c r="S159" s="205"/>
      <c r="T159" s="107"/>
      <c r="U159" s="107"/>
      <c r="V159" s="182"/>
      <c r="W159" s="252"/>
      <c r="X159" s="572" t="s">
        <v>142</v>
      </c>
      <c r="Y159" s="205"/>
      <c r="Z159" s="107"/>
      <c r="AA159" s="107"/>
      <c r="AB159" s="182"/>
      <c r="AC159" s="252"/>
    </row>
    <row r="160" spans="1:29" ht="13.5" thickBot="1">
      <c r="A160" s="535" t="s">
        <v>143</v>
      </c>
      <c r="B160" s="205">
        <v>100</v>
      </c>
      <c r="C160" s="107"/>
      <c r="D160" s="107"/>
      <c r="E160" s="443"/>
      <c r="F160" s="676"/>
      <c r="G160" s="535" t="s">
        <v>143</v>
      </c>
      <c r="H160" s="205">
        <v>175</v>
      </c>
      <c r="I160" s="107"/>
      <c r="J160" s="107"/>
      <c r="K160" s="182"/>
      <c r="L160" s="572" t="s">
        <v>143</v>
      </c>
      <c r="M160" s="205">
        <v>250</v>
      </c>
      <c r="N160" s="107"/>
      <c r="O160" s="107"/>
      <c r="P160" s="182"/>
      <c r="Q160" s="252"/>
      <c r="R160" s="572" t="s">
        <v>143</v>
      </c>
      <c r="S160" s="205">
        <v>250</v>
      </c>
      <c r="T160" s="107"/>
      <c r="U160" s="107"/>
      <c r="V160" s="182"/>
      <c r="W160" s="252"/>
      <c r="X160" s="572" t="s">
        <v>143</v>
      </c>
      <c r="Y160" s="205">
        <v>250</v>
      </c>
      <c r="Z160" s="107"/>
      <c r="AA160" s="107"/>
      <c r="AB160" s="182"/>
      <c r="AC160" s="252"/>
    </row>
    <row r="161" spans="1:29" ht="13.5" thickBot="1">
      <c r="A161" s="535" t="s">
        <v>350</v>
      </c>
      <c r="B161" s="549">
        <f>B159+B160</f>
        <v>100</v>
      </c>
      <c r="C161" s="107"/>
      <c r="D161" s="107"/>
      <c r="E161" s="443"/>
      <c r="F161" s="676"/>
      <c r="G161" s="572" t="s">
        <v>351</v>
      </c>
      <c r="H161" s="549">
        <f>H159+H160</f>
        <v>175</v>
      </c>
      <c r="I161" s="107"/>
      <c r="J161" s="107"/>
      <c r="K161" s="182"/>
      <c r="L161" s="572" t="s">
        <v>352</v>
      </c>
      <c r="M161" s="549">
        <f>M159+M160</f>
        <v>250</v>
      </c>
      <c r="N161" s="107"/>
      <c r="O161" s="107"/>
      <c r="P161" s="182"/>
      <c r="Q161" s="252"/>
      <c r="R161" s="572" t="s">
        <v>353</v>
      </c>
      <c r="S161" s="549">
        <f>S159+S160</f>
        <v>250</v>
      </c>
      <c r="T161" s="107"/>
      <c r="U161" s="107"/>
      <c r="V161" s="182"/>
      <c r="W161" s="252"/>
      <c r="X161" s="572" t="s">
        <v>354</v>
      </c>
      <c r="Y161" s="206">
        <f>Y159+Y160</f>
        <v>250</v>
      </c>
      <c r="Z161" s="107"/>
      <c r="AA161" s="107"/>
      <c r="AB161" s="182"/>
      <c r="AC161" s="252"/>
    </row>
    <row r="162" spans="1:29" ht="12.75">
      <c r="A162" s="204"/>
      <c r="B162" s="107"/>
      <c r="C162" s="107"/>
      <c r="D162" s="107"/>
      <c r="E162" s="443"/>
      <c r="F162" s="676"/>
      <c r="G162" s="107"/>
      <c r="H162" s="107"/>
      <c r="I162" s="107"/>
      <c r="J162" s="107"/>
      <c r="K162" s="182"/>
      <c r="L162" s="107"/>
      <c r="M162" s="107"/>
      <c r="N162" s="107"/>
      <c r="O162" s="107"/>
      <c r="P162" s="182"/>
      <c r="Q162" s="252"/>
      <c r="R162" s="107"/>
      <c r="S162" s="107"/>
      <c r="T162" s="107"/>
      <c r="U162" s="107"/>
      <c r="V162" s="182"/>
      <c r="W162" s="252"/>
      <c r="X162" s="107"/>
      <c r="Y162" s="107"/>
      <c r="Z162" s="107"/>
      <c r="AA162" s="107"/>
      <c r="AB162" s="182"/>
      <c r="AC162" s="252"/>
    </row>
    <row r="163" spans="1:29" ht="13.5" thickBot="1">
      <c r="A163" s="218"/>
      <c r="B163" s="219"/>
      <c r="C163" s="219"/>
      <c r="D163" s="219"/>
      <c r="E163" s="586"/>
      <c r="F163" s="676"/>
      <c r="G163" s="107"/>
      <c r="H163" s="107"/>
      <c r="I163" s="107"/>
      <c r="J163" s="107"/>
      <c r="K163" s="182"/>
      <c r="L163" s="107"/>
      <c r="M163" s="107"/>
      <c r="N163" s="107"/>
      <c r="O163" s="107"/>
      <c r="P163" s="182"/>
      <c r="Q163" s="252"/>
      <c r="R163" s="107"/>
      <c r="S163" s="107"/>
      <c r="T163" s="107"/>
      <c r="U163" s="107"/>
      <c r="V163" s="182"/>
      <c r="W163" s="252"/>
      <c r="X163" s="107"/>
      <c r="Y163" s="107"/>
      <c r="Z163" s="107"/>
      <c r="AA163" s="107"/>
      <c r="AB163" s="182"/>
      <c r="AC163" s="252"/>
    </row>
    <row r="164" spans="1:29" ht="15.75">
      <c r="A164" s="1069" t="s">
        <v>144</v>
      </c>
      <c r="B164" s="1070"/>
      <c r="C164" s="1070"/>
      <c r="D164" s="1070"/>
      <c r="E164" s="1071"/>
      <c r="F164" s="677"/>
      <c r="G164" s="1069" t="s">
        <v>144</v>
      </c>
      <c r="H164" s="1070"/>
      <c r="I164" s="1070"/>
      <c r="J164" s="1070"/>
      <c r="K164" s="1071"/>
      <c r="L164" s="1069" t="s">
        <v>144</v>
      </c>
      <c r="M164" s="1070"/>
      <c r="N164" s="1070"/>
      <c r="O164" s="1070"/>
      <c r="P164" s="1071"/>
      <c r="Q164" s="254"/>
      <c r="R164" s="1069" t="s">
        <v>144</v>
      </c>
      <c r="S164" s="1070"/>
      <c r="T164" s="1070"/>
      <c r="U164" s="1070"/>
      <c r="V164" s="1071"/>
      <c r="W164" s="254"/>
      <c r="X164" s="1069" t="s">
        <v>144</v>
      </c>
      <c r="Y164" s="1070"/>
      <c r="Z164" s="1070"/>
      <c r="AA164" s="1070"/>
      <c r="AB164" s="1071"/>
      <c r="AC164" s="254"/>
    </row>
    <row r="165" spans="1:29" ht="16.5" thickBot="1">
      <c r="A165" s="1072"/>
      <c r="B165" s="1073"/>
      <c r="C165" s="1073"/>
      <c r="D165" s="1073"/>
      <c r="E165" s="1074"/>
      <c r="F165" s="677"/>
      <c r="G165" s="1072"/>
      <c r="H165" s="1073"/>
      <c r="I165" s="1073"/>
      <c r="J165" s="1073"/>
      <c r="K165" s="1074"/>
      <c r="L165" s="1072"/>
      <c r="M165" s="1073"/>
      <c r="N165" s="1073"/>
      <c r="O165" s="1073"/>
      <c r="P165" s="1074"/>
      <c r="Q165" s="254"/>
      <c r="R165" s="1072"/>
      <c r="S165" s="1073"/>
      <c r="T165" s="1073"/>
      <c r="U165" s="1073"/>
      <c r="V165" s="1074"/>
      <c r="W165" s="254"/>
      <c r="X165" s="1072"/>
      <c r="Y165" s="1073"/>
      <c r="Z165" s="1073"/>
      <c r="AA165" s="1073"/>
      <c r="AB165" s="1074"/>
      <c r="AC165" s="254"/>
    </row>
    <row r="166" spans="1:29" ht="16.5" thickBot="1">
      <c r="A166" s="587" t="s">
        <v>145</v>
      </c>
      <c r="B166" s="473"/>
      <c r="C166" s="473"/>
      <c r="D166" s="473"/>
      <c r="E166" s="474"/>
      <c r="F166" s="678"/>
      <c r="G166" s="588" t="s">
        <v>145</v>
      </c>
      <c r="H166" s="473"/>
      <c r="I166" s="473"/>
      <c r="J166" s="473"/>
      <c r="K166" s="473"/>
      <c r="L166" s="588" t="s">
        <v>145</v>
      </c>
      <c r="M166" s="473"/>
      <c r="N166" s="473"/>
      <c r="O166" s="473"/>
      <c r="P166" s="473"/>
      <c r="Q166" s="251"/>
      <c r="R166" s="588" t="s">
        <v>145</v>
      </c>
      <c r="S166" s="473"/>
      <c r="T166" s="473"/>
      <c r="U166" s="473"/>
      <c r="V166" s="473"/>
      <c r="W166" s="251"/>
      <c r="X166" s="588" t="s">
        <v>145</v>
      </c>
      <c r="Y166" s="473"/>
      <c r="Z166" s="473"/>
      <c r="AA166" s="473"/>
      <c r="AB166" s="473"/>
      <c r="AC166" s="251"/>
    </row>
    <row r="167" spans="1:29" ht="12.75">
      <c r="A167" s="207"/>
      <c r="B167" s="97"/>
      <c r="C167" s="208"/>
      <c r="D167" s="208"/>
      <c r="E167" s="209"/>
      <c r="F167" s="676"/>
      <c r="G167" s="97"/>
      <c r="H167" s="97"/>
      <c r="I167" s="208"/>
      <c r="J167" s="208"/>
      <c r="K167" s="268"/>
      <c r="L167" s="97"/>
      <c r="M167" s="97"/>
      <c r="N167" s="208"/>
      <c r="O167" s="208"/>
      <c r="P167" s="268"/>
      <c r="Q167" s="252"/>
      <c r="R167" s="97"/>
      <c r="S167" s="97"/>
      <c r="T167" s="208"/>
      <c r="U167" s="208"/>
      <c r="V167" s="268"/>
      <c r="W167" s="252"/>
      <c r="X167" s="97"/>
      <c r="Y167" s="97"/>
      <c r="Z167" s="208"/>
      <c r="AA167" s="208"/>
      <c r="AB167" s="268"/>
      <c r="AC167" s="252"/>
    </row>
    <row r="168" spans="1:29" ht="12.75">
      <c r="A168" s="589" t="s">
        <v>39</v>
      </c>
      <c r="B168" s="550">
        <f>D30+D66+E98+E130</f>
        <v>100</v>
      </c>
      <c r="C168" s="210"/>
      <c r="D168" s="210"/>
      <c r="E168" s="211"/>
      <c r="F168" s="676"/>
      <c r="G168" s="591" t="s">
        <v>39</v>
      </c>
      <c r="H168" s="550">
        <f>J30+J66+K98+K130</f>
        <v>175</v>
      </c>
      <c r="I168" s="210"/>
      <c r="J168" s="210"/>
      <c r="K168" s="269"/>
      <c r="L168" s="591" t="s">
        <v>39</v>
      </c>
      <c r="M168" s="550">
        <f>O30+O66+P98+P130</f>
        <v>250</v>
      </c>
      <c r="N168" s="210"/>
      <c r="O168" s="210"/>
      <c r="P168" s="269"/>
      <c r="Q168" s="252"/>
      <c r="R168" s="591" t="s">
        <v>39</v>
      </c>
      <c r="S168" s="550">
        <f>U30+U66+V98+V130</f>
        <v>250</v>
      </c>
      <c r="T168" s="210"/>
      <c r="U168" s="210"/>
      <c r="V168" s="269"/>
      <c r="W168" s="252"/>
      <c r="X168" s="591" t="s">
        <v>39</v>
      </c>
      <c r="Y168" s="550">
        <f>AA30+AA66+AB98+AB130</f>
        <v>250</v>
      </c>
      <c r="Z168" s="210"/>
      <c r="AA168" s="210"/>
      <c r="AB168" s="269"/>
      <c r="AC168" s="252"/>
    </row>
    <row r="169" spans="1:29" ht="13.5" thickBot="1">
      <c r="A169" s="590" t="s">
        <v>146</v>
      </c>
      <c r="B169" s="551">
        <v>750</v>
      </c>
      <c r="C169" s="210"/>
      <c r="D169" s="210"/>
      <c r="E169" s="212"/>
      <c r="F169" s="676"/>
      <c r="G169" s="592" t="s">
        <v>146</v>
      </c>
      <c r="H169" s="551">
        <v>750</v>
      </c>
      <c r="I169" s="210"/>
      <c r="J169" s="210"/>
      <c r="K169" s="270"/>
      <c r="L169" s="592" t="s">
        <v>146</v>
      </c>
      <c r="M169" s="551">
        <v>750</v>
      </c>
      <c r="N169" s="210"/>
      <c r="O169" s="210"/>
      <c r="P169" s="270"/>
      <c r="Q169" s="252"/>
      <c r="R169" s="592" t="s">
        <v>146</v>
      </c>
      <c r="S169" s="551">
        <v>750</v>
      </c>
      <c r="T169" s="210"/>
      <c r="U169" s="210"/>
      <c r="V169" s="270"/>
      <c r="W169" s="252"/>
      <c r="X169" s="592" t="s">
        <v>146</v>
      </c>
      <c r="Y169" s="551">
        <v>750</v>
      </c>
      <c r="Z169" s="210"/>
      <c r="AA169" s="210"/>
      <c r="AB169" s="270"/>
      <c r="AC169" s="252"/>
    </row>
    <row r="170" spans="1:29" ht="13.5" thickBot="1">
      <c r="A170" s="547" t="s">
        <v>41</v>
      </c>
      <c r="B170" s="552">
        <f>B168*B169</f>
        <v>75000</v>
      </c>
      <c r="C170" s="6"/>
      <c r="D170" s="6"/>
      <c r="E170" s="213"/>
      <c r="F170" s="676"/>
      <c r="G170" s="593" t="s">
        <v>41</v>
      </c>
      <c r="H170" s="552">
        <f>H168*H169</f>
        <v>131250</v>
      </c>
      <c r="I170" s="6"/>
      <c r="J170" s="6"/>
      <c r="K170" s="271"/>
      <c r="L170" s="593" t="s">
        <v>41</v>
      </c>
      <c r="M170" s="552">
        <f>M168*M169</f>
        <v>187500</v>
      </c>
      <c r="N170" s="6"/>
      <c r="O170" s="6"/>
      <c r="P170" s="271"/>
      <c r="Q170" s="252"/>
      <c r="R170" s="593" t="s">
        <v>41</v>
      </c>
      <c r="S170" s="552">
        <f>S168*S169</f>
        <v>187500</v>
      </c>
      <c r="T170" s="6"/>
      <c r="U170" s="6"/>
      <c r="V170" s="271"/>
      <c r="W170" s="252"/>
      <c r="X170" s="593" t="s">
        <v>41</v>
      </c>
      <c r="Y170" s="552">
        <f>Y168*Y169</f>
        <v>187500</v>
      </c>
      <c r="Z170" s="6"/>
      <c r="AA170" s="6"/>
      <c r="AB170" s="271"/>
      <c r="AC170" s="252"/>
    </row>
    <row r="171" spans="1:29" ht="13.5" hidden="1" thickBot="1">
      <c r="A171" s="214"/>
      <c r="B171" s="215"/>
      <c r="C171" s="216"/>
      <c r="D171" s="216"/>
      <c r="E171" s="217"/>
      <c r="F171" s="676"/>
      <c r="G171" s="215"/>
      <c r="H171" s="215"/>
      <c r="I171" s="216"/>
      <c r="J171" s="216"/>
      <c r="K171" s="272"/>
      <c r="L171" s="215"/>
      <c r="M171" s="215"/>
      <c r="N171" s="216"/>
      <c r="O171" s="216"/>
      <c r="P171" s="272"/>
      <c r="Q171" s="252"/>
      <c r="R171" s="215"/>
      <c r="S171" s="215"/>
      <c r="T171" s="216"/>
      <c r="U171" s="216"/>
      <c r="V171" s="272"/>
      <c r="W171" s="252"/>
      <c r="X171" s="215"/>
      <c r="Y171" s="215"/>
      <c r="Z171" s="216"/>
      <c r="AA171" s="216"/>
      <c r="AB171" s="272"/>
      <c r="AC171" s="252"/>
    </row>
    <row r="172" spans="1:29" ht="13.5" hidden="1" thickBot="1">
      <c r="A172" s="218"/>
      <c r="B172" s="219"/>
      <c r="C172" s="219"/>
      <c r="D172" s="219"/>
      <c r="E172" s="586"/>
      <c r="F172" s="679"/>
      <c r="G172" s="219"/>
      <c r="H172" s="219"/>
      <c r="I172" s="219"/>
      <c r="J172" s="219"/>
      <c r="K172" s="220"/>
      <c r="L172" s="219"/>
      <c r="M172" s="219"/>
      <c r="N172" s="219"/>
      <c r="O172" s="219"/>
      <c r="P172" s="220"/>
      <c r="Q172" s="273"/>
      <c r="R172" s="219"/>
      <c r="S172" s="219"/>
      <c r="T172" s="219"/>
      <c r="U172" s="219"/>
      <c r="V172" s="220"/>
      <c r="W172" s="273"/>
      <c r="X172" s="219"/>
      <c r="Y172" s="219"/>
      <c r="Z172" s="219"/>
      <c r="AA172" s="219"/>
      <c r="AB172" s="220"/>
      <c r="AC172" s="273"/>
    </row>
    <row r="173" spans="1:29" ht="12.75" hidden="1">
      <c r="A173" s="204"/>
      <c r="B173" s="107"/>
      <c r="C173" s="107"/>
      <c r="D173" s="107"/>
      <c r="E173" s="443"/>
      <c r="F173" s="203"/>
      <c r="G173" s="4"/>
      <c r="H173" s="4"/>
      <c r="I173" s="4"/>
      <c r="J173" s="4"/>
      <c r="K173" s="221"/>
      <c r="L173" s="4"/>
      <c r="M173" s="4"/>
      <c r="N173" s="4"/>
      <c r="O173" s="4"/>
      <c r="P173" s="221"/>
      <c r="Q173" s="252"/>
      <c r="R173" s="4"/>
      <c r="S173" s="4"/>
      <c r="T173" s="4"/>
      <c r="U173" s="4"/>
      <c r="V173" s="221"/>
      <c r="W173" s="252"/>
      <c r="X173" s="4"/>
      <c r="Y173" s="4"/>
      <c r="Z173" s="4"/>
      <c r="AA173" s="4"/>
      <c r="AB173" s="221"/>
      <c r="AC173" s="252"/>
    </row>
    <row r="174" spans="1:29" ht="12.75" hidden="1">
      <c r="A174" s="204"/>
      <c r="B174" s="107"/>
      <c r="C174" s="107"/>
      <c r="D174" s="107"/>
      <c r="E174" s="443"/>
      <c r="F174" s="203"/>
      <c r="G174" s="4"/>
      <c r="H174" s="4"/>
      <c r="I174" s="4"/>
      <c r="J174" s="4"/>
      <c r="K174" s="221"/>
      <c r="L174" s="4"/>
      <c r="M174" s="4"/>
      <c r="N174" s="4"/>
      <c r="O174" s="4"/>
      <c r="P174" s="221"/>
      <c r="Q174" s="252"/>
      <c r="R174" s="4"/>
      <c r="S174" s="4"/>
      <c r="T174" s="4"/>
      <c r="U174" s="4"/>
      <c r="V174" s="221"/>
      <c r="W174" s="252"/>
      <c r="X174" s="4"/>
      <c r="Y174" s="4"/>
      <c r="Z174" s="4"/>
      <c r="AA174" s="4"/>
      <c r="AB174" s="221"/>
      <c r="AC174" s="252"/>
    </row>
    <row r="175" spans="1:29" ht="12.75" hidden="1">
      <c r="A175" s="204"/>
      <c r="B175" s="107"/>
      <c r="C175" s="107"/>
      <c r="D175" s="107"/>
      <c r="E175" s="443"/>
      <c r="F175" s="203"/>
      <c r="G175" s="4"/>
      <c r="H175" s="4"/>
      <c r="I175" s="4"/>
      <c r="J175" s="4"/>
      <c r="K175" s="221"/>
      <c r="L175" s="4"/>
      <c r="M175" s="4"/>
      <c r="N175" s="4"/>
      <c r="O175" s="4"/>
      <c r="P175" s="221"/>
      <c r="Q175" s="252"/>
      <c r="R175" s="4"/>
      <c r="S175" s="4"/>
      <c r="T175" s="4"/>
      <c r="U175" s="4"/>
      <c r="V175" s="221"/>
      <c r="W175" s="252"/>
      <c r="X175" s="4"/>
      <c r="Y175" s="4"/>
      <c r="Z175" s="4"/>
      <c r="AA175" s="4"/>
      <c r="AB175" s="221"/>
      <c r="AC175" s="252"/>
    </row>
    <row r="176" spans="1:29" ht="12.75" hidden="1">
      <c r="A176" s="204"/>
      <c r="B176" s="107"/>
      <c r="C176" s="107"/>
      <c r="D176" s="107"/>
      <c r="E176" s="443"/>
      <c r="F176" s="203"/>
      <c r="G176" s="4"/>
      <c r="H176" s="4"/>
      <c r="I176" s="4"/>
      <c r="J176" s="4"/>
      <c r="K176" s="221"/>
      <c r="L176" s="4"/>
      <c r="M176" s="4"/>
      <c r="N176" s="4"/>
      <c r="O176" s="4"/>
      <c r="P176" s="221"/>
      <c r="Q176" s="252"/>
      <c r="R176" s="4"/>
      <c r="S176" s="4"/>
      <c r="T176" s="4"/>
      <c r="U176" s="4"/>
      <c r="V176" s="221"/>
      <c r="W176" s="252"/>
      <c r="X176" s="4"/>
      <c r="Y176" s="4"/>
      <c r="Z176" s="4"/>
      <c r="AA176" s="4"/>
      <c r="AB176" s="221"/>
      <c r="AC176" s="252"/>
    </row>
    <row r="177" spans="1:29" ht="12.75">
      <c r="A177" s="204"/>
      <c r="B177" s="107"/>
      <c r="C177" s="107"/>
      <c r="D177" s="107"/>
      <c r="E177" s="443"/>
      <c r="F177" s="203"/>
      <c r="G177" s="4"/>
      <c r="H177" s="4"/>
      <c r="I177" s="4"/>
      <c r="J177" s="4"/>
      <c r="K177" s="221"/>
      <c r="L177" s="4"/>
      <c r="M177" s="4"/>
      <c r="N177" s="4"/>
      <c r="O177" s="4"/>
      <c r="P177" s="221"/>
      <c r="Q177" s="252"/>
      <c r="R177" s="4"/>
      <c r="S177" s="4"/>
      <c r="T177" s="4"/>
      <c r="U177" s="4"/>
      <c r="V177" s="221"/>
      <c r="W177" s="252"/>
      <c r="X177" s="4"/>
      <c r="Y177" s="4"/>
      <c r="Z177" s="4"/>
      <c r="AA177" s="4"/>
      <c r="AB177" s="221"/>
      <c r="AC177" s="252"/>
    </row>
    <row r="178" spans="1:29" ht="13.5" thickBot="1">
      <c r="A178" s="847"/>
      <c r="B178" s="107"/>
      <c r="C178" s="107"/>
      <c r="D178" s="107"/>
      <c r="E178" s="586"/>
      <c r="F178" s="203"/>
      <c r="G178" s="4"/>
      <c r="H178" s="4"/>
      <c r="I178" s="4"/>
      <c r="J178" s="4"/>
      <c r="K178" s="221"/>
      <c r="L178" s="4"/>
      <c r="M178" s="4"/>
      <c r="N178" s="4"/>
      <c r="O178" s="4"/>
      <c r="P178" s="221"/>
      <c r="Q178" s="273"/>
      <c r="R178" s="4"/>
      <c r="S178" s="4"/>
      <c r="T178" s="4"/>
      <c r="U178" s="4"/>
      <c r="V178" s="221"/>
      <c r="W178" s="273"/>
      <c r="X178" s="4"/>
      <c r="Y178" s="4"/>
      <c r="Z178" s="4"/>
      <c r="AA178" s="4"/>
      <c r="AB178" s="221"/>
      <c r="AC178" s="273"/>
    </row>
    <row r="179" spans="1:29" ht="12.75" customHeight="1">
      <c r="A179" s="1069" t="s">
        <v>12</v>
      </c>
      <c r="B179" s="1070"/>
      <c r="C179" s="1070"/>
      <c r="D179" s="1070"/>
      <c r="E179" s="1070"/>
      <c r="F179" s="1071"/>
      <c r="G179" s="1070" t="s">
        <v>12</v>
      </c>
      <c r="H179" s="1070"/>
      <c r="I179" s="1070"/>
      <c r="J179" s="1070"/>
      <c r="K179" s="1070"/>
      <c r="L179" s="1069" t="s">
        <v>12</v>
      </c>
      <c r="M179" s="1070"/>
      <c r="N179" s="1070"/>
      <c r="O179" s="1070"/>
      <c r="P179" s="1070"/>
      <c r="Q179" s="1071"/>
      <c r="R179" s="1070" t="s">
        <v>12</v>
      </c>
      <c r="S179" s="1070"/>
      <c r="T179" s="1070"/>
      <c r="U179" s="1070"/>
      <c r="V179" s="1070"/>
      <c r="W179" s="1071"/>
      <c r="X179" s="1070" t="s">
        <v>12</v>
      </c>
      <c r="Y179" s="1070"/>
      <c r="Z179" s="1070"/>
      <c r="AA179" s="1070"/>
      <c r="AB179" s="1070"/>
      <c r="AC179" s="1071"/>
    </row>
    <row r="180" spans="1:29" ht="13.5" customHeight="1" thickBot="1">
      <c r="A180" s="1072"/>
      <c r="B180" s="1073"/>
      <c r="C180" s="1073"/>
      <c r="D180" s="1073"/>
      <c r="E180" s="1073"/>
      <c r="F180" s="1074"/>
      <c r="G180" s="1073"/>
      <c r="H180" s="1073"/>
      <c r="I180" s="1073"/>
      <c r="J180" s="1073"/>
      <c r="K180" s="1073"/>
      <c r="L180" s="1072"/>
      <c r="M180" s="1073"/>
      <c r="N180" s="1073"/>
      <c r="O180" s="1073"/>
      <c r="P180" s="1073"/>
      <c r="Q180" s="1074"/>
      <c r="R180" s="1073"/>
      <c r="S180" s="1073"/>
      <c r="T180" s="1073"/>
      <c r="U180" s="1073"/>
      <c r="V180" s="1073"/>
      <c r="W180" s="1074"/>
      <c r="X180" s="1073"/>
      <c r="Y180" s="1073"/>
      <c r="Z180" s="1073"/>
      <c r="AA180" s="1073"/>
      <c r="AB180" s="1073"/>
      <c r="AC180" s="1074"/>
    </row>
    <row r="181" spans="1:29" ht="12.75" customHeight="1">
      <c r="A181" s="1063" t="s">
        <v>147</v>
      </c>
      <c r="B181" s="1064"/>
      <c r="C181" s="1064"/>
      <c r="D181" s="1064"/>
      <c r="E181" s="1064"/>
      <c r="F181" s="1065"/>
      <c r="G181" s="1063" t="s">
        <v>147</v>
      </c>
      <c r="H181" s="1064"/>
      <c r="I181" s="1064"/>
      <c r="J181" s="1064"/>
      <c r="K181" s="1064"/>
      <c r="L181" s="1063" t="s">
        <v>147</v>
      </c>
      <c r="M181" s="1064"/>
      <c r="N181" s="1064"/>
      <c r="O181" s="1064"/>
      <c r="P181" s="1064"/>
      <c r="Q181" s="1065"/>
      <c r="R181" s="1063" t="s">
        <v>147</v>
      </c>
      <c r="S181" s="1064"/>
      <c r="T181" s="1064"/>
      <c r="U181" s="1064"/>
      <c r="V181" s="1064"/>
      <c r="W181" s="1065"/>
      <c r="X181" s="1063" t="s">
        <v>147</v>
      </c>
      <c r="Y181" s="1064"/>
      <c r="Z181" s="1064"/>
      <c r="AA181" s="1064"/>
      <c r="AB181" s="1064"/>
      <c r="AC181" s="1065"/>
    </row>
    <row r="182" spans="1:29" ht="20.25" customHeight="1" thickBot="1">
      <c r="A182" s="1066"/>
      <c r="B182" s="1067"/>
      <c r="C182" s="1067"/>
      <c r="D182" s="1067"/>
      <c r="E182" s="1067"/>
      <c r="F182" s="1068"/>
      <c r="G182" s="1066"/>
      <c r="H182" s="1067"/>
      <c r="I182" s="1067"/>
      <c r="J182" s="1067"/>
      <c r="K182" s="1067"/>
      <c r="L182" s="1066"/>
      <c r="M182" s="1067"/>
      <c r="N182" s="1067"/>
      <c r="O182" s="1067"/>
      <c r="P182" s="1067"/>
      <c r="Q182" s="1068"/>
      <c r="R182" s="1066"/>
      <c r="S182" s="1067"/>
      <c r="T182" s="1067"/>
      <c r="U182" s="1067"/>
      <c r="V182" s="1067"/>
      <c r="W182" s="1068"/>
      <c r="X182" s="1066"/>
      <c r="Y182" s="1067"/>
      <c r="Z182" s="1067"/>
      <c r="AA182" s="1067"/>
      <c r="AB182" s="1067"/>
      <c r="AC182" s="1068"/>
    </row>
    <row r="183" spans="1:28" ht="13.5" thickBot="1">
      <c r="A183" s="207"/>
      <c r="B183" s="97"/>
      <c r="C183" s="97"/>
      <c r="D183" s="97"/>
      <c r="E183" s="200"/>
      <c r="F183" s="193"/>
      <c r="K183" s="222"/>
      <c r="P183" s="222"/>
      <c r="V183" s="222"/>
      <c r="W183" s="680"/>
      <c r="AB183" s="222"/>
    </row>
    <row r="184" spans="1:29" ht="22.5" customHeight="1" thickBot="1">
      <c r="A184" s="1050" t="s">
        <v>548</v>
      </c>
      <c r="B184" s="1051"/>
      <c r="C184" s="553">
        <v>0.15</v>
      </c>
      <c r="D184" s="223"/>
      <c r="E184" s="224"/>
      <c r="F184" s="225"/>
      <c r="G184" s="1050" t="s">
        <v>549</v>
      </c>
      <c r="H184" s="1051"/>
      <c r="I184" s="553">
        <v>0.15</v>
      </c>
      <c r="J184" s="223"/>
      <c r="K184" s="224"/>
      <c r="L184" s="1092" t="s">
        <v>550</v>
      </c>
      <c r="M184" s="1093"/>
      <c r="N184" s="553">
        <v>0.15</v>
      </c>
      <c r="O184" s="223"/>
      <c r="P184" s="224"/>
      <c r="Q184" s="225"/>
      <c r="R184" s="1050" t="s">
        <v>551</v>
      </c>
      <c r="S184" s="1051"/>
      <c r="T184" s="553">
        <v>0.15</v>
      </c>
      <c r="U184" s="223"/>
      <c r="V184" s="224"/>
      <c r="W184" s="225"/>
      <c r="X184" s="1050" t="s">
        <v>552</v>
      </c>
      <c r="Y184" s="1051"/>
      <c r="Z184" s="553">
        <v>0.15</v>
      </c>
      <c r="AA184" s="223"/>
      <c r="AB184" s="224"/>
      <c r="AC184" s="225"/>
    </row>
    <row r="185" spans="1:29" ht="48.75" customHeight="1" thickBot="1">
      <c r="A185" s="1052" t="s">
        <v>315</v>
      </c>
      <c r="B185" s="1053"/>
      <c r="C185" s="1053"/>
      <c r="D185" s="1053"/>
      <c r="E185" s="1053"/>
      <c r="F185" s="1054"/>
      <c r="G185" s="1052" t="s">
        <v>315</v>
      </c>
      <c r="H185" s="1053"/>
      <c r="I185" s="1053"/>
      <c r="J185" s="1053"/>
      <c r="K185" s="1053"/>
      <c r="L185" s="1052" t="s">
        <v>315</v>
      </c>
      <c r="M185" s="1053"/>
      <c r="N185" s="1053"/>
      <c r="O185" s="1053"/>
      <c r="P185" s="1053"/>
      <c r="Q185" s="1054"/>
      <c r="R185" s="1052" t="s">
        <v>315</v>
      </c>
      <c r="S185" s="1053"/>
      <c r="T185" s="1053"/>
      <c r="U185" s="1053"/>
      <c r="V185" s="1053"/>
      <c r="W185" s="1054"/>
      <c r="X185" s="1052" t="s">
        <v>315</v>
      </c>
      <c r="Y185" s="1053"/>
      <c r="Z185" s="1053"/>
      <c r="AA185" s="1053"/>
      <c r="AB185" s="1053"/>
      <c r="AC185" s="1054"/>
    </row>
    <row r="186" spans="1:29" ht="12.75">
      <c r="A186" s="1039" t="s">
        <v>481</v>
      </c>
      <c r="B186" s="1040"/>
      <c r="C186" s="1040"/>
      <c r="D186" s="1040"/>
      <c r="E186" s="1040"/>
      <c r="F186" s="1041"/>
      <c r="G186" s="1040" t="s">
        <v>148</v>
      </c>
      <c r="H186" s="1040"/>
      <c r="I186" s="1040"/>
      <c r="J186" s="1040"/>
      <c r="K186" s="1040"/>
      <c r="L186" s="1039" t="s">
        <v>148</v>
      </c>
      <c r="M186" s="1040"/>
      <c r="N186" s="1040"/>
      <c r="O186" s="1040"/>
      <c r="P186" s="1040"/>
      <c r="Q186" s="1041"/>
      <c r="R186" s="1040" t="s">
        <v>148</v>
      </c>
      <c r="S186" s="1040"/>
      <c r="T186" s="1040"/>
      <c r="U186" s="1040"/>
      <c r="V186" s="1040"/>
      <c r="W186" s="1041"/>
      <c r="X186" s="1040" t="s">
        <v>148</v>
      </c>
      <c r="Y186" s="1040"/>
      <c r="Z186" s="1040"/>
      <c r="AA186" s="1040"/>
      <c r="AB186" s="1040"/>
      <c r="AC186" s="1041"/>
    </row>
    <row r="187" spans="1:29" ht="13.5" thickBot="1">
      <c r="A187" s="1042"/>
      <c r="B187" s="1043"/>
      <c r="C187" s="1043"/>
      <c r="D187" s="1043"/>
      <c r="E187" s="1043"/>
      <c r="F187" s="1044"/>
      <c r="G187" s="1043"/>
      <c r="H187" s="1043"/>
      <c r="I187" s="1043"/>
      <c r="J187" s="1043"/>
      <c r="K187" s="1043"/>
      <c r="L187" s="1042"/>
      <c r="M187" s="1043"/>
      <c r="N187" s="1043"/>
      <c r="O187" s="1043"/>
      <c r="P187" s="1043"/>
      <c r="Q187" s="1044"/>
      <c r="R187" s="1043"/>
      <c r="S187" s="1043"/>
      <c r="T187" s="1043"/>
      <c r="U187" s="1043"/>
      <c r="V187" s="1043"/>
      <c r="W187" s="1044"/>
      <c r="X187" s="1043"/>
      <c r="Y187" s="1043"/>
      <c r="Z187" s="1043"/>
      <c r="AA187" s="1043"/>
      <c r="AB187" s="1043"/>
      <c r="AC187" s="1044"/>
    </row>
    <row r="188" spans="1:29" ht="39" thickBot="1">
      <c r="A188" s="594" t="s">
        <v>149</v>
      </c>
      <c r="B188" s="595" t="s">
        <v>567</v>
      </c>
      <c r="C188" s="595" t="s">
        <v>249</v>
      </c>
      <c r="D188" s="489" t="s">
        <v>151</v>
      </c>
      <c r="E188" s="595" t="s">
        <v>152</v>
      </c>
      <c r="F188" s="226"/>
      <c r="G188" s="607" t="s">
        <v>149</v>
      </c>
      <c r="H188" s="595" t="str">
        <f>$B$188</f>
        <v>Number of FTE's (from Personnel Worksheet)</v>
      </c>
      <c r="I188" s="595" t="s">
        <v>150</v>
      </c>
      <c r="J188" s="489" t="s">
        <v>151</v>
      </c>
      <c r="K188" s="595" t="s">
        <v>152</v>
      </c>
      <c r="L188" s="607" t="s">
        <v>149</v>
      </c>
      <c r="M188" s="595" t="str">
        <f>$B$188</f>
        <v>Number of FTE's (from Personnel Worksheet)</v>
      </c>
      <c r="N188" s="595" t="s">
        <v>150</v>
      </c>
      <c r="O188" s="489" t="s">
        <v>151</v>
      </c>
      <c r="P188" s="595" t="s">
        <v>152</v>
      </c>
      <c r="Q188" s="226"/>
      <c r="R188" s="607" t="s">
        <v>149</v>
      </c>
      <c r="S188" s="595" t="str">
        <f>$B$188</f>
        <v>Number of FTE's (from Personnel Worksheet)</v>
      </c>
      <c r="T188" s="595" t="s">
        <v>150</v>
      </c>
      <c r="U188" s="489" t="s">
        <v>151</v>
      </c>
      <c r="V188" s="595" t="s">
        <v>152</v>
      </c>
      <c r="W188" s="226"/>
      <c r="X188" s="607" t="s">
        <v>149</v>
      </c>
      <c r="Y188" s="595" t="str">
        <f>$B$188</f>
        <v>Number of FTE's (from Personnel Worksheet)</v>
      </c>
      <c r="Z188" s="595" t="s">
        <v>150</v>
      </c>
      <c r="AA188" s="489" t="s">
        <v>151</v>
      </c>
      <c r="AB188" s="595" t="s">
        <v>152</v>
      </c>
      <c r="AC188" s="226"/>
    </row>
    <row r="189" spans="1:29" ht="12.75">
      <c r="A189" s="596" t="s">
        <v>483</v>
      </c>
      <c r="B189" s="969">
        <f>Personnel!G8</f>
        <v>0</v>
      </c>
      <c r="C189" s="598">
        <f>Personnel!G120</f>
        <v>0</v>
      </c>
      <c r="D189" s="603">
        <f>100%+$C$184</f>
        <v>1.15</v>
      </c>
      <c r="E189" s="605">
        <f>C189*D189</f>
        <v>0</v>
      </c>
      <c r="F189" s="227"/>
      <c r="G189" s="608" t="str">
        <f>A189</f>
        <v>SPED Teachers in the CTPF (from Personnel Worksheet)</v>
      </c>
      <c r="H189" s="969">
        <f>Personnel!I8</f>
        <v>0</v>
      </c>
      <c r="I189" s="598">
        <f>Personnel!I120</f>
        <v>0</v>
      </c>
      <c r="J189" s="603">
        <f>100%+$I$184</f>
        <v>1.15</v>
      </c>
      <c r="K189" s="605">
        <f>I189*J189</f>
        <v>0</v>
      </c>
      <c r="L189" s="608" t="str">
        <f>A189</f>
        <v>SPED Teachers in the CTPF (from Personnel Worksheet)</v>
      </c>
      <c r="M189" s="597">
        <f>Personnel!K8</f>
        <v>0</v>
      </c>
      <c r="N189" s="598">
        <f>Personnel!K120</f>
        <v>0</v>
      </c>
      <c r="O189" s="603">
        <f>100%+$N$184</f>
        <v>1.15</v>
      </c>
      <c r="P189" s="605">
        <f>N189*O189</f>
        <v>0</v>
      </c>
      <c r="Q189" s="227"/>
      <c r="R189" s="608" t="str">
        <f>A189</f>
        <v>SPED Teachers in the CTPF (from Personnel Worksheet)</v>
      </c>
      <c r="S189" s="969">
        <f>Personnel!M8</f>
        <v>0</v>
      </c>
      <c r="T189" s="598">
        <f>Personnel!M120</f>
        <v>0</v>
      </c>
      <c r="U189" s="603">
        <f>100%+$T$184</f>
        <v>1.15</v>
      </c>
      <c r="V189" s="605">
        <f>T189*U189</f>
        <v>0</v>
      </c>
      <c r="W189" s="227"/>
      <c r="X189" s="608" t="str">
        <f>A189</f>
        <v>SPED Teachers in the CTPF (from Personnel Worksheet)</v>
      </c>
      <c r="Y189" s="969">
        <f>Personnel!O8</f>
        <v>0</v>
      </c>
      <c r="Z189" s="598">
        <f>Personnel!O120</f>
        <v>0</v>
      </c>
      <c r="AA189" s="603">
        <f>100%+$Z$184</f>
        <v>1.15</v>
      </c>
      <c r="AB189" s="605">
        <f>Z189*AA189</f>
        <v>0</v>
      </c>
      <c r="AC189" s="227"/>
    </row>
    <row r="190" spans="1:29" ht="13.5" thickBot="1">
      <c r="A190" s="599" t="s">
        <v>484</v>
      </c>
      <c r="B190" s="969">
        <f>Personnel!G32</f>
        <v>1.33</v>
      </c>
      <c r="C190" s="598">
        <f>Personnel!G151</f>
        <v>59850</v>
      </c>
      <c r="D190" s="603">
        <f>100%+$C$184</f>
        <v>1.15</v>
      </c>
      <c r="E190" s="605">
        <f>C190*D190</f>
        <v>68827.5</v>
      </c>
      <c r="F190" s="227"/>
      <c r="G190" s="608" t="str">
        <f>A190</f>
        <v>SPED Teachers Not in the CTPF (from Personnel Worksheet)</v>
      </c>
      <c r="H190" s="969">
        <f>Personnel!I32</f>
        <v>2.33</v>
      </c>
      <c r="I190" s="598">
        <f>Personnel!I151</f>
        <v>107995.5</v>
      </c>
      <c r="J190" s="603">
        <f>100%+$I$184</f>
        <v>1.15</v>
      </c>
      <c r="K190" s="605">
        <f>I190*J190</f>
        <v>124194.825</v>
      </c>
      <c r="L190" s="608" t="str">
        <f>A190</f>
        <v>SPED Teachers Not in the CTPF (from Personnel Worksheet)</v>
      </c>
      <c r="M190" s="597">
        <f>Personnel!K32</f>
        <v>3.33</v>
      </c>
      <c r="N190" s="598">
        <f>Personnel!K151</f>
        <v>158975.865</v>
      </c>
      <c r="O190" s="603">
        <f>100%+$N$184</f>
        <v>1.15</v>
      </c>
      <c r="P190" s="605">
        <f>N190*O190</f>
        <v>182822.24474999998</v>
      </c>
      <c r="Q190" s="227"/>
      <c r="R190" s="608" t="str">
        <f>A190</f>
        <v>SPED Teachers Not in the CTPF (from Personnel Worksheet)</v>
      </c>
      <c r="S190" s="969">
        <f>Personnel!M32</f>
        <v>3.33</v>
      </c>
      <c r="T190" s="598">
        <f>Personnel!M151</f>
        <v>163745.14095000003</v>
      </c>
      <c r="U190" s="603">
        <f>100%+$T$184</f>
        <v>1.15</v>
      </c>
      <c r="V190" s="605">
        <f>T190*U190</f>
        <v>188306.91209250002</v>
      </c>
      <c r="W190" s="227"/>
      <c r="X190" s="608" t="str">
        <f>A190</f>
        <v>SPED Teachers Not in the CTPF (from Personnel Worksheet)</v>
      </c>
      <c r="Y190" s="969">
        <f>Personnel!O32</f>
        <v>3.33</v>
      </c>
      <c r="Z190" s="598">
        <f>Personnel!O151</f>
        <v>168657.49517850002</v>
      </c>
      <c r="AA190" s="603">
        <f>100%+$Z$184</f>
        <v>1.15</v>
      </c>
      <c r="AB190" s="605">
        <f>Z190*AA190</f>
        <v>193956.119455275</v>
      </c>
      <c r="AC190" s="227"/>
    </row>
    <row r="191" spans="1:29" ht="13.5" thickBot="1">
      <c r="A191" s="600" t="s">
        <v>153</v>
      </c>
      <c r="B191" s="971">
        <f>SUM(B189:B190)</f>
        <v>1.33</v>
      </c>
      <c r="C191" s="602">
        <f>SUM(C189:C190)</f>
        <v>59850</v>
      </c>
      <c r="D191" s="97"/>
      <c r="E191" s="606">
        <f>SUM(E189:E190)</f>
        <v>68827.5</v>
      </c>
      <c r="F191" s="227"/>
      <c r="G191" s="609" t="s">
        <v>153</v>
      </c>
      <c r="H191" s="971">
        <f>SUM(H189:H190)</f>
        <v>2.33</v>
      </c>
      <c r="I191" s="602">
        <f>SUM(I189:I190)</f>
        <v>107995.5</v>
      </c>
      <c r="J191" s="97"/>
      <c r="K191" s="606">
        <f>SUM(K189:K190)</f>
        <v>124194.825</v>
      </c>
      <c r="L191" s="609" t="s">
        <v>153</v>
      </c>
      <c r="M191" s="601">
        <f>SUM(M189:M190)</f>
        <v>3.33</v>
      </c>
      <c r="N191" s="602">
        <f>SUM(N189:N190)</f>
        <v>158975.865</v>
      </c>
      <c r="O191" s="97"/>
      <c r="P191" s="606">
        <f>SUM(P189:P190)</f>
        <v>182822.24474999998</v>
      </c>
      <c r="Q191" s="227"/>
      <c r="R191" s="609" t="s">
        <v>153</v>
      </c>
      <c r="S191" s="971">
        <f>SUM(S189:S190)</f>
        <v>3.33</v>
      </c>
      <c r="T191" s="602">
        <f>SUM(T189:T190)</f>
        <v>163745.14095000003</v>
      </c>
      <c r="U191" s="97"/>
      <c r="V191" s="606">
        <f>SUM(V189:V190)</f>
        <v>188306.91209250002</v>
      </c>
      <c r="W191" s="227"/>
      <c r="X191" s="609" t="s">
        <v>153</v>
      </c>
      <c r="Y191" s="971">
        <f>SUM(Y189:Y190)</f>
        <v>3.33</v>
      </c>
      <c r="Z191" s="602">
        <f>SUM(Z189:Z190)</f>
        <v>168657.49517850002</v>
      </c>
      <c r="AA191" s="97"/>
      <c r="AB191" s="606">
        <f>SUM(AB189:AB190)</f>
        <v>193956.119455275</v>
      </c>
      <c r="AC191" s="227"/>
    </row>
    <row r="192" spans="1:29" ht="12.75">
      <c r="A192" s="207"/>
      <c r="B192" s="97"/>
      <c r="C192" s="97"/>
      <c r="D192" s="97"/>
      <c r="E192" s="200"/>
      <c r="F192" s="193"/>
      <c r="G192" s="97"/>
      <c r="H192" s="97"/>
      <c r="I192" s="97"/>
      <c r="J192" s="97"/>
      <c r="K192" s="200"/>
      <c r="L192" s="97"/>
      <c r="M192" s="97"/>
      <c r="N192" s="97"/>
      <c r="O192" s="97"/>
      <c r="P192" s="200"/>
      <c r="Q192" s="193"/>
      <c r="R192" s="97"/>
      <c r="S192" s="97"/>
      <c r="T192" s="97"/>
      <c r="U192" s="97"/>
      <c r="V192" s="200"/>
      <c r="W192" s="193"/>
      <c r="X192" s="97"/>
      <c r="Y192" s="97"/>
      <c r="Z192" s="97"/>
      <c r="AA192" s="97"/>
      <c r="AB192" s="200"/>
      <c r="AC192" s="193"/>
    </row>
    <row r="193" spans="1:29" ht="12.75">
      <c r="A193" s="207"/>
      <c r="B193" s="97"/>
      <c r="C193" s="97"/>
      <c r="D193" s="97"/>
      <c r="E193" s="200"/>
      <c r="F193" s="193"/>
      <c r="G193" s="97"/>
      <c r="H193" s="97"/>
      <c r="I193" s="97"/>
      <c r="J193" s="97"/>
      <c r="K193" s="200"/>
      <c r="L193" s="97"/>
      <c r="M193" s="97"/>
      <c r="N193" s="97"/>
      <c r="O193" s="97"/>
      <c r="P193" s="200"/>
      <c r="Q193" s="193"/>
      <c r="R193" s="97"/>
      <c r="S193" s="97"/>
      <c r="T193" s="97"/>
      <c r="U193" s="97"/>
      <c r="V193" s="200"/>
      <c r="W193" s="193"/>
      <c r="X193" s="97"/>
      <c r="Y193" s="97"/>
      <c r="Z193" s="97"/>
      <c r="AA193" s="97"/>
      <c r="AB193" s="200"/>
      <c r="AC193" s="193"/>
    </row>
    <row r="194" spans="1:29" ht="12.75">
      <c r="A194" s="207"/>
      <c r="B194" s="97"/>
      <c r="C194" s="97"/>
      <c r="D194" s="97"/>
      <c r="E194" s="200"/>
      <c r="F194" s="193"/>
      <c r="G194" s="97"/>
      <c r="H194" s="97"/>
      <c r="I194" s="97"/>
      <c r="J194" s="97"/>
      <c r="K194" s="200"/>
      <c r="L194" s="97"/>
      <c r="M194" s="97"/>
      <c r="N194" s="97"/>
      <c r="O194" s="97"/>
      <c r="P194" s="200"/>
      <c r="Q194" s="193"/>
      <c r="R194" s="97"/>
      <c r="S194" s="97"/>
      <c r="T194" s="97"/>
      <c r="U194" s="97"/>
      <c r="V194" s="200"/>
      <c r="W194" s="193"/>
      <c r="X194" s="97"/>
      <c r="Y194" s="97"/>
      <c r="Z194" s="97"/>
      <c r="AA194" s="97"/>
      <c r="AB194" s="200"/>
      <c r="AC194" s="193"/>
    </row>
    <row r="195" spans="1:29" ht="15.75" thickBot="1">
      <c r="A195" s="228"/>
      <c r="B195" s="229"/>
      <c r="C195" s="96"/>
      <c r="D195" s="96"/>
      <c r="E195" s="200"/>
      <c r="F195" s="230"/>
      <c r="G195" s="243"/>
      <c r="H195" s="229"/>
      <c r="I195" s="96"/>
      <c r="J195" s="96"/>
      <c r="K195" s="200"/>
      <c r="L195" s="243"/>
      <c r="M195" s="229"/>
      <c r="N195" s="96"/>
      <c r="O195" s="96"/>
      <c r="P195" s="200"/>
      <c r="Q195" s="230"/>
      <c r="R195" s="243"/>
      <c r="S195" s="229"/>
      <c r="T195" s="96"/>
      <c r="U195" s="96"/>
      <c r="V195" s="200"/>
      <c r="W195" s="230"/>
      <c r="X195" s="243"/>
      <c r="Y195" s="229"/>
      <c r="Z195" s="96"/>
      <c r="AA195" s="96"/>
      <c r="AB195" s="200"/>
      <c r="AC195" s="230"/>
    </row>
    <row r="196" spans="1:29" ht="39" thickBot="1">
      <c r="A196" s="535" t="s">
        <v>90</v>
      </c>
      <c r="B196" s="489" t="s">
        <v>154</v>
      </c>
      <c r="C196" s="97"/>
      <c r="D196" s="595" t="s">
        <v>155</v>
      </c>
      <c r="E196" s="595" t="s">
        <v>156</v>
      </c>
      <c r="F196" s="193"/>
      <c r="G196" s="572" t="s">
        <v>90</v>
      </c>
      <c r="H196" s="489" t="s">
        <v>154</v>
      </c>
      <c r="I196" s="97"/>
      <c r="J196" s="595" t="s">
        <v>155</v>
      </c>
      <c r="K196" s="595" t="s">
        <v>156</v>
      </c>
      <c r="L196" s="572" t="s">
        <v>90</v>
      </c>
      <c r="M196" s="489" t="s">
        <v>154</v>
      </c>
      <c r="N196" s="97"/>
      <c r="O196" s="595" t="s">
        <v>155</v>
      </c>
      <c r="P196" s="595" t="s">
        <v>156</v>
      </c>
      <c r="Q196" s="193"/>
      <c r="R196" s="572" t="s">
        <v>90</v>
      </c>
      <c r="S196" s="489" t="s">
        <v>154</v>
      </c>
      <c r="T196" s="97"/>
      <c r="U196" s="595" t="s">
        <v>155</v>
      </c>
      <c r="V196" s="595" t="s">
        <v>156</v>
      </c>
      <c r="W196" s="193"/>
      <c r="X196" s="572" t="s">
        <v>90</v>
      </c>
      <c r="Y196" s="489" t="s">
        <v>154</v>
      </c>
      <c r="Z196" s="97"/>
      <c r="AA196" s="595" t="s">
        <v>155</v>
      </c>
      <c r="AB196" s="595" t="s">
        <v>156</v>
      </c>
      <c r="AC196" s="193"/>
    </row>
    <row r="197" spans="1:29" ht="15.75" thickBot="1">
      <c r="A197" s="610" t="s">
        <v>157</v>
      </c>
      <c r="B197" s="611">
        <f>E191/(B191+0.000000001)</f>
        <v>51749.99996109022</v>
      </c>
      <c r="C197" s="97"/>
      <c r="D197" s="613">
        <v>0</v>
      </c>
      <c r="E197" s="613">
        <f>E191</f>
        <v>68827.5</v>
      </c>
      <c r="F197" s="193"/>
      <c r="G197" s="614" t="s">
        <v>157</v>
      </c>
      <c r="H197" s="611">
        <f>K191/(H191+0.000000001)</f>
        <v>53302.499977123385</v>
      </c>
      <c r="I197" s="97"/>
      <c r="J197" s="613">
        <v>0</v>
      </c>
      <c r="K197" s="613">
        <f>K191</f>
        <v>124194.825</v>
      </c>
      <c r="L197" s="614" t="s">
        <v>157</v>
      </c>
      <c r="M197" s="611">
        <f>P191/(M191+0.000000001)</f>
        <v>54901.574983513034</v>
      </c>
      <c r="N197" s="97"/>
      <c r="O197" s="613">
        <v>0</v>
      </c>
      <c r="P197" s="613">
        <f>P191</f>
        <v>182822.24474999998</v>
      </c>
      <c r="Q197" s="193"/>
      <c r="R197" s="614" t="s">
        <v>157</v>
      </c>
      <c r="S197" s="611">
        <f>V191/(S191+0.000000001)</f>
        <v>56548.62223301843</v>
      </c>
      <c r="T197" s="97"/>
      <c r="U197" s="613">
        <v>0</v>
      </c>
      <c r="V197" s="613">
        <f>V191</f>
        <v>188306.91209250002</v>
      </c>
      <c r="W197" s="193"/>
      <c r="X197" s="614" t="s">
        <v>157</v>
      </c>
      <c r="Y197" s="611">
        <f>AB191/(Y191+0.000000001)</f>
        <v>58245.08090000899</v>
      </c>
      <c r="Z197" s="97"/>
      <c r="AA197" s="613">
        <v>0</v>
      </c>
      <c r="AB197" s="613">
        <f>AB191</f>
        <v>193956.119455275</v>
      </c>
      <c r="AC197" s="193"/>
    </row>
    <row r="198" spans="1:29" ht="15.75" thickBot="1">
      <c r="A198" s="610" t="s">
        <v>158</v>
      </c>
      <c r="B198" s="612">
        <f>VLOOKUP(B197,D197:E198,2,TRUE)</f>
        <v>68827.5</v>
      </c>
      <c r="C198" s="97"/>
      <c r="D198" s="613">
        <v>90000</v>
      </c>
      <c r="E198" s="613">
        <f>B191*D198</f>
        <v>119700</v>
      </c>
      <c r="F198" s="193"/>
      <c r="G198" s="614" t="s">
        <v>158</v>
      </c>
      <c r="H198" s="612">
        <f>VLOOKUP(H197,J197:K198,2,TRUE)</f>
        <v>124194.825</v>
      </c>
      <c r="I198" s="97"/>
      <c r="J198" s="613">
        <v>90000</v>
      </c>
      <c r="K198" s="613">
        <f>H191*J198</f>
        <v>209700</v>
      </c>
      <c r="L198" s="614" t="s">
        <v>158</v>
      </c>
      <c r="M198" s="612">
        <f>VLOOKUP(M197,O197:P198,2,TRUE)</f>
        <v>182822.24474999998</v>
      </c>
      <c r="N198" s="97"/>
      <c r="O198" s="613">
        <v>90000</v>
      </c>
      <c r="P198" s="613">
        <f>M191*O198</f>
        <v>299700</v>
      </c>
      <c r="Q198" s="193"/>
      <c r="R198" s="614" t="s">
        <v>158</v>
      </c>
      <c r="S198" s="612">
        <f>VLOOKUP(S197,U197:V198,2,TRUE)</f>
        <v>188306.91209250002</v>
      </c>
      <c r="T198" s="97"/>
      <c r="U198" s="613">
        <v>90000</v>
      </c>
      <c r="V198" s="613">
        <f>S191*U198</f>
        <v>299700</v>
      </c>
      <c r="W198" s="193"/>
      <c r="X198" s="614" t="s">
        <v>158</v>
      </c>
      <c r="Y198" s="612">
        <f>VLOOKUP(Y197,AA197:AB198,2,TRUE)</f>
        <v>193956.119455275</v>
      </c>
      <c r="Z198" s="97"/>
      <c r="AA198" s="613">
        <v>90000</v>
      </c>
      <c r="AB198" s="613">
        <f>Y191*AA198</f>
        <v>299700</v>
      </c>
      <c r="AC198" s="193"/>
    </row>
    <row r="199" spans="1:29" ht="15.75" thickBot="1">
      <c r="A199" s="231"/>
      <c r="B199" s="232"/>
      <c r="C199" s="233"/>
      <c r="D199" s="233"/>
      <c r="E199" s="234"/>
      <c r="F199" s="235"/>
      <c r="G199" s="244"/>
      <c r="H199" s="232"/>
      <c r="I199" s="233"/>
      <c r="J199" s="233"/>
      <c r="K199" s="234"/>
      <c r="L199" s="244"/>
      <c r="M199" s="232"/>
      <c r="N199" s="233"/>
      <c r="O199" s="233"/>
      <c r="P199" s="234"/>
      <c r="Q199" s="235"/>
      <c r="R199" s="244"/>
      <c r="S199" s="232"/>
      <c r="T199" s="233"/>
      <c r="U199" s="233"/>
      <c r="V199" s="234"/>
      <c r="W199" s="235"/>
      <c r="X199" s="244"/>
      <c r="Y199" s="232"/>
      <c r="Z199" s="233"/>
      <c r="AA199" s="233"/>
      <c r="AB199" s="234"/>
      <c r="AC199" s="235"/>
    </row>
    <row r="200" spans="1:29" ht="15.75" thickBot="1">
      <c r="A200" s="228"/>
      <c r="B200" s="236"/>
      <c r="C200" s="237"/>
      <c r="D200" s="237"/>
      <c r="E200" s="200"/>
      <c r="F200" s="193"/>
      <c r="G200" s="243"/>
      <c r="H200" s="236"/>
      <c r="I200" s="237"/>
      <c r="J200" s="237"/>
      <c r="K200" s="200"/>
      <c r="L200" s="243"/>
      <c r="M200" s="236"/>
      <c r="N200" s="237"/>
      <c r="O200" s="237"/>
      <c r="P200" s="200"/>
      <c r="Q200" s="238"/>
      <c r="R200" s="243"/>
      <c r="S200" s="236"/>
      <c r="T200" s="237"/>
      <c r="U200" s="237"/>
      <c r="V200" s="200"/>
      <c r="W200" s="238"/>
      <c r="X200" s="243"/>
      <c r="Y200" s="236"/>
      <c r="Z200" s="237"/>
      <c r="AA200" s="237"/>
      <c r="AB200" s="200"/>
      <c r="AC200" s="97"/>
    </row>
    <row r="201" spans="1:29" ht="12.75">
      <c r="A201" s="1039" t="s">
        <v>482</v>
      </c>
      <c r="B201" s="1040"/>
      <c r="C201" s="1040"/>
      <c r="D201" s="1040"/>
      <c r="E201" s="1040"/>
      <c r="F201" s="1041"/>
      <c r="G201" s="1039" t="s">
        <v>482</v>
      </c>
      <c r="H201" s="1040"/>
      <c r="I201" s="1040"/>
      <c r="J201" s="1040"/>
      <c r="K201" s="1040"/>
      <c r="L201" s="1039" t="s">
        <v>482</v>
      </c>
      <c r="M201" s="1040"/>
      <c r="N201" s="1040"/>
      <c r="O201" s="1040"/>
      <c r="P201" s="1040"/>
      <c r="Q201" s="1041"/>
      <c r="R201" s="1039" t="s">
        <v>482</v>
      </c>
      <c r="S201" s="1040"/>
      <c r="T201" s="1040"/>
      <c r="U201" s="1040"/>
      <c r="V201" s="1040"/>
      <c r="W201" s="1041"/>
      <c r="X201" s="1039" t="s">
        <v>482</v>
      </c>
      <c r="Y201" s="1040"/>
      <c r="Z201" s="1040"/>
      <c r="AA201" s="1040"/>
      <c r="AB201" s="1040"/>
      <c r="AC201" s="1041"/>
    </row>
    <row r="202" spans="1:29" ht="13.5" thickBot="1">
      <c r="A202" s="1042"/>
      <c r="B202" s="1043"/>
      <c r="C202" s="1043"/>
      <c r="D202" s="1043"/>
      <c r="E202" s="1043"/>
      <c r="F202" s="1044"/>
      <c r="G202" s="1042"/>
      <c r="H202" s="1043"/>
      <c r="I202" s="1043"/>
      <c r="J202" s="1043"/>
      <c r="K202" s="1043"/>
      <c r="L202" s="1042"/>
      <c r="M202" s="1043"/>
      <c r="N202" s="1043"/>
      <c r="O202" s="1043"/>
      <c r="P202" s="1043"/>
      <c r="Q202" s="1044"/>
      <c r="R202" s="1042"/>
      <c r="S202" s="1043"/>
      <c r="T202" s="1043"/>
      <c r="U202" s="1043"/>
      <c r="V202" s="1043"/>
      <c r="W202" s="1044"/>
      <c r="X202" s="1042"/>
      <c r="Y202" s="1043"/>
      <c r="Z202" s="1043"/>
      <c r="AA202" s="1043"/>
      <c r="AB202" s="1043"/>
      <c r="AC202" s="1044"/>
    </row>
    <row r="203" spans="1:29" ht="64.5" thickBot="1">
      <c r="A203" s="594" t="s">
        <v>149</v>
      </c>
      <c r="B203" s="595" t="s">
        <v>566</v>
      </c>
      <c r="C203" s="595" t="s">
        <v>565</v>
      </c>
      <c r="D203" s="489" t="s">
        <v>151</v>
      </c>
      <c r="E203" s="595" t="s">
        <v>152</v>
      </c>
      <c r="F203" s="226"/>
      <c r="G203" s="594" t="s">
        <v>149</v>
      </c>
      <c r="H203" s="595" t="str">
        <f>$B$203</f>
        <v>Number of FTE's (from Personnel &amp; Contractual Clinicians Worksheets)</v>
      </c>
      <c r="I203" s="595" t="str">
        <f>$C$203</f>
        <v>Salary (from Personnel &amp; Contractual Clinicians Worksheets)</v>
      </c>
      <c r="J203" s="489" t="s">
        <v>151</v>
      </c>
      <c r="K203" s="595" t="s">
        <v>152</v>
      </c>
      <c r="L203" s="594" t="s">
        <v>149</v>
      </c>
      <c r="M203" s="595" t="str">
        <f>$B$203</f>
        <v>Number of FTE's (from Personnel &amp; Contractual Clinicians Worksheets)</v>
      </c>
      <c r="N203" s="595" t="str">
        <f>$C$203</f>
        <v>Salary (from Personnel &amp; Contractual Clinicians Worksheets)</v>
      </c>
      <c r="O203" s="489" t="s">
        <v>151</v>
      </c>
      <c r="P203" s="595" t="s">
        <v>152</v>
      </c>
      <c r="Q203" s="226"/>
      <c r="R203" s="594" t="s">
        <v>149</v>
      </c>
      <c r="S203" s="595" t="str">
        <f>$B$203</f>
        <v>Number of FTE's (from Personnel &amp; Contractual Clinicians Worksheets)</v>
      </c>
      <c r="T203" s="595" t="str">
        <f>$C$203</f>
        <v>Salary (from Personnel &amp; Contractual Clinicians Worksheets)</v>
      </c>
      <c r="U203" s="489" t="s">
        <v>151</v>
      </c>
      <c r="V203" s="595" t="s">
        <v>152</v>
      </c>
      <c r="W203" s="226"/>
      <c r="X203" s="594" t="s">
        <v>149</v>
      </c>
      <c r="Y203" s="595" t="str">
        <f>$B$203</f>
        <v>Number of FTE's (from Personnel &amp; Contractual Clinicians Worksheets)</v>
      </c>
      <c r="Z203" s="595" t="str">
        <f>$C$203</f>
        <v>Salary (from Personnel &amp; Contractual Clinicians Worksheets)</v>
      </c>
      <c r="AA203" s="489" t="s">
        <v>151</v>
      </c>
      <c r="AB203" s="595" t="s">
        <v>152</v>
      </c>
      <c r="AC203" s="226"/>
    </row>
    <row r="204" spans="1:29" ht="12.75">
      <c r="A204" s="599" t="s">
        <v>485</v>
      </c>
      <c r="B204" s="969">
        <f>SUM(Personnel!G10:G15)</f>
        <v>0</v>
      </c>
      <c r="C204" s="598">
        <f>SUM(Personnel!G122:G127)</f>
        <v>0</v>
      </c>
      <c r="D204" s="603">
        <f>100%+$C$184</f>
        <v>1.15</v>
      </c>
      <c r="E204" s="605">
        <f>C204*D204</f>
        <v>0</v>
      </c>
      <c r="F204" s="227"/>
      <c r="G204" s="599" t="str">
        <f>A204</f>
        <v>Clinicians in the CTPF (from Personnel Worksheet)</v>
      </c>
      <c r="H204" s="969">
        <f>SUM(Personnel!I10:I15)</f>
        <v>0</v>
      </c>
      <c r="I204" s="598">
        <f>SUM(Personnel!I122:I127)</f>
        <v>0</v>
      </c>
      <c r="J204" s="603">
        <f>100%+$C$184</f>
        <v>1.15</v>
      </c>
      <c r="K204" s="605">
        <f>I204*J204</f>
        <v>0</v>
      </c>
      <c r="L204" s="599" t="str">
        <f>A204</f>
        <v>Clinicians in the CTPF (from Personnel Worksheet)</v>
      </c>
      <c r="M204" s="969">
        <f>SUM(Personnel!K10:K15)</f>
        <v>0</v>
      </c>
      <c r="N204" s="598">
        <f>SUM(Personnel!K122:K127)</f>
        <v>0</v>
      </c>
      <c r="O204" s="603">
        <f>100%+$C$184</f>
        <v>1.15</v>
      </c>
      <c r="P204" s="605">
        <f>N204*O204</f>
        <v>0</v>
      </c>
      <c r="Q204" s="227"/>
      <c r="R204" s="599" t="str">
        <f>A204</f>
        <v>Clinicians in the CTPF (from Personnel Worksheet)</v>
      </c>
      <c r="S204" s="969">
        <f>SUM(Personnel!M10:M15)</f>
        <v>0</v>
      </c>
      <c r="T204" s="598">
        <f>SUM(Personnel!M122:M127)</f>
        <v>0</v>
      </c>
      <c r="U204" s="603">
        <f>100%+$C$184</f>
        <v>1.15</v>
      </c>
      <c r="V204" s="605">
        <f>T204*U204</f>
        <v>0</v>
      </c>
      <c r="W204" s="227"/>
      <c r="X204" s="599" t="str">
        <f>A204</f>
        <v>Clinicians in the CTPF (from Personnel Worksheet)</v>
      </c>
      <c r="Y204" s="969">
        <f>SUM(Personnel!O10:O15)</f>
        <v>0</v>
      </c>
      <c r="Z204" s="598">
        <f>SUM(Personnel!O122:O127)</f>
        <v>0</v>
      </c>
      <c r="AA204" s="603">
        <f>100%+$C$184</f>
        <v>1.15</v>
      </c>
      <c r="AB204" s="605">
        <f>Z204*AA204</f>
        <v>0</v>
      </c>
      <c r="AC204" s="227"/>
    </row>
    <row r="205" spans="1:29" ht="12.75">
      <c r="A205" s="567" t="s">
        <v>486</v>
      </c>
      <c r="B205" s="969">
        <f>SUM(Personnel!G34:G39)</f>
        <v>0</v>
      </c>
      <c r="C205" s="598">
        <f>SUM(Personnel!G153:G158)</f>
        <v>0</v>
      </c>
      <c r="D205" s="603">
        <f>100%+$C$184</f>
        <v>1.15</v>
      </c>
      <c r="E205" s="605">
        <f>C205*D205</f>
        <v>0</v>
      </c>
      <c r="F205" s="227"/>
      <c r="G205" s="599" t="str">
        <f>A205</f>
        <v>Clinicians Not in the CTPF (from Personnel Worksheet)</v>
      </c>
      <c r="H205" s="969">
        <f>SUM(Personnel!I34:I39)</f>
        <v>0</v>
      </c>
      <c r="I205" s="598">
        <f>SUM(Personnel!I153:I158)</f>
        <v>0</v>
      </c>
      <c r="J205" s="603">
        <f>100%+$C$184</f>
        <v>1.15</v>
      </c>
      <c r="K205" s="605">
        <f>I205*J205</f>
        <v>0</v>
      </c>
      <c r="L205" s="599" t="str">
        <f>A205</f>
        <v>Clinicians Not in the CTPF (from Personnel Worksheet)</v>
      </c>
      <c r="M205" s="969">
        <f>SUM(Personnel!K34:K39)</f>
        <v>0</v>
      </c>
      <c r="N205" s="598">
        <f>SUM(Personnel!K153:K158)</f>
        <v>0</v>
      </c>
      <c r="O205" s="603">
        <f>100%+$C$184</f>
        <v>1.15</v>
      </c>
      <c r="P205" s="605">
        <f>N205*O205</f>
        <v>0</v>
      </c>
      <c r="Q205" s="227"/>
      <c r="R205" s="599" t="str">
        <f>A205</f>
        <v>Clinicians Not in the CTPF (from Personnel Worksheet)</v>
      </c>
      <c r="S205" s="969">
        <f>SUM(Personnel!M34:M39)</f>
        <v>0</v>
      </c>
      <c r="T205" s="598">
        <f>SUM(Personnel!M153:M158)</f>
        <v>0</v>
      </c>
      <c r="U205" s="603">
        <f>100%+$C$184</f>
        <v>1.15</v>
      </c>
      <c r="V205" s="605">
        <f>T205*U205</f>
        <v>0</v>
      </c>
      <c r="W205" s="227"/>
      <c r="X205" s="599" t="str">
        <f>A205</f>
        <v>Clinicians Not in the CTPF (from Personnel Worksheet)</v>
      </c>
      <c r="Y205" s="969">
        <f>SUM(Personnel!O34:O39)</f>
        <v>0</v>
      </c>
      <c r="Z205" s="598">
        <f>SUM(Personnel!O153:O158)</f>
        <v>0</v>
      </c>
      <c r="AA205" s="603">
        <f>100%+$C$184</f>
        <v>1.15</v>
      </c>
      <c r="AB205" s="605">
        <f>Z205*AA205</f>
        <v>0</v>
      </c>
      <c r="AC205" s="227"/>
    </row>
    <row r="206" spans="1:29" ht="13.5" thickBot="1">
      <c r="A206" s="599" t="s">
        <v>487</v>
      </c>
      <c r="B206" s="969">
        <f>'Contractual Clinicians'!C14</f>
        <v>0.4</v>
      </c>
      <c r="C206" s="598">
        <f>'Contractual Clinicians'!C31</f>
        <v>26000</v>
      </c>
      <c r="D206" s="968" t="s">
        <v>208</v>
      </c>
      <c r="E206" s="605">
        <f>C206</f>
        <v>26000</v>
      </c>
      <c r="F206" s="227"/>
      <c r="G206" s="599" t="str">
        <f>A206</f>
        <v>Contractual Clinicians (from Contractual Clinicians Worksheet)</v>
      </c>
      <c r="H206" s="969">
        <f>'Contractual Clinicians'!D14</f>
        <v>1</v>
      </c>
      <c r="I206" s="598">
        <f>'Contractual Clinicians'!D31</f>
        <v>65000</v>
      </c>
      <c r="J206" s="968" t="s">
        <v>208</v>
      </c>
      <c r="K206" s="605">
        <f>I206</f>
        <v>65000</v>
      </c>
      <c r="L206" s="599" t="str">
        <f>A206</f>
        <v>Contractual Clinicians (from Contractual Clinicians Worksheet)</v>
      </c>
      <c r="M206" s="969">
        <f>'Contractual Clinicians'!E14</f>
        <v>1.32</v>
      </c>
      <c r="N206" s="598">
        <f>'Contractual Clinicians'!E31</f>
        <v>85800</v>
      </c>
      <c r="O206" s="968" t="s">
        <v>208</v>
      </c>
      <c r="P206" s="605">
        <f>N206</f>
        <v>85800</v>
      </c>
      <c r="Q206" s="227"/>
      <c r="R206" s="599" t="str">
        <f>A206</f>
        <v>Contractual Clinicians (from Contractual Clinicians Worksheet)</v>
      </c>
      <c r="S206" s="969">
        <f>'Contractual Clinicians'!F14</f>
        <v>1.32</v>
      </c>
      <c r="T206" s="598">
        <f>'Contractual Clinicians'!F31</f>
        <v>85800</v>
      </c>
      <c r="U206" s="968" t="s">
        <v>208</v>
      </c>
      <c r="V206" s="605">
        <f>T206</f>
        <v>85800</v>
      </c>
      <c r="W206" s="227"/>
      <c r="X206" s="599" t="str">
        <f>A206</f>
        <v>Contractual Clinicians (from Contractual Clinicians Worksheet)</v>
      </c>
      <c r="Y206" s="969">
        <f>'Contractual Clinicians'!G14</f>
        <v>1.32</v>
      </c>
      <c r="Z206" s="598">
        <f>'Contractual Clinicians'!G31</f>
        <v>85800</v>
      </c>
      <c r="AA206" s="968" t="s">
        <v>208</v>
      </c>
      <c r="AB206" s="605">
        <f>Z206</f>
        <v>85800</v>
      </c>
      <c r="AC206" s="227"/>
    </row>
    <row r="207" spans="1:29" ht="13.5" thickBot="1">
      <c r="A207" s="600" t="s">
        <v>153</v>
      </c>
      <c r="B207" s="971">
        <f>SUM(B204:B206)</f>
        <v>0.4</v>
      </c>
      <c r="C207" s="602">
        <f>SUM(C204:C206)</f>
        <v>26000</v>
      </c>
      <c r="D207" s="97"/>
      <c r="E207" s="606">
        <f>SUM(E204:E206)</f>
        <v>26000</v>
      </c>
      <c r="F207" s="227"/>
      <c r="G207" s="600" t="s">
        <v>153</v>
      </c>
      <c r="H207" s="971">
        <f>SUM(H204:H206)</f>
        <v>1</v>
      </c>
      <c r="I207" s="602">
        <f>SUM(I204:I206)</f>
        <v>65000</v>
      </c>
      <c r="J207" s="97"/>
      <c r="K207" s="606">
        <f>SUM(K204:K206)</f>
        <v>65000</v>
      </c>
      <c r="L207" s="600" t="s">
        <v>153</v>
      </c>
      <c r="M207" s="971">
        <f>SUM(M204:M206)</f>
        <v>1.32</v>
      </c>
      <c r="N207" s="602">
        <f>SUM(N204:N206)</f>
        <v>85800</v>
      </c>
      <c r="O207" s="97"/>
      <c r="P207" s="606">
        <f>SUM(P204:P206)</f>
        <v>85800</v>
      </c>
      <c r="Q207" s="227"/>
      <c r="R207" s="600" t="s">
        <v>153</v>
      </c>
      <c r="S207" s="971">
        <f>SUM(S204:S206)</f>
        <v>1.32</v>
      </c>
      <c r="T207" s="602">
        <f>SUM(T204:T206)</f>
        <v>85800</v>
      </c>
      <c r="U207" s="97"/>
      <c r="V207" s="606">
        <f>SUM(V204:V206)</f>
        <v>85800</v>
      </c>
      <c r="W207" s="227"/>
      <c r="X207" s="600" t="s">
        <v>153</v>
      </c>
      <c r="Y207" s="971">
        <f>SUM(Y204:Y206)</f>
        <v>1.32</v>
      </c>
      <c r="Z207" s="602">
        <f>SUM(Z204:Z206)</f>
        <v>85800</v>
      </c>
      <c r="AA207" s="97"/>
      <c r="AB207" s="606">
        <f>SUM(AB204:AB206)</f>
        <v>85800</v>
      </c>
      <c r="AC207" s="227"/>
    </row>
    <row r="208" spans="1:29" ht="12.75">
      <c r="A208" s="207"/>
      <c r="B208" s="97"/>
      <c r="C208" s="97"/>
      <c r="D208" s="97"/>
      <c r="E208" s="200"/>
      <c r="F208" s="193"/>
      <c r="G208" s="207"/>
      <c r="H208" s="97"/>
      <c r="I208" s="97"/>
      <c r="J208" s="97"/>
      <c r="K208" s="200"/>
      <c r="L208" s="207"/>
      <c r="M208" s="97"/>
      <c r="N208" s="97"/>
      <c r="O208" s="97"/>
      <c r="P208" s="200"/>
      <c r="Q208" s="193"/>
      <c r="R208" s="207"/>
      <c r="S208" s="97"/>
      <c r="T208" s="97"/>
      <c r="U208" s="97"/>
      <c r="V208" s="200"/>
      <c r="W208" s="193"/>
      <c r="X208" s="207"/>
      <c r="Y208" s="97"/>
      <c r="Z208" s="97"/>
      <c r="AA208" s="97"/>
      <c r="AB208" s="200"/>
      <c r="AC208" s="193"/>
    </row>
    <row r="209" spans="1:29" ht="12.75">
      <c r="A209" s="207"/>
      <c r="B209" s="97"/>
      <c r="C209" s="97"/>
      <c r="D209" s="97"/>
      <c r="E209" s="200"/>
      <c r="F209" s="193"/>
      <c r="G209" s="207"/>
      <c r="H209" s="97"/>
      <c r="I209" s="97"/>
      <c r="J209" s="97"/>
      <c r="K209" s="200"/>
      <c r="L209" s="207"/>
      <c r="M209" s="97"/>
      <c r="N209" s="97"/>
      <c r="O209" s="97"/>
      <c r="P209" s="200"/>
      <c r="Q209" s="193"/>
      <c r="R209" s="207"/>
      <c r="S209" s="97"/>
      <c r="T209" s="97"/>
      <c r="U209" s="97"/>
      <c r="V209" s="200"/>
      <c r="W209" s="193"/>
      <c r="X209" s="207"/>
      <c r="Y209" s="97"/>
      <c r="Z209" s="97"/>
      <c r="AA209" s="97"/>
      <c r="AB209" s="200"/>
      <c r="AC209" s="193"/>
    </row>
    <row r="210" spans="1:29" ht="12.75">
      <c r="A210" s="207"/>
      <c r="B210" s="97"/>
      <c r="C210" s="97"/>
      <c r="D210" s="97"/>
      <c r="E210" s="200"/>
      <c r="F210" s="193"/>
      <c r="G210" s="207"/>
      <c r="H210" s="97"/>
      <c r="I210" s="97"/>
      <c r="J210" s="97"/>
      <c r="K210" s="200"/>
      <c r="L210" s="207"/>
      <c r="M210" s="97"/>
      <c r="N210" s="97"/>
      <c r="O210" s="97"/>
      <c r="P210" s="200"/>
      <c r="Q210" s="193"/>
      <c r="R210" s="207"/>
      <c r="S210" s="97"/>
      <c r="T210" s="97"/>
      <c r="U210" s="97"/>
      <c r="V210" s="200"/>
      <c r="W210" s="193"/>
      <c r="X210" s="207"/>
      <c r="Y210" s="97"/>
      <c r="Z210" s="97"/>
      <c r="AA210" s="97"/>
      <c r="AB210" s="200"/>
      <c r="AC210" s="193"/>
    </row>
    <row r="211" spans="1:29" ht="15.75" thickBot="1">
      <c r="A211" s="228"/>
      <c r="B211" s="229"/>
      <c r="C211" s="96"/>
      <c r="D211" s="96"/>
      <c r="E211" s="200"/>
      <c r="F211" s="230"/>
      <c r="G211" s="228"/>
      <c r="H211" s="229"/>
      <c r="I211" s="96"/>
      <c r="J211" s="96"/>
      <c r="K211" s="200"/>
      <c r="L211" s="228"/>
      <c r="M211" s="229"/>
      <c r="N211" s="96"/>
      <c r="O211" s="96"/>
      <c r="P211" s="200"/>
      <c r="Q211" s="230"/>
      <c r="R211" s="228"/>
      <c r="S211" s="229"/>
      <c r="T211" s="96"/>
      <c r="U211" s="96"/>
      <c r="V211" s="200"/>
      <c r="W211" s="230"/>
      <c r="X211" s="228"/>
      <c r="Y211" s="229"/>
      <c r="Z211" s="96"/>
      <c r="AA211" s="96"/>
      <c r="AB211" s="200"/>
      <c r="AC211" s="230"/>
    </row>
    <row r="212" spans="1:29" ht="39" thickBot="1">
      <c r="A212" s="535" t="s">
        <v>90</v>
      </c>
      <c r="B212" s="489" t="s">
        <v>154</v>
      </c>
      <c r="C212" s="97"/>
      <c r="D212" s="595" t="s">
        <v>155</v>
      </c>
      <c r="E212" s="595" t="s">
        <v>156</v>
      </c>
      <c r="F212" s="193"/>
      <c r="G212" s="535" t="s">
        <v>90</v>
      </c>
      <c r="H212" s="489" t="s">
        <v>154</v>
      </c>
      <c r="I212" s="97"/>
      <c r="J212" s="595" t="s">
        <v>155</v>
      </c>
      <c r="K212" s="595" t="s">
        <v>156</v>
      </c>
      <c r="L212" s="535" t="s">
        <v>90</v>
      </c>
      <c r="M212" s="489" t="s">
        <v>154</v>
      </c>
      <c r="N212" s="97"/>
      <c r="O212" s="595" t="s">
        <v>155</v>
      </c>
      <c r="P212" s="595" t="s">
        <v>156</v>
      </c>
      <c r="Q212" s="193"/>
      <c r="R212" s="535" t="s">
        <v>90</v>
      </c>
      <c r="S212" s="489" t="s">
        <v>154</v>
      </c>
      <c r="T212" s="97"/>
      <c r="U212" s="595" t="s">
        <v>155</v>
      </c>
      <c r="V212" s="595" t="s">
        <v>156</v>
      </c>
      <c r="W212" s="193"/>
      <c r="X212" s="535" t="s">
        <v>90</v>
      </c>
      <c r="Y212" s="489" t="s">
        <v>154</v>
      </c>
      <c r="Z212" s="97"/>
      <c r="AA212" s="595" t="s">
        <v>155</v>
      </c>
      <c r="AB212" s="595" t="s">
        <v>156</v>
      </c>
      <c r="AC212" s="193"/>
    </row>
    <row r="213" spans="1:29" ht="15.75" thickBot="1">
      <c r="A213" s="610" t="s">
        <v>157</v>
      </c>
      <c r="B213" s="611">
        <f>E207/(B207+0.000000001)</f>
        <v>64999.99983749999</v>
      </c>
      <c r="C213" s="97"/>
      <c r="D213" s="613">
        <v>0</v>
      </c>
      <c r="E213" s="613">
        <f>E207</f>
        <v>26000</v>
      </c>
      <c r="F213" s="193"/>
      <c r="G213" s="610" t="s">
        <v>157</v>
      </c>
      <c r="H213" s="611">
        <f>K207/(H207+0.000000001)</f>
        <v>64999.99993499999</v>
      </c>
      <c r="I213" s="97"/>
      <c r="J213" s="613">
        <v>0</v>
      </c>
      <c r="K213" s="613">
        <f>K207</f>
        <v>65000</v>
      </c>
      <c r="L213" s="610" t="s">
        <v>157</v>
      </c>
      <c r="M213" s="611">
        <f>P207/(M207+0.000000001)</f>
        <v>64999.99995075757</v>
      </c>
      <c r="N213" s="97"/>
      <c r="O213" s="613">
        <v>0</v>
      </c>
      <c r="P213" s="613">
        <f>P207</f>
        <v>85800</v>
      </c>
      <c r="Q213" s="193"/>
      <c r="R213" s="610" t="s">
        <v>157</v>
      </c>
      <c r="S213" s="611">
        <f>V207/(S207+0.000000001)</f>
        <v>64999.99995075757</v>
      </c>
      <c r="T213" s="97"/>
      <c r="U213" s="613">
        <v>0</v>
      </c>
      <c r="V213" s="613">
        <f>V207</f>
        <v>85800</v>
      </c>
      <c r="W213" s="193"/>
      <c r="X213" s="610" t="s">
        <v>157</v>
      </c>
      <c r="Y213" s="611">
        <f>AB207/(Y207+0.000000001)</f>
        <v>64999.99995075757</v>
      </c>
      <c r="Z213" s="97"/>
      <c r="AA213" s="613">
        <v>0</v>
      </c>
      <c r="AB213" s="613">
        <f>AB207</f>
        <v>85800</v>
      </c>
      <c r="AC213" s="193"/>
    </row>
    <row r="214" spans="1:29" ht="15.75" thickBot="1">
      <c r="A214" s="610" t="s">
        <v>158</v>
      </c>
      <c r="B214" s="612">
        <f>VLOOKUP(B213,D213:E214,2,TRUE)</f>
        <v>26000</v>
      </c>
      <c r="C214" s="97"/>
      <c r="D214" s="613">
        <v>90000</v>
      </c>
      <c r="E214" s="613">
        <f>B207*D214</f>
        <v>36000</v>
      </c>
      <c r="F214" s="193"/>
      <c r="G214" s="610" t="s">
        <v>158</v>
      </c>
      <c r="H214" s="612">
        <f>VLOOKUP(H213,J213:K214,2,TRUE)</f>
        <v>65000</v>
      </c>
      <c r="I214" s="97"/>
      <c r="J214" s="613">
        <v>90000</v>
      </c>
      <c r="K214" s="613">
        <f>H207*J214</f>
        <v>90000</v>
      </c>
      <c r="L214" s="610" t="s">
        <v>158</v>
      </c>
      <c r="M214" s="612">
        <f>VLOOKUP(M213,O213:P214,2,TRUE)</f>
        <v>85800</v>
      </c>
      <c r="N214" s="97"/>
      <c r="O214" s="613">
        <v>90000</v>
      </c>
      <c r="P214" s="613">
        <f>M207*O214</f>
        <v>118800</v>
      </c>
      <c r="Q214" s="193"/>
      <c r="R214" s="610" t="s">
        <v>158</v>
      </c>
      <c r="S214" s="612">
        <f>VLOOKUP(S213,U213:V214,2,TRUE)</f>
        <v>85800</v>
      </c>
      <c r="T214" s="97"/>
      <c r="U214" s="613">
        <v>90000</v>
      </c>
      <c r="V214" s="613">
        <f>S207*U214</f>
        <v>118800</v>
      </c>
      <c r="W214" s="193"/>
      <c r="X214" s="610" t="s">
        <v>158</v>
      </c>
      <c r="Y214" s="612">
        <f>VLOOKUP(Y213,AA213:AB214,2,TRUE)</f>
        <v>85800</v>
      </c>
      <c r="Z214" s="97"/>
      <c r="AA214" s="613">
        <v>90000</v>
      </c>
      <c r="AB214" s="613">
        <f>Y207*AA214</f>
        <v>118800</v>
      </c>
      <c r="AC214" s="193"/>
    </row>
    <row r="215" spans="1:29" ht="15">
      <c r="A215" s="228"/>
      <c r="B215" s="236"/>
      <c r="C215" s="237"/>
      <c r="D215" s="237"/>
      <c r="E215" s="200"/>
      <c r="F215" s="193"/>
      <c r="G215" s="243"/>
      <c r="H215" s="236"/>
      <c r="I215" s="237"/>
      <c r="J215" s="237"/>
      <c r="K215" s="200"/>
      <c r="L215" s="243"/>
      <c r="M215" s="236"/>
      <c r="N215" s="237"/>
      <c r="O215" s="237"/>
      <c r="P215" s="200"/>
      <c r="Q215" s="193"/>
      <c r="R215" s="243"/>
      <c r="S215" s="236"/>
      <c r="T215" s="237"/>
      <c r="U215" s="237"/>
      <c r="V215" s="200"/>
      <c r="W215" s="193"/>
      <c r="X215" s="243"/>
      <c r="Y215" s="236"/>
      <c r="Z215" s="237"/>
      <c r="AA215" s="237"/>
      <c r="AB215" s="200"/>
      <c r="AC215" s="193"/>
    </row>
    <row r="216" spans="1:29" ht="15.75" thickBot="1">
      <c r="A216" s="228"/>
      <c r="B216" s="236"/>
      <c r="C216" s="237"/>
      <c r="D216" s="237"/>
      <c r="E216" s="200"/>
      <c r="F216" s="193"/>
      <c r="G216" s="243"/>
      <c r="H216" s="236"/>
      <c r="I216" s="237"/>
      <c r="J216" s="237"/>
      <c r="K216" s="222"/>
      <c r="L216" s="243"/>
      <c r="M216" s="236"/>
      <c r="N216" s="237"/>
      <c r="O216" s="237"/>
      <c r="P216" s="222"/>
      <c r="Q216" s="235"/>
      <c r="R216" s="243"/>
      <c r="S216" s="236"/>
      <c r="T216" s="237"/>
      <c r="U216" s="237"/>
      <c r="V216" s="222"/>
      <c r="W216" s="235"/>
      <c r="X216" s="243"/>
      <c r="Y216" s="236"/>
      <c r="Z216" s="237"/>
      <c r="AA216" s="237"/>
      <c r="AB216" s="222"/>
      <c r="AC216" s="235"/>
    </row>
    <row r="217" spans="1:29" ht="12.75">
      <c r="A217" s="1039" t="s">
        <v>495</v>
      </c>
      <c r="B217" s="1040"/>
      <c r="C217" s="1040"/>
      <c r="D217" s="1040"/>
      <c r="E217" s="1040"/>
      <c r="F217" s="1041"/>
      <c r="G217" s="1040" t="s">
        <v>159</v>
      </c>
      <c r="H217" s="1040"/>
      <c r="I217" s="1040"/>
      <c r="J217" s="1040"/>
      <c r="K217" s="1040"/>
      <c r="L217" s="1039" t="s">
        <v>159</v>
      </c>
      <c r="M217" s="1040"/>
      <c r="N217" s="1040"/>
      <c r="O217" s="1040"/>
      <c r="P217" s="1040"/>
      <c r="Q217" s="1041"/>
      <c r="R217" s="1040" t="s">
        <v>159</v>
      </c>
      <c r="S217" s="1040"/>
      <c r="T217" s="1040"/>
      <c r="U217" s="1040"/>
      <c r="V217" s="1040"/>
      <c r="W217" s="1041"/>
      <c r="X217" s="1040" t="s">
        <v>159</v>
      </c>
      <c r="Y217" s="1040"/>
      <c r="Z217" s="1040"/>
      <c r="AA217" s="1040"/>
      <c r="AB217" s="1040"/>
      <c r="AC217" s="1041"/>
    </row>
    <row r="218" spans="1:29" ht="13.5" thickBot="1">
      <c r="A218" s="1042"/>
      <c r="B218" s="1043"/>
      <c r="C218" s="1043"/>
      <c r="D218" s="1043"/>
      <c r="E218" s="1043"/>
      <c r="F218" s="1044"/>
      <c r="G218" s="1043"/>
      <c r="H218" s="1043"/>
      <c r="I218" s="1043"/>
      <c r="J218" s="1043"/>
      <c r="K218" s="1043"/>
      <c r="L218" s="1042"/>
      <c r="M218" s="1043"/>
      <c r="N218" s="1043"/>
      <c r="O218" s="1043"/>
      <c r="P218" s="1043"/>
      <c r="Q218" s="1044"/>
      <c r="R218" s="1043"/>
      <c r="S218" s="1043"/>
      <c r="T218" s="1043"/>
      <c r="U218" s="1043"/>
      <c r="V218" s="1043"/>
      <c r="W218" s="1044"/>
      <c r="X218" s="1043"/>
      <c r="Y218" s="1043"/>
      <c r="Z218" s="1043"/>
      <c r="AA218" s="1043"/>
      <c r="AB218" s="1043"/>
      <c r="AC218" s="1044"/>
    </row>
    <row r="219" spans="1:29" ht="12.75" customHeight="1">
      <c r="A219" s="1078" t="s">
        <v>90</v>
      </c>
      <c r="B219" s="1055" t="s">
        <v>567</v>
      </c>
      <c r="C219" s="1055" t="s">
        <v>150</v>
      </c>
      <c r="D219" s="1078" t="s">
        <v>151</v>
      </c>
      <c r="E219" s="1055" t="s">
        <v>152</v>
      </c>
      <c r="F219" s="238"/>
      <c r="G219" s="1089" t="s">
        <v>90</v>
      </c>
      <c r="H219" s="1055" t="str">
        <f>$B$219</f>
        <v>Number of FTE's (from Personnel Worksheet)</v>
      </c>
      <c r="I219" s="1055" t="s">
        <v>150</v>
      </c>
      <c r="J219" s="1078" t="s">
        <v>151</v>
      </c>
      <c r="K219" s="1055" t="s">
        <v>152</v>
      </c>
      <c r="L219" s="1078" t="s">
        <v>90</v>
      </c>
      <c r="M219" s="1055" t="str">
        <f>$B$219</f>
        <v>Number of FTE's (from Personnel Worksheet)</v>
      </c>
      <c r="N219" s="1055" t="s">
        <v>150</v>
      </c>
      <c r="O219" s="1078" t="s">
        <v>151</v>
      </c>
      <c r="P219" s="1055" t="s">
        <v>152</v>
      </c>
      <c r="Q219" s="238"/>
      <c r="R219" s="1089" t="s">
        <v>90</v>
      </c>
      <c r="S219" s="1055" t="str">
        <f>$B$219</f>
        <v>Number of FTE's (from Personnel Worksheet)</v>
      </c>
      <c r="T219" s="1055" t="s">
        <v>150</v>
      </c>
      <c r="U219" s="1078" t="s">
        <v>151</v>
      </c>
      <c r="V219" s="1055" t="s">
        <v>152</v>
      </c>
      <c r="W219" s="238"/>
      <c r="X219" s="1089" t="s">
        <v>90</v>
      </c>
      <c r="Y219" s="1055" t="str">
        <f>$B$219</f>
        <v>Number of FTE's (from Personnel Worksheet)</v>
      </c>
      <c r="Z219" s="1055" t="s">
        <v>150</v>
      </c>
      <c r="AA219" s="1078" t="s">
        <v>151</v>
      </c>
      <c r="AB219" s="1055" t="s">
        <v>152</v>
      </c>
      <c r="AC219" s="238"/>
    </row>
    <row r="220" spans="1:29" ht="30.75" customHeight="1" thickBot="1">
      <c r="A220" s="1079"/>
      <c r="B220" s="1056"/>
      <c r="C220" s="1056"/>
      <c r="D220" s="1079"/>
      <c r="E220" s="1056"/>
      <c r="F220" s="193"/>
      <c r="G220" s="1090"/>
      <c r="H220" s="1056"/>
      <c r="I220" s="1056"/>
      <c r="J220" s="1079"/>
      <c r="K220" s="1056"/>
      <c r="L220" s="1079"/>
      <c r="M220" s="1056"/>
      <c r="N220" s="1056"/>
      <c r="O220" s="1079"/>
      <c r="P220" s="1056"/>
      <c r="Q220" s="193"/>
      <c r="R220" s="1090"/>
      <c r="S220" s="1056"/>
      <c r="T220" s="1056"/>
      <c r="U220" s="1079"/>
      <c r="V220" s="1056"/>
      <c r="W220" s="193"/>
      <c r="X220" s="1090"/>
      <c r="Y220" s="1056"/>
      <c r="Z220" s="1056"/>
      <c r="AA220" s="1079"/>
      <c r="AB220" s="1056"/>
      <c r="AC220" s="193"/>
    </row>
    <row r="221" spans="1:29" ht="12.75">
      <c r="A221" s="615" t="s">
        <v>488</v>
      </c>
      <c r="B221" s="969">
        <f>Personnel!G9</f>
        <v>0</v>
      </c>
      <c r="C221" s="598">
        <f>Personnel!G121</f>
        <v>0</v>
      </c>
      <c r="D221" s="603">
        <f>100%+$C$184</f>
        <v>1.15</v>
      </c>
      <c r="E221" s="619">
        <f>C221*D221</f>
        <v>0</v>
      </c>
      <c r="F221" s="193"/>
      <c r="G221" s="620" t="str">
        <f>A221</f>
        <v>SPED Teacher Aides in the CTPF (from Personnel Worksheet)</v>
      </c>
      <c r="H221" s="969">
        <f>Personnel!I9</f>
        <v>0</v>
      </c>
      <c r="I221" s="598">
        <f>Personnel!I121</f>
        <v>0</v>
      </c>
      <c r="J221" s="603">
        <f>100%+$I$184</f>
        <v>1.15</v>
      </c>
      <c r="K221" s="619">
        <f>I221*J221</f>
        <v>0</v>
      </c>
      <c r="L221" s="620" t="str">
        <f>A221</f>
        <v>SPED Teacher Aides in the CTPF (from Personnel Worksheet)</v>
      </c>
      <c r="M221" s="597">
        <f>Personnel!K9</f>
        <v>0</v>
      </c>
      <c r="N221" s="598">
        <f>Personnel!K121</f>
        <v>0</v>
      </c>
      <c r="O221" s="603">
        <f>100%+$N$184</f>
        <v>1.15</v>
      </c>
      <c r="P221" s="619">
        <f>N221*O221</f>
        <v>0</v>
      </c>
      <c r="Q221" s="193"/>
      <c r="R221" s="620" t="str">
        <f>A221</f>
        <v>SPED Teacher Aides in the CTPF (from Personnel Worksheet)</v>
      </c>
      <c r="S221" s="969">
        <f>Personnel!M9</f>
        <v>0</v>
      </c>
      <c r="T221" s="598">
        <f>Personnel!M121</f>
        <v>0</v>
      </c>
      <c r="U221" s="603">
        <f>100%+$T$184</f>
        <v>1.15</v>
      </c>
      <c r="V221" s="619">
        <f>T221*U221</f>
        <v>0</v>
      </c>
      <c r="W221" s="193"/>
      <c r="X221" s="620" t="str">
        <f>A221</f>
        <v>SPED Teacher Aides in the CTPF (from Personnel Worksheet)</v>
      </c>
      <c r="Y221" s="969">
        <f>Personnel!O9</f>
        <v>0</v>
      </c>
      <c r="Z221" s="598">
        <f>Personnel!O121</f>
        <v>0</v>
      </c>
      <c r="AA221" s="603">
        <f>100%+$Z$184</f>
        <v>1.15</v>
      </c>
      <c r="AB221" s="619">
        <f>Z221*AA221</f>
        <v>0</v>
      </c>
      <c r="AC221" s="193"/>
    </row>
    <row r="222" spans="1:29" ht="13.5" thickBot="1">
      <c r="A222" s="599" t="s">
        <v>489</v>
      </c>
      <c r="B222" s="970">
        <f>Personnel!G33</f>
        <v>0</v>
      </c>
      <c r="C222" s="388">
        <f>Personnel!G152</f>
        <v>0</v>
      </c>
      <c r="D222" s="604">
        <f>100%+$C$184</f>
        <v>1.15</v>
      </c>
      <c r="E222" s="619">
        <f>C222*D222</f>
        <v>0</v>
      </c>
      <c r="F222" s="193"/>
      <c r="G222" s="620" t="str">
        <f>A222</f>
        <v>SPED Teachers Aides Not in the CTPF (from Personnel Worksheet)</v>
      </c>
      <c r="H222" s="970">
        <f>Personnel!I33</f>
        <v>0</v>
      </c>
      <c r="I222" s="388">
        <f>Personnel!I152</f>
        <v>0</v>
      </c>
      <c r="J222" s="603">
        <f>100%+$I$184</f>
        <v>1.15</v>
      </c>
      <c r="K222" s="619">
        <f>I222*J222</f>
        <v>0</v>
      </c>
      <c r="L222" s="620" t="str">
        <f>A222</f>
        <v>SPED Teachers Aides Not in the CTPF (from Personnel Worksheet)</v>
      </c>
      <c r="M222" s="618">
        <f>Personnel!K33</f>
        <v>0</v>
      </c>
      <c r="N222" s="388">
        <f>Personnel!K152</f>
        <v>0</v>
      </c>
      <c r="O222" s="603">
        <f>100%+$N$184</f>
        <v>1.15</v>
      </c>
      <c r="P222" s="619">
        <f>N222*O222</f>
        <v>0</v>
      </c>
      <c r="Q222" s="193"/>
      <c r="R222" s="620" t="str">
        <f>A222</f>
        <v>SPED Teachers Aides Not in the CTPF (from Personnel Worksheet)</v>
      </c>
      <c r="S222" s="970">
        <f>Personnel!M33</f>
        <v>0</v>
      </c>
      <c r="T222" s="388">
        <f>Personnel!M152</f>
        <v>0</v>
      </c>
      <c r="U222" s="603">
        <f>100%+$T$184</f>
        <v>1.15</v>
      </c>
      <c r="V222" s="619">
        <f>T222*U222</f>
        <v>0</v>
      </c>
      <c r="W222" s="193"/>
      <c r="X222" s="620" t="str">
        <f>A222</f>
        <v>SPED Teachers Aides Not in the CTPF (from Personnel Worksheet)</v>
      </c>
      <c r="Y222" s="970">
        <f>Personnel!O33</f>
        <v>0</v>
      </c>
      <c r="Z222" s="388">
        <f>Personnel!O152</f>
        <v>0</v>
      </c>
      <c r="AA222" s="603">
        <f>100%+$Z$184</f>
        <v>1.15</v>
      </c>
      <c r="AB222" s="619">
        <f>Z222*AA222</f>
        <v>0</v>
      </c>
      <c r="AC222" s="193"/>
    </row>
    <row r="223" spans="1:29" ht="13.5" thickBot="1">
      <c r="A223" s="600" t="s">
        <v>153</v>
      </c>
      <c r="B223" s="971">
        <f>SUM(B221:B222)</f>
        <v>0</v>
      </c>
      <c r="C223" s="602">
        <f>SUM(C221:C222)</f>
        <v>0</v>
      </c>
      <c r="D223" s="97"/>
      <c r="E223" s="552">
        <f>SUM(E221:E222)</f>
        <v>0</v>
      </c>
      <c r="F223" s="193"/>
      <c r="G223" s="609" t="s">
        <v>153</v>
      </c>
      <c r="H223" s="971">
        <f>SUM(H221:H222)</f>
        <v>0</v>
      </c>
      <c r="I223" s="602">
        <f>SUM(I221:I222)</f>
        <v>0</v>
      </c>
      <c r="J223" s="97"/>
      <c r="K223" s="552">
        <f>SUM(K221:K222)</f>
        <v>0</v>
      </c>
      <c r="L223" s="609" t="s">
        <v>153</v>
      </c>
      <c r="M223" s="601">
        <f>SUM(M221:M222)</f>
        <v>0</v>
      </c>
      <c r="N223" s="602">
        <f>SUM(N221:N222)</f>
        <v>0</v>
      </c>
      <c r="O223" s="97"/>
      <c r="P223" s="552">
        <f>SUM(P221:P222)</f>
        <v>0</v>
      </c>
      <c r="Q223" s="193"/>
      <c r="R223" s="609" t="s">
        <v>153</v>
      </c>
      <c r="S223" s="971">
        <f>SUM(S221:S222)</f>
        <v>0</v>
      </c>
      <c r="T223" s="602">
        <f>SUM(T221:T222)</f>
        <v>0</v>
      </c>
      <c r="U223" s="97"/>
      <c r="V223" s="552">
        <f>SUM(V221:V222)</f>
        <v>0</v>
      </c>
      <c r="W223" s="193"/>
      <c r="X223" s="609" t="s">
        <v>153</v>
      </c>
      <c r="Y223" s="971">
        <f>SUM(Y221:Y222)</f>
        <v>0</v>
      </c>
      <c r="Z223" s="602">
        <f>SUM(Z221:Z222)</f>
        <v>0</v>
      </c>
      <c r="AA223" s="97"/>
      <c r="AB223" s="552">
        <f>SUM(AB221:AB222)</f>
        <v>0</v>
      </c>
      <c r="AC223" s="193"/>
    </row>
    <row r="224" spans="1:29" ht="12.75">
      <c r="A224" s="207"/>
      <c r="B224" s="97"/>
      <c r="C224" s="97"/>
      <c r="D224" s="97"/>
      <c r="E224" s="200"/>
      <c r="F224" s="193"/>
      <c r="G224" s="97"/>
      <c r="H224" s="97"/>
      <c r="I224" s="97"/>
      <c r="J224" s="97"/>
      <c r="K224" s="200"/>
      <c r="L224" s="97"/>
      <c r="M224" s="97"/>
      <c r="N224" s="97"/>
      <c r="O224" s="97"/>
      <c r="P224" s="200"/>
      <c r="Q224" s="193"/>
      <c r="R224" s="97"/>
      <c r="S224" s="97"/>
      <c r="T224" s="97"/>
      <c r="U224" s="97"/>
      <c r="V224" s="200"/>
      <c r="W224" s="193"/>
      <c r="X224" s="97"/>
      <c r="Y224" s="97"/>
      <c r="Z224" s="97"/>
      <c r="AA224" s="97"/>
      <c r="AB224" s="200"/>
      <c r="AC224" s="193"/>
    </row>
    <row r="225" spans="1:29" ht="13.5" thickBot="1">
      <c r="A225" s="207"/>
      <c r="B225" s="97"/>
      <c r="C225" s="97"/>
      <c r="D225" s="97"/>
      <c r="E225" s="200"/>
      <c r="F225" s="193"/>
      <c r="G225" s="97"/>
      <c r="H225" s="97"/>
      <c r="I225" s="97"/>
      <c r="J225" s="97"/>
      <c r="K225" s="200"/>
      <c r="L225" s="97"/>
      <c r="M225" s="97"/>
      <c r="N225" s="97"/>
      <c r="O225" s="97"/>
      <c r="P225" s="200"/>
      <c r="Q225" s="193"/>
      <c r="R225" s="97"/>
      <c r="S225" s="97"/>
      <c r="T225" s="97"/>
      <c r="U225" s="97"/>
      <c r="V225" s="200"/>
      <c r="W225" s="193"/>
      <c r="X225" s="97"/>
      <c r="Y225" s="97"/>
      <c r="Z225" s="97"/>
      <c r="AA225" s="97"/>
      <c r="AB225" s="200"/>
      <c r="AC225" s="193"/>
    </row>
    <row r="226" spans="1:29" ht="39" thickBot="1">
      <c r="A226" s="535" t="s">
        <v>90</v>
      </c>
      <c r="B226" s="489" t="s">
        <v>154</v>
      </c>
      <c r="C226" s="97"/>
      <c r="D226" s="595" t="s">
        <v>155</v>
      </c>
      <c r="E226" s="595" t="s">
        <v>156</v>
      </c>
      <c r="F226" s="193"/>
      <c r="G226" s="572" t="s">
        <v>90</v>
      </c>
      <c r="H226" s="489" t="s">
        <v>154</v>
      </c>
      <c r="I226" s="97"/>
      <c r="J226" s="595" t="s">
        <v>155</v>
      </c>
      <c r="K226" s="595" t="s">
        <v>156</v>
      </c>
      <c r="L226" s="572" t="s">
        <v>90</v>
      </c>
      <c r="M226" s="489" t="s">
        <v>154</v>
      </c>
      <c r="N226" s="97"/>
      <c r="O226" s="595" t="s">
        <v>155</v>
      </c>
      <c r="P226" s="595" t="s">
        <v>156</v>
      </c>
      <c r="Q226" s="193"/>
      <c r="R226" s="572" t="s">
        <v>90</v>
      </c>
      <c r="S226" s="489" t="s">
        <v>154</v>
      </c>
      <c r="T226" s="97"/>
      <c r="U226" s="595" t="s">
        <v>155</v>
      </c>
      <c r="V226" s="595" t="s">
        <v>156</v>
      </c>
      <c r="W226" s="193"/>
      <c r="X226" s="572" t="s">
        <v>90</v>
      </c>
      <c r="Y226" s="489" t="s">
        <v>154</v>
      </c>
      <c r="Z226" s="97"/>
      <c r="AA226" s="595" t="s">
        <v>155</v>
      </c>
      <c r="AB226" s="595" t="s">
        <v>156</v>
      </c>
      <c r="AC226" s="193"/>
    </row>
    <row r="227" spans="1:29" ht="15.75" thickBot="1">
      <c r="A227" s="616" t="s">
        <v>160</v>
      </c>
      <c r="B227" s="611">
        <f>E223/(B223+0.00000000001)</f>
        <v>0</v>
      </c>
      <c r="C227" s="97"/>
      <c r="D227" s="613">
        <v>0</v>
      </c>
      <c r="E227" s="613">
        <f>E223</f>
        <v>0</v>
      </c>
      <c r="F227" s="193"/>
      <c r="G227" s="621" t="s">
        <v>160</v>
      </c>
      <c r="H227" s="611">
        <f>K223/(H223+0.00000000001)</f>
        <v>0</v>
      </c>
      <c r="I227" s="97"/>
      <c r="J227" s="613">
        <v>0</v>
      </c>
      <c r="K227" s="613">
        <f>K223</f>
        <v>0</v>
      </c>
      <c r="L227" s="621" t="s">
        <v>160</v>
      </c>
      <c r="M227" s="611">
        <f>P223/(M223+0.00000000001)</f>
        <v>0</v>
      </c>
      <c r="N227" s="97"/>
      <c r="O227" s="613">
        <v>0</v>
      </c>
      <c r="P227" s="613">
        <f>P223</f>
        <v>0</v>
      </c>
      <c r="Q227" s="193"/>
      <c r="R227" s="621" t="s">
        <v>160</v>
      </c>
      <c r="S227" s="611">
        <f>V223/(S223+0.00000000001)</f>
        <v>0</v>
      </c>
      <c r="T227" s="97"/>
      <c r="U227" s="613">
        <v>0</v>
      </c>
      <c r="V227" s="613">
        <f>V223</f>
        <v>0</v>
      </c>
      <c r="W227" s="193"/>
      <c r="X227" s="621" t="s">
        <v>160</v>
      </c>
      <c r="Y227" s="611">
        <f>AB223/(Y223+0.00000000001)</f>
        <v>0</v>
      </c>
      <c r="Z227" s="97"/>
      <c r="AA227" s="613">
        <v>0</v>
      </c>
      <c r="AB227" s="613">
        <f>AB223</f>
        <v>0</v>
      </c>
      <c r="AC227" s="193"/>
    </row>
    <row r="228" spans="1:29" ht="15.75" thickBot="1">
      <c r="A228" s="617" t="s">
        <v>158</v>
      </c>
      <c r="B228" s="612">
        <f>VLOOKUP(B227,D227:E228,2,TRUE)</f>
        <v>0</v>
      </c>
      <c r="C228" s="97"/>
      <c r="D228" s="613">
        <v>40000</v>
      </c>
      <c r="E228" s="613">
        <f>B223*D228</f>
        <v>0</v>
      </c>
      <c r="F228" s="193"/>
      <c r="G228" s="622" t="s">
        <v>158</v>
      </c>
      <c r="H228" s="612">
        <f>VLOOKUP(H227,J227:K228,2,TRUE)</f>
        <v>0</v>
      </c>
      <c r="I228" s="97"/>
      <c r="J228" s="613">
        <v>40000</v>
      </c>
      <c r="K228" s="613">
        <f>H223*J228</f>
        <v>0</v>
      </c>
      <c r="L228" s="622" t="s">
        <v>158</v>
      </c>
      <c r="M228" s="612">
        <f>VLOOKUP(M227,O227:P228,2,TRUE)</f>
        <v>0</v>
      </c>
      <c r="N228" s="97"/>
      <c r="O228" s="613">
        <v>40000</v>
      </c>
      <c r="P228" s="613">
        <f>M223*O228</f>
        <v>0</v>
      </c>
      <c r="Q228" s="193"/>
      <c r="R228" s="622" t="s">
        <v>158</v>
      </c>
      <c r="S228" s="612">
        <f>VLOOKUP(S227,U227:V228,2,TRUE)</f>
        <v>0</v>
      </c>
      <c r="T228" s="97"/>
      <c r="U228" s="613">
        <v>40000</v>
      </c>
      <c r="V228" s="613">
        <f>S223*U228</f>
        <v>0</v>
      </c>
      <c r="W228" s="193"/>
      <c r="X228" s="622" t="s">
        <v>158</v>
      </c>
      <c r="Y228" s="612">
        <f>VLOOKUP(Y227,AA227:AB228,2,TRUE)</f>
        <v>0</v>
      </c>
      <c r="Z228" s="97"/>
      <c r="AA228" s="613">
        <v>40000</v>
      </c>
      <c r="AB228" s="613">
        <f>Y223*AA228</f>
        <v>0</v>
      </c>
      <c r="AC228" s="193"/>
    </row>
    <row r="229" spans="1:29" ht="12.75">
      <c r="A229" s="207"/>
      <c r="B229" s="97"/>
      <c r="C229" s="97"/>
      <c r="D229" s="97"/>
      <c r="E229" s="200"/>
      <c r="F229" s="193"/>
      <c r="G229" s="97"/>
      <c r="H229" s="97"/>
      <c r="I229" s="97"/>
      <c r="J229" s="97"/>
      <c r="K229" s="200"/>
      <c r="L229" s="97"/>
      <c r="M229" s="97"/>
      <c r="N229" s="97"/>
      <c r="O229" s="97"/>
      <c r="P229" s="200"/>
      <c r="Q229" s="193"/>
      <c r="R229" s="97"/>
      <c r="S229" s="97"/>
      <c r="T229" s="97"/>
      <c r="U229" s="97"/>
      <c r="V229" s="200"/>
      <c r="W229" s="193"/>
      <c r="X229" s="97"/>
      <c r="Y229" s="97"/>
      <c r="Z229" s="97"/>
      <c r="AA229" s="97"/>
      <c r="AB229" s="200"/>
      <c r="AC229" s="193"/>
    </row>
    <row r="230" spans="1:29" ht="12.75">
      <c r="A230" s="207"/>
      <c r="B230" s="97"/>
      <c r="C230" s="97"/>
      <c r="D230" s="97"/>
      <c r="E230" s="200"/>
      <c r="F230" s="193"/>
      <c r="G230" s="97"/>
      <c r="H230" s="97"/>
      <c r="I230" s="97"/>
      <c r="J230" s="97"/>
      <c r="K230" s="200"/>
      <c r="L230" s="97"/>
      <c r="M230" s="97"/>
      <c r="N230" s="97"/>
      <c r="O230" s="97"/>
      <c r="P230" s="200"/>
      <c r="Q230" s="193"/>
      <c r="R230" s="97"/>
      <c r="S230" s="97"/>
      <c r="T230" s="97"/>
      <c r="U230" s="97"/>
      <c r="V230" s="200"/>
      <c r="W230" s="193"/>
      <c r="X230" s="97"/>
      <c r="Y230" s="97"/>
      <c r="Z230" s="97"/>
      <c r="AA230" s="97"/>
      <c r="AB230" s="200"/>
      <c r="AC230" s="193"/>
    </row>
    <row r="231" spans="1:29" ht="13.5" thickBot="1">
      <c r="A231" s="214"/>
      <c r="B231" s="215"/>
      <c r="C231" s="215"/>
      <c r="D231" s="215"/>
      <c r="E231" s="234"/>
      <c r="F231" s="235"/>
      <c r="G231" s="215"/>
      <c r="H231" s="215"/>
      <c r="I231" s="215"/>
      <c r="J231" s="215"/>
      <c r="K231" s="234"/>
      <c r="L231" s="215"/>
      <c r="M231" s="215"/>
      <c r="N231" s="215"/>
      <c r="O231" s="215"/>
      <c r="P231" s="234"/>
      <c r="Q231" s="235"/>
      <c r="R231" s="215"/>
      <c r="S231" s="215"/>
      <c r="T231" s="215"/>
      <c r="U231" s="215"/>
      <c r="V231" s="234"/>
      <c r="W231" s="235"/>
      <c r="X231" s="215"/>
      <c r="Y231" s="215"/>
      <c r="Z231" s="215"/>
      <c r="AA231" s="215"/>
      <c r="AB231" s="234"/>
      <c r="AC231" s="235"/>
    </row>
    <row r="232" spans="1:28" ht="12.75">
      <c r="A232" s="207"/>
      <c r="B232" s="97"/>
      <c r="C232" s="97"/>
      <c r="D232" s="97"/>
      <c r="E232" s="200"/>
      <c r="F232" s="193"/>
      <c r="K232" s="222"/>
      <c r="P232" s="222"/>
      <c r="Q232" s="238"/>
      <c r="V232" s="222"/>
      <c r="W232" s="238"/>
      <c r="AB232" s="222"/>
    </row>
    <row r="233" spans="1:28" ht="13.5" thickBot="1">
      <c r="A233" s="207"/>
      <c r="B233" s="97"/>
      <c r="C233" s="97"/>
      <c r="D233" s="97"/>
      <c r="E233" s="200"/>
      <c r="F233" s="193"/>
      <c r="K233" s="222"/>
      <c r="P233" s="222"/>
      <c r="Q233" s="235"/>
      <c r="V233" s="222"/>
      <c r="W233" s="235"/>
      <c r="AB233" s="222"/>
    </row>
    <row r="234" spans="1:29" ht="24.75" customHeight="1" thickBot="1">
      <c r="A234" s="1075" t="s">
        <v>161</v>
      </c>
      <c r="B234" s="1076"/>
      <c r="C234" s="1076"/>
      <c r="D234" s="1076"/>
      <c r="E234" s="1076"/>
      <c r="F234" s="1077"/>
      <c r="G234" s="1076" t="s">
        <v>161</v>
      </c>
      <c r="H234" s="1076"/>
      <c r="I234" s="1076"/>
      <c r="J234" s="1076"/>
      <c r="K234" s="1076"/>
      <c r="L234" s="1076" t="s">
        <v>161</v>
      </c>
      <c r="M234" s="1076"/>
      <c r="N234" s="1076"/>
      <c r="O234" s="1076"/>
      <c r="P234" s="1076"/>
      <c r="Q234" s="1077"/>
      <c r="R234" s="1076" t="s">
        <v>161</v>
      </c>
      <c r="S234" s="1076"/>
      <c r="T234" s="1076"/>
      <c r="U234" s="1076"/>
      <c r="V234" s="1076"/>
      <c r="W234" s="1077"/>
      <c r="X234" s="1076" t="s">
        <v>161</v>
      </c>
      <c r="Y234" s="1076"/>
      <c r="Z234" s="1076"/>
      <c r="AA234" s="1076"/>
      <c r="AB234" s="1076"/>
      <c r="AC234" s="1077"/>
    </row>
    <row r="235" spans="1:29" ht="13.5" thickBot="1">
      <c r="A235" s="207"/>
      <c r="B235" s="97"/>
      <c r="C235" s="97"/>
      <c r="D235" s="97"/>
      <c r="E235" s="200"/>
      <c r="F235" s="193"/>
      <c r="G235" s="97"/>
      <c r="H235" s="97"/>
      <c r="I235" s="97"/>
      <c r="J235" s="97"/>
      <c r="K235" s="200"/>
      <c r="L235" s="97"/>
      <c r="M235" s="97"/>
      <c r="N235" s="97"/>
      <c r="O235" s="97"/>
      <c r="P235" s="200"/>
      <c r="Q235" s="193"/>
      <c r="R235" s="97"/>
      <c r="S235" s="97"/>
      <c r="T235" s="97"/>
      <c r="U235" s="97"/>
      <c r="V235" s="200"/>
      <c r="W235" s="193"/>
      <c r="X235" s="97"/>
      <c r="Y235" s="97"/>
      <c r="Z235" s="97"/>
      <c r="AA235" s="97"/>
      <c r="AB235" s="200"/>
      <c r="AC235" s="193"/>
    </row>
    <row r="236" spans="1:29" ht="13.5" thickBot="1">
      <c r="A236" s="1048" t="s">
        <v>492</v>
      </c>
      <c r="B236" s="1049"/>
      <c r="C236" s="623">
        <f>B198</f>
        <v>68827.5</v>
      </c>
      <c r="D236" s="97"/>
      <c r="E236" s="200"/>
      <c r="F236" s="193"/>
      <c r="G236" s="1091" t="str">
        <f>$A$236</f>
        <v>Reimbursement for Special Education Teachers</v>
      </c>
      <c r="H236" s="1049"/>
      <c r="I236" s="623">
        <f>H198</f>
        <v>124194.825</v>
      </c>
      <c r="J236" s="97"/>
      <c r="K236" s="200"/>
      <c r="L236" s="1091" t="str">
        <f>$A$236</f>
        <v>Reimbursement for Special Education Teachers</v>
      </c>
      <c r="M236" s="1049"/>
      <c r="N236" s="623">
        <f>M198</f>
        <v>182822.24474999998</v>
      </c>
      <c r="O236" s="97"/>
      <c r="P236" s="200"/>
      <c r="Q236" s="193"/>
      <c r="R236" s="1091" t="str">
        <f>$A$236</f>
        <v>Reimbursement for Special Education Teachers</v>
      </c>
      <c r="S236" s="1049"/>
      <c r="T236" s="623">
        <f>S198</f>
        <v>188306.91209250002</v>
      </c>
      <c r="U236" s="97"/>
      <c r="V236" s="200"/>
      <c r="W236" s="193"/>
      <c r="X236" s="1091" t="str">
        <f>$A$236</f>
        <v>Reimbursement for Special Education Teachers</v>
      </c>
      <c r="Y236" s="1049"/>
      <c r="Z236" s="623">
        <f>Y198</f>
        <v>193956.119455275</v>
      </c>
      <c r="AA236" s="97"/>
      <c r="AB236" s="200"/>
      <c r="AC236" s="193"/>
    </row>
    <row r="237" spans="1:29" ht="13.5" thickBot="1">
      <c r="A237" s="1048" t="s">
        <v>493</v>
      </c>
      <c r="B237" s="1049"/>
      <c r="C237" s="623">
        <f>B214</f>
        <v>26000</v>
      </c>
      <c r="D237" s="97"/>
      <c r="E237" s="200"/>
      <c r="F237" s="193"/>
      <c r="G237" s="1091" t="str">
        <f>$A$237</f>
        <v>Reimbursement for Special Education Clinicians </v>
      </c>
      <c r="H237" s="1049"/>
      <c r="I237" s="623">
        <f>H214</f>
        <v>65000</v>
      </c>
      <c r="J237" s="97"/>
      <c r="K237" s="200"/>
      <c r="L237" s="1091" t="str">
        <f>$A$237</f>
        <v>Reimbursement for Special Education Clinicians </v>
      </c>
      <c r="M237" s="1049"/>
      <c r="N237" s="623">
        <f>M214</f>
        <v>85800</v>
      </c>
      <c r="O237" s="97"/>
      <c r="P237" s="200"/>
      <c r="Q237" s="193"/>
      <c r="R237" s="1091" t="str">
        <f>$A$237</f>
        <v>Reimbursement for Special Education Clinicians </v>
      </c>
      <c r="S237" s="1049"/>
      <c r="T237" s="623">
        <f>S214</f>
        <v>85800</v>
      </c>
      <c r="U237" s="97"/>
      <c r="V237" s="200"/>
      <c r="W237" s="193"/>
      <c r="X237" s="1091" t="str">
        <f>$A$237</f>
        <v>Reimbursement for Special Education Clinicians </v>
      </c>
      <c r="Y237" s="1049"/>
      <c r="Z237" s="623">
        <f>Y214</f>
        <v>85800</v>
      </c>
      <c r="AA237" s="97"/>
      <c r="AB237" s="200"/>
      <c r="AC237" s="193"/>
    </row>
    <row r="238" spans="1:29" ht="13.5" customHeight="1" thickBot="1">
      <c r="A238" s="1048" t="s">
        <v>494</v>
      </c>
      <c r="B238" s="1049"/>
      <c r="C238" s="552">
        <f>B228</f>
        <v>0</v>
      </c>
      <c r="D238" s="97"/>
      <c r="E238" s="200"/>
      <c r="F238" s="193"/>
      <c r="G238" s="1094" t="str">
        <f>$A$238</f>
        <v>Reimbursement for Special Education Teacher Aides</v>
      </c>
      <c r="H238" s="1095"/>
      <c r="I238" s="552">
        <f>H228</f>
        <v>0</v>
      </c>
      <c r="J238" s="97"/>
      <c r="K238" s="200"/>
      <c r="L238" s="1094" t="str">
        <f>$A$238</f>
        <v>Reimbursement for Special Education Teacher Aides</v>
      </c>
      <c r="M238" s="1095"/>
      <c r="N238" s="552">
        <f>M228</f>
        <v>0</v>
      </c>
      <c r="O238" s="97"/>
      <c r="P238" s="200"/>
      <c r="Q238" s="193"/>
      <c r="R238" s="1094" t="str">
        <f>$A$238</f>
        <v>Reimbursement for Special Education Teacher Aides</v>
      </c>
      <c r="S238" s="1095"/>
      <c r="T238" s="552">
        <f>S228</f>
        <v>0</v>
      </c>
      <c r="U238" s="97"/>
      <c r="V238" s="200"/>
      <c r="W238" s="193"/>
      <c r="X238" s="1094" t="str">
        <f>$A$238</f>
        <v>Reimbursement for Special Education Teacher Aides</v>
      </c>
      <c r="Y238" s="1095"/>
      <c r="Z238" s="552">
        <f>Y228</f>
        <v>0</v>
      </c>
      <c r="AA238" s="97"/>
      <c r="AB238" s="200"/>
      <c r="AC238" s="193"/>
    </row>
    <row r="239" spans="1:29" ht="13.5" thickBot="1">
      <c r="A239" s="547" t="s">
        <v>162</v>
      </c>
      <c r="B239" s="624"/>
      <c r="C239" s="623">
        <f>SUM(C236:C238)</f>
        <v>94827.5</v>
      </c>
      <c r="D239" s="97"/>
      <c r="E239" s="200"/>
      <c r="F239" s="193"/>
      <c r="G239" s="593" t="s">
        <v>162</v>
      </c>
      <c r="H239" s="624"/>
      <c r="I239" s="623">
        <f>SUM(I236:I238)</f>
        <v>189194.825</v>
      </c>
      <c r="J239" s="97"/>
      <c r="K239" s="200"/>
      <c r="L239" s="593" t="s">
        <v>162</v>
      </c>
      <c r="M239" s="624"/>
      <c r="N239" s="623">
        <f>SUM(N236:N238)</f>
        <v>268622.24474999995</v>
      </c>
      <c r="O239" s="97"/>
      <c r="P239" s="200"/>
      <c r="Q239" s="193"/>
      <c r="R239" s="593" t="s">
        <v>162</v>
      </c>
      <c r="S239" s="624"/>
      <c r="T239" s="623">
        <f>SUM(T236:T238)</f>
        <v>274106.9120925</v>
      </c>
      <c r="U239" s="97"/>
      <c r="V239" s="200"/>
      <c r="W239" s="193"/>
      <c r="X239" s="593" t="s">
        <v>162</v>
      </c>
      <c r="Y239" s="624"/>
      <c r="Z239" s="623">
        <f>SUM(Z236:Z238)</f>
        <v>279756.119455275</v>
      </c>
      <c r="AA239" s="97"/>
      <c r="AB239" s="200"/>
      <c r="AC239" s="193"/>
    </row>
    <row r="240" spans="1:29" ht="12.75">
      <c r="A240" s="207"/>
      <c r="B240" s="97"/>
      <c r="C240" s="97"/>
      <c r="D240" s="97"/>
      <c r="E240" s="200"/>
      <c r="F240" s="193"/>
      <c r="G240" s="97"/>
      <c r="H240" s="97"/>
      <c r="I240" s="97"/>
      <c r="J240" s="97"/>
      <c r="K240" s="200"/>
      <c r="L240" s="97"/>
      <c r="M240" s="97"/>
      <c r="N240" s="97"/>
      <c r="O240" s="97"/>
      <c r="P240" s="200"/>
      <c r="Q240" s="193"/>
      <c r="R240" s="97"/>
      <c r="S240" s="97"/>
      <c r="T240" s="97"/>
      <c r="U240" s="97"/>
      <c r="V240" s="200"/>
      <c r="W240" s="193"/>
      <c r="X240" s="97"/>
      <c r="Y240" s="97"/>
      <c r="Z240" s="97"/>
      <c r="AA240" s="97"/>
      <c r="AB240" s="200"/>
      <c r="AC240" s="193"/>
    </row>
    <row r="241" spans="1:29" ht="12.75">
      <c r="A241" s="207"/>
      <c r="B241" s="97"/>
      <c r="C241" s="97"/>
      <c r="D241" s="97"/>
      <c r="E241" s="200"/>
      <c r="F241" s="193"/>
      <c r="G241" s="97"/>
      <c r="H241" s="97"/>
      <c r="I241" s="97"/>
      <c r="J241" s="97"/>
      <c r="K241" s="200"/>
      <c r="L241" s="97"/>
      <c r="M241" s="97"/>
      <c r="N241" s="97"/>
      <c r="O241" s="97"/>
      <c r="P241" s="200"/>
      <c r="Q241" s="193"/>
      <c r="R241" s="97"/>
      <c r="S241" s="97"/>
      <c r="T241" s="97"/>
      <c r="U241" s="97"/>
      <c r="V241" s="200"/>
      <c r="W241" s="193"/>
      <c r="X241" s="97"/>
      <c r="Y241" s="97"/>
      <c r="Z241" s="97"/>
      <c r="AA241" s="97"/>
      <c r="AB241" s="200"/>
      <c r="AC241" s="193"/>
    </row>
    <row r="242" spans="1:29" ht="13.5" thickBot="1">
      <c r="A242" s="214"/>
      <c r="B242" s="215"/>
      <c r="C242" s="215"/>
      <c r="D242" s="215"/>
      <c r="E242" s="234"/>
      <c r="F242" s="235"/>
      <c r="G242" s="215"/>
      <c r="H242" s="215"/>
      <c r="I242" s="215"/>
      <c r="J242" s="215"/>
      <c r="K242" s="234"/>
      <c r="L242" s="215"/>
      <c r="M242" s="215"/>
      <c r="N242" s="215"/>
      <c r="O242" s="215"/>
      <c r="P242" s="234"/>
      <c r="Q242" s="235"/>
      <c r="R242" s="215"/>
      <c r="S242" s="215"/>
      <c r="T242" s="215"/>
      <c r="U242" s="215"/>
      <c r="V242" s="234"/>
      <c r="W242" s="235"/>
      <c r="X242" s="215"/>
      <c r="Y242" s="215"/>
      <c r="Z242" s="215"/>
      <c r="AA242" s="215"/>
      <c r="AB242" s="234"/>
      <c r="AC242" s="235"/>
    </row>
  </sheetData>
  <sheetProtection password="CC59" sheet="1" formatColumns="0" formatRows="0"/>
  <mergeCells count="201">
    <mergeCell ref="G158:K158"/>
    <mergeCell ref="R92:V92"/>
    <mergeCell ref="R103:S103"/>
    <mergeCell ref="R109:S109"/>
    <mergeCell ref="R115:S115"/>
    <mergeCell ref="L147:M147"/>
    <mergeCell ref="L141:M141"/>
    <mergeCell ref="L135:M135"/>
    <mergeCell ref="L123:P123"/>
    <mergeCell ref="L92:P92"/>
    <mergeCell ref="L109:M109"/>
    <mergeCell ref="L115:M115"/>
    <mergeCell ref="A91:E91"/>
    <mergeCell ref="A92:E92"/>
    <mergeCell ref="A103:B103"/>
    <mergeCell ref="A109:B109"/>
    <mergeCell ref="A115:B115"/>
    <mergeCell ref="L91:P91"/>
    <mergeCell ref="G91:K91"/>
    <mergeCell ref="G92:K92"/>
    <mergeCell ref="A6:F6"/>
    <mergeCell ref="G6:K6"/>
    <mergeCell ref="L6:Q6"/>
    <mergeCell ref="R6:W6"/>
    <mergeCell ref="R83:S83"/>
    <mergeCell ref="L83:M83"/>
    <mergeCell ref="A23:E23"/>
    <mergeCell ref="A35:B35"/>
    <mergeCell ref="G57:K57"/>
    <mergeCell ref="G58:K58"/>
    <mergeCell ref="X6:AC6"/>
    <mergeCell ref="A1:B1"/>
    <mergeCell ref="X238:Y238"/>
    <mergeCell ref="A7:F7"/>
    <mergeCell ref="G7:K7"/>
    <mergeCell ref="L7:Q7"/>
    <mergeCell ref="R7:W7"/>
    <mergeCell ref="X7:AC7"/>
    <mergeCell ref="X234:AC234"/>
    <mergeCell ref="X236:Y236"/>
    <mergeCell ref="X237:Y237"/>
    <mergeCell ref="X185:AC185"/>
    <mergeCell ref="X186:AC187"/>
    <mergeCell ref="X217:AC218"/>
    <mergeCell ref="X219:X220"/>
    <mergeCell ref="Y219:Y220"/>
    <mergeCell ref="X158:AB158"/>
    <mergeCell ref="Z219:Z220"/>
    <mergeCell ref="AA219:AA220"/>
    <mergeCell ref="AB219:AB220"/>
    <mergeCell ref="X164:AB165"/>
    <mergeCell ref="X179:AC180"/>
    <mergeCell ref="X181:AC182"/>
    <mergeCell ref="X184:Y184"/>
    <mergeCell ref="G103:H103"/>
    <mergeCell ref="G109:H109"/>
    <mergeCell ref="G115:H115"/>
    <mergeCell ref="R238:S238"/>
    <mergeCell ref="R234:W234"/>
    <mergeCell ref="R236:S236"/>
    <mergeCell ref="R237:S237"/>
    <mergeCell ref="S219:S220"/>
    <mergeCell ref="T219:T220"/>
    <mergeCell ref="U219:U220"/>
    <mergeCell ref="X9:Y9"/>
    <mergeCell ref="X21:AB22"/>
    <mergeCell ref="X23:AB23"/>
    <mergeCell ref="X35:Y35"/>
    <mergeCell ref="X41:Y41"/>
    <mergeCell ref="X57:AB57"/>
    <mergeCell ref="X58:AB58"/>
    <mergeCell ref="X71:Y71"/>
    <mergeCell ref="X77:Y77"/>
    <mergeCell ref="R185:W185"/>
    <mergeCell ref="R186:W187"/>
    <mergeCell ref="R217:W218"/>
    <mergeCell ref="X83:Y83"/>
    <mergeCell ref="X123:AB123"/>
    <mergeCell ref="X135:Y135"/>
    <mergeCell ref="X141:Y141"/>
    <mergeCell ref="V219:V220"/>
    <mergeCell ref="R158:V158"/>
    <mergeCell ref="R164:V165"/>
    <mergeCell ref="R179:W180"/>
    <mergeCell ref="R181:W182"/>
    <mergeCell ref="R184:S184"/>
    <mergeCell ref="R219:R220"/>
    <mergeCell ref="R147:S147"/>
    <mergeCell ref="X91:AB91"/>
    <mergeCell ref="X92:AB92"/>
    <mergeCell ref="X103:Y103"/>
    <mergeCell ref="X109:Y109"/>
    <mergeCell ref="X115:Y115"/>
    <mergeCell ref="X147:Y147"/>
    <mergeCell ref="L238:M238"/>
    <mergeCell ref="R9:S9"/>
    <mergeCell ref="R21:V22"/>
    <mergeCell ref="R23:V23"/>
    <mergeCell ref="R35:S35"/>
    <mergeCell ref="R41:S41"/>
    <mergeCell ref="R57:V57"/>
    <mergeCell ref="R58:V58"/>
    <mergeCell ref="R71:S71"/>
    <mergeCell ref="R154:V154"/>
    <mergeCell ref="R77:S77"/>
    <mergeCell ref="R91:V91"/>
    <mergeCell ref="R123:V123"/>
    <mergeCell ref="R135:S135"/>
    <mergeCell ref="R141:S141"/>
    <mergeCell ref="L234:Q234"/>
    <mergeCell ref="L158:P158"/>
    <mergeCell ref="L164:P165"/>
    <mergeCell ref="L179:Q180"/>
    <mergeCell ref="L181:Q182"/>
    <mergeCell ref="L58:P58"/>
    <mergeCell ref="L237:M237"/>
    <mergeCell ref="L185:Q185"/>
    <mergeCell ref="M219:M220"/>
    <mergeCell ref="N219:N220"/>
    <mergeCell ref="O219:O220"/>
    <mergeCell ref="P219:P220"/>
    <mergeCell ref="L236:M236"/>
    <mergeCell ref="L219:L220"/>
    <mergeCell ref="L103:M103"/>
    <mergeCell ref="L9:M9"/>
    <mergeCell ref="L21:P22"/>
    <mergeCell ref="L23:P23"/>
    <mergeCell ref="L35:M35"/>
    <mergeCell ref="L41:M41"/>
    <mergeCell ref="L57:P57"/>
    <mergeCell ref="G164:K165"/>
    <mergeCell ref="G179:K180"/>
    <mergeCell ref="G201:K202"/>
    <mergeCell ref="G238:H238"/>
    <mergeCell ref="G237:H237"/>
    <mergeCell ref="G181:K182"/>
    <mergeCell ref="G184:H184"/>
    <mergeCell ref="G185:K185"/>
    <mergeCell ref="G186:K187"/>
    <mergeCell ref="G217:K218"/>
    <mergeCell ref="L71:M71"/>
    <mergeCell ref="L77:M77"/>
    <mergeCell ref="G234:K234"/>
    <mergeCell ref="L184:M184"/>
    <mergeCell ref="L154:P154"/>
    <mergeCell ref="L186:Q187"/>
    <mergeCell ref="L217:Q218"/>
    <mergeCell ref="G123:K123"/>
    <mergeCell ref="G135:H135"/>
    <mergeCell ref="G141:H141"/>
    <mergeCell ref="G219:G220"/>
    <mergeCell ref="G236:H236"/>
    <mergeCell ref="K219:K220"/>
    <mergeCell ref="H219:H220"/>
    <mergeCell ref="I219:I220"/>
    <mergeCell ref="J219:J220"/>
    <mergeCell ref="G147:H147"/>
    <mergeCell ref="G154:K154"/>
    <mergeCell ref="G9:H9"/>
    <mergeCell ref="G21:K22"/>
    <mergeCell ref="G23:K23"/>
    <mergeCell ref="G35:H35"/>
    <mergeCell ref="G41:H41"/>
    <mergeCell ref="G71:H71"/>
    <mergeCell ref="G77:H77"/>
    <mergeCell ref="G83:H83"/>
    <mergeCell ref="A234:F234"/>
    <mergeCell ref="C219:C220"/>
    <mergeCell ref="D219:D220"/>
    <mergeCell ref="A238:B238"/>
    <mergeCell ref="A21:E22"/>
    <mergeCell ref="A9:B9"/>
    <mergeCell ref="A77:B77"/>
    <mergeCell ref="A83:B83"/>
    <mergeCell ref="A237:B237"/>
    <mergeCell ref="A219:A220"/>
    <mergeCell ref="B219:B220"/>
    <mergeCell ref="A141:B141"/>
    <mergeCell ref="A147:B147"/>
    <mergeCell ref="A181:F182"/>
    <mergeCell ref="A179:F180"/>
    <mergeCell ref="A201:F202"/>
    <mergeCell ref="A158:E158"/>
    <mergeCell ref="A164:E165"/>
    <mergeCell ref="A123:E123"/>
    <mergeCell ref="A135:B135"/>
    <mergeCell ref="A154:E154"/>
    <mergeCell ref="A41:B41"/>
    <mergeCell ref="A57:E57"/>
    <mergeCell ref="A58:E58"/>
    <mergeCell ref="A71:B71"/>
    <mergeCell ref="L201:Q202"/>
    <mergeCell ref="R201:W202"/>
    <mergeCell ref="X201:AC202"/>
    <mergeCell ref="X154:AB154"/>
    <mergeCell ref="A236:B236"/>
    <mergeCell ref="A184:B184"/>
    <mergeCell ref="A185:F185"/>
    <mergeCell ref="A186:F187"/>
    <mergeCell ref="A217:F218"/>
    <mergeCell ref="E219:E220"/>
  </mergeCells>
  <printOptions/>
  <pageMargins left="0.7" right="0.7" top="0.75" bottom="0.75" header="0.3" footer="0.3"/>
  <pageSetup horizontalDpi="600" verticalDpi="600" orientation="portrait" paperSize="5" scale="55" r:id="rId1"/>
  <colBreaks count="5" manualBreakCount="5">
    <brk id="6" max="65535" man="1"/>
    <brk id="11" max="65535" man="1"/>
    <brk id="17" max="65535" man="1"/>
    <brk id="23" max="65535" man="1"/>
    <brk id="29" max="65535" man="1"/>
  </colBreaks>
</worksheet>
</file>

<file path=xl/worksheets/sheet5.xml><?xml version="1.0" encoding="utf-8"?>
<worksheet xmlns="http://schemas.openxmlformats.org/spreadsheetml/2006/main" xmlns:r="http://schemas.openxmlformats.org/officeDocument/2006/relationships">
  <dimension ref="A1:R306"/>
  <sheetViews>
    <sheetView zoomScalePageLayoutView="0" workbookViewId="0" topLeftCell="A7">
      <selection activeCell="B32" sqref="B32"/>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222" customWidth="1"/>
    <col min="6" max="6" width="1.421875" style="222" customWidth="1"/>
    <col min="7" max="7" width="13.57421875" style="222" customWidth="1"/>
    <col min="8" max="8" width="1.421875" style="222" customWidth="1"/>
    <col min="9" max="9" width="13.7109375" style="222" customWidth="1"/>
    <col min="10" max="10" width="1.421875" style="222" customWidth="1"/>
    <col min="11" max="11" width="13.8515625" style="222" customWidth="1"/>
    <col min="12" max="12" width="1.421875" style="222" customWidth="1"/>
    <col min="13" max="13" width="13.57421875" style="222" customWidth="1"/>
    <col min="17" max="17" width="22.421875" style="0" hidden="1" customWidth="1"/>
    <col min="18" max="18" width="0" style="0" hidden="1" customWidth="1"/>
  </cols>
  <sheetData>
    <row r="1" spans="2:13" ht="18.75" thickBot="1">
      <c r="B1" s="932" t="str">
        <f>'Budget with Assumptions'!A2</f>
        <v>Catapult Academy</v>
      </c>
      <c r="D1" s="4"/>
      <c r="E1" s="221"/>
      <c r="F1" s="221"/>
      <c r="G1" s="221"/>
      <c r="H1" s="221"/>
      <c r="I1" s="221"/>
      <c r="J1" s="221"/>
      <c r="K1" s="221"/>
      <c r="L1" s="221"/>
      <c r="M1" s="221"/>
    </row>
    <row r="2" spans="2:13" ht="12.75">
      <c r="B2" s="7"/>
      <c r="D2" s="4"/>
      <c r="E2" s="221"/>
      <c r="F2" s="221"/>
      <c r="G2" s="221"/>
      <c r="H2" s="221"/>
      <c r="I2" s="221"/>
      <c r="J2" s="221"/>
      <c r="K2" s="221"/>
      <c r="L2" s="221"/>
      <c r="M2" s="221"/>
    </row>
    <row r="3" spans="1:13" s="472" customFormat="1" ht="16.5" customHeight="1" hidden="1" thickTop="1">
      <c r="A3" s="470"/>
      <c r="B3" s="1109" t="s">
        <v>447</v>
      </c>
      <c r="C3" s="470"/>
      <c r="D3" s="470"/>
      <c r="E3" s="1111"/>
      <c r="F3" s="471"/>
      <c r="G3" s="471"/>
      <c r="H3" s="471"/>
      <c r="I3" s="471"/>
      <c r="J3" s="471"/>
      <c r="K3" s="471"/>
      <c r="L3" s="471"/>
      <c r="M3" s="471"/>
    </row>
    <row r="4" spans="2:13" ht="13.5" hidden="1" thickBot="1">
      <c r="B4" s="1110"/>
      <c r="C4" s="4"/>
      <c r="D4" s="4"/>
      <c r="E4" s="1112"/>
      <c r="F4" s="221"/>
      <c r="G4" s="221"/>
      <c r="H4" s="221"/>
      <c r="I4" s="221"/>
      <c r="J4" s="221"/>
      <c r="K4" s="221"/>
      <c r="L4" s="221"/>
      <c r="M4" s="221"/>
    </row>
    <row r="5" spans="2:13" ht="12.75">
      <c r="B5" s="4"/>
      <c r="C5" s="4"/>
      <c r="D5" s="4"/>
      <c r="E5" s="221"/>
      <c r="F5" s="221"/>
      <c r="G5" s="221"/>
      <c r="H5" s="221"/>
      <c r="I5" s="221"/>
      <c r="J5" s="221"/>
      <c r="K5" s="221"/>
      <c r="L5" s="221"/>
      <c r="M5" s="221"/>
    </row>
    <row r="6" spans="2:13" ht="13.5" thickBot="1">
      <c r="B6" s="4"/>
      <c r="C6" s="108"/>
      <c r="D6" s="108"/>
      <c r="E6" s="108"/>
      <c r="F6" s="108"/>
      <c r="G6" s="108"/>
      <c r="H6" s="108"/>
      <c r="I6" s="108"/>
      <c r="J6" s="108"/>
      <c r="K6" s="108"/>
      <c r="L6" s="108"/>
      <c r="M6" s="108"/>
    </row>
    <row r="7" spans="2:13" ht="13.5" thickBot="1">
      <c r="B7" s="8"/>
      <c r="C7" s="4"/>
      <c r="D7" s="4"/>
      <c r="E7" s="1106" t="s">
        <v>172</v>
      </c>
      <c r="F7" s="1107"/>
      <c r="G7" s="1107"/>
      <c r="H7" s="1107"/>
      <c r="I7" s="1107"/>
      <c r="J7" s="1107"/>
      <c r="K7" s="1107"/>
      <c r="L7" s="1107"/>
      <c r="M7" s="1108"/>
    </row>
    <row r="8" spans="2:13" ht="16.5" thickBot="1">
      <c r="B8" s="385" t="s">
        <v>459</v>
      </c>
      <c r="C8" s="85" t="s">
        <v>40</v>
      </c>
      <c r="D8" s="102"/>
      <c r="E8" s="316">
        <f>'Budget with Assumptions'!L9</f>
        <v>17</v>
      </c>
      <c r="F8" s="316"/>
      <c r="G8" s="316">
        <f>'Budget with Assumptions'!N9</f>
        <v>18</v>
      </c>
      <c r="H8" s="316"/>
      <c r="I8" s="316">
        <f>'Budget with Assumptions'!P9</f>
        <v>19</v>
      </c>
      <c r="J8" s="316"/>
      <c r="K8" s="316">
        <f>'Budget with Assumptions'!R9</f>
        <v>20</v>
      </c>
      <c r="L8" s="316"/>
      <c r="M8" s="316">
        <f>'Budget with Assumptions'!T9</f>
        <v>21</v>
      </c>
    </row>
    <row r="9" spans="2:13" ht="12.75">
      <c r="B9" s="392" t="s">
        <v>246</v>
      </c>
      <c r="C9" s="86"/>
      <c r="D9" s="377"/>
      <c r="E9" s="390">
        <f>E97</f>
        <v>100</v>
      </c>
      <c r="F9" s="379"/>
      <c r="G9" s="390">
        <f>G97</f>
        <v>175</v>
      </c>
      <c r="H9" s="378"/>
      <c r="I9" s="390">
        <f>I97</f>
        <v>250</v>
      </c>
      <c r="J9" s="378"/>
      <c r="K9" s="390">
        <f>K97</f>
        <v>250</v>
      </c>
      <c r="L9" s="378"/>
      <c r="M9" s="390">
        <f>M97</f>
        <v>250</v>
      </c>
    </row>
    <row r="10" spans="2:13" ht="12.75">
      <c r="B10" s="392" t="s">
        <v>247</v>
      </c>
      <c r="C10" s="86"/>
      <c r="D10" s="377"/>
      <c r="E10" s="986">
        <v>0.91</v>
      </c>
      <c r="F10" s="986"/>
      <c r="G10" s="986">
        <v>0.91</v>
      </c>
      <c r="H10" s="986"/>
      <c r="I10" s="986">
        <v>0.91</v>
      </c>
      <c r="J10" s="986"/>
      <c r="K10" s="986">
        <v>0.91</v>
      </c>
      <c r="L10" s="986"/>
      <c r="M10" s="986">
        <v>0.91</v>
      </c>
    </row>
    <row r="11" spans="2:13" ht="12.75">
      <c r="B11" s="392" t="s">
        <v>42</v>
      </c>
      <c r="C11" s="86"/>
      <c r="D11" s="86"/>
      <c r="E11" s="389">
        <f>ROUND(E9*E10,0)</f>
        <v>91</v>
      </c>
      <c r="F11" s="378"/>
      <c r="G11" s="389">
        <f>ROUND(G9*G10,0)</f>
        <v>159</v>
      </c>
      <c r="H11" s="378"/>
      <c r="I11" s="389">
        <f>ROUND(I9*I10,0)</f>
        <v>228</v>
      </c>
      <c r="J11" s="378"/>
      <c r="K11" s="389">
        <f>ROUND(K9*K10,0)</f>
        <v>228</v>
      </c>
      <c r="L11" s="378"/>
      <c r="M11" s="389">
        <f>ROUND(M9*M10,0)</f>
        <v>228</v>
      </c>
    </row>
    <row r="12" spans="2:13" ht="13.5" thickBot="1">
      <c r="B12" s="423" t="s">
        <v>43</v>
      </c>
      <c r="C12" s="88">
        <v>740</v>
      </c>
      <c r="D12" s="88"/>
      <c r="E12" s="387">
        <v>802</v>
      </c>
      <c r="F12" s="239"/>
      <c r="G12" s="387">
        <f>$E$12</f>
        <v>802</v>
      </c>
      <c r="H12" s="382"/>
      <c r="I12" s="387">
        <f>$E$12</f>
        <v>802</v>
      </c>
      <c r="J12" s="382"/>
      <c r="K12" s="387">
        <f>$E$12</f>
        <v>802</v>
      </c>
      <c r="L12" s="382"/>
      <c r="M12" s="387">
        <f>$E$12</f>
        <v>802</v>
      </c>
    </row>
    <row r="13" spans="2:13" ht="16.5" thickBot="1">
      <c r="B13" s="385" t="s">
        <v>44</v>
      </c>
      <c r="C13" s="89" t="e">
        <f>#REF!*C12</f>
        <v>#REF!</v>
      </c>
      <c r="D13" s="89"/>
      <c r="E13" s="391">
        <f>E11*E12</f>
        <v>72982</v>
      </c>
      <c r="F13" s="317"/>
      <c r="G13" s="391">
        <f>G11*G12</f>
        <v>127518</v>
      </c>
      <c r="H13" s="317"/>
      <c r="I13" s="391">
        <f>I11*I12</f>
        <v>182856</v>
      </c>
      <c r="J13" s="317"/>
      <c r="K13" s="391">
        <f>K11*K12</f>
        <v>182856</v>
      </c>
      <c r="L13" s="317"/>
      <c r="M13" s="391">
        <f>M11*M12</f>
        <v>182856</v>
      </c>
    </row>
    <row r="14" spans="1:13" s="338" customFormat="1" ht="15.75">
      <c r="A14" s="141"/>
      <c r="B14" s="684"/>
      <c r="C14" s="685"/>
      <c r="D14" s="685"/>
      <c r="E14" s="686"/>
      <c r="F14" s="686"/>
      <c r="G14" s="686"/>
      <c r="H14" s="686"/>
      <c r="I14" s="686"/>
      <c r="J14" s="686"/>
      <c r="K14" s="686"/>
      <c r="L14" s="686"/>
      <c r="M14" s="686"/>
    </row>
    <row r="15" spans="1:13" s="338" customFormat="1" ht="16.5" thickBot="1">
      <c r="A15" s="141"/>
      <c r="B15" s="684"/>
      <c r="C15" s="685"/>
      <c r="D15" s="685"/>
      <c r="E15" s="686"/>
      <c r="F15" s="686"/>
      <c r="G15" s="686"/>
      <c r="H15" s="686"/>
      <c r="I15" s="686"/>
      <c r="J15" s="686"/>
      <c r="K15" s="686"/>
      <c r="L15" s="686"/>
      <c r="M15" s="686"/>
    </row>
    <row r="16" spans="1:13" s="338" customFormat="1" ht="16.5" customHeight="1" thickBot="1">
      <c r="A16" s="141"/>
      <c r="B16" s="385" t="s">
        <v>460</v>
      </c>
      <c r="C16" s="685"/>
      <c r="D16" s="685"/>
      <c r="E16" s="687">
        <f>E8</f>
        <v>17</v>
      </c>
      <c r="F16" s="688"/>
      <c r="G16" s="687">
        <f>G8</f>
        <v>18</v>
      </c>
      <c r="H16" s="688"/>
      <c r="I16" s="687">
        <f>I8</f>
        <v>19</v>
      </c>
      <c r="J16" s="688"/>
      <c r="K16" s="687">
        <f>K8</f>
        <v>20</v>
      </c>
      <c r="L16" s="688"/>
      <c r="M16" s="687">
        <f>M8</f>
        <v>21</v>
      </c>
    </row>
    <row r="17" spans="1:13" s="338" customFormat="1" ht="13.5" thickBot="1">
      <c r="A17" s="141"/>
      <c r="B17" s="640" t="s">
        <v>248</v>
      </c>
      <c r="C17" s="685"/>
      <c r="D17" s="685"/>
      <c r="E17" s="642">
        <f>E97</f>
        <v>100</v>
      </c>
      <c r="F17" s="848"/>
      <c r="G17" s="642">
        <f>G97</f>
        <v>175</v>
      </c>
      <c r="H17" s="848"/>
      <c r="I17" s="642">
        <f>I97</f>
        <v>250</v>
      </c>
      <c r="J17" s="848"/>
      <c r="K17" s="642">
        <f>K97</f>
        <v>250</v>
      </c>
      <c r="L17" s="848"/>
      <c r="M17" s="642">
        <f>M97</f>
        <v>250</v>
      </c>
    </row>
    <row r="18" spans="1:13" s="338" customFormat="1" ht="13.5" thickBot="1">
      <c r="A18" s="141"/>
      <c r="B18" s="641" t="s">
        <v>320</v>
      </c>
      <c r="C18" s="685"/>
      <c r="D18" s="685"/>
      <c r="E18" s="643">
        <f>E10</f>
        <v>0.91</v>
      </c>
      <c r="F18" s="848"/>
      <c r="G18" s="643">
        <f>G10</f>
        <v>0.91</v>
      </c>
      <c r="H18" s="848"/>
      <c r="I18" s="643">
        <f>I10</f>
        <v>0.91</v>
      </c>
      <c r="J18" s="848"/>
      <c r="K18" s="643">
        <f>K10</f>
        <v>0.91</v>
      </c>
      <c r="L18" s="848"/>
      <c r="M18" s="643">
        <f>M10</f>
        <v>0.91</v>
      </c>
    </row>
    <row r="19" spans="1:13" s="338" customFormat="1" ht="13.5" thickBot="1">
      <c r="A19" s="141"/>
      <c r="B19" s="641" t="s">
        <v>321</v>
      </c>
      <c r="C19" s="685"/>
      <c r="D19" s="685"/>
      <c r="E19" s="645">
        <f>E17*E18</f>
        <v>91</v>
      </c>
      <c r="F19" s="849"/>
      <c r="G19" s="645">
        <f>G17*G18</f>
        <v>159.25</v>
      </c>
      <c r="H19" s="849"/>
      <c r="I19" s="645">
        <f>I17*I18</f>
        <v>227.5</v>
      </c>
      <c r="J19" s="849"/>
      <c r="K19" s="645">
        <f>K17*K18</f>
        <v>227.5</v>
      </c>
      <c r="L19" s="849"/>
      <c r="M19" s="645">
        <f>M17*M18</f>
        <v>227.5</v>
      </c>
    </row>
    <row r="20" spans="1:13" s="338" customFormat="1" ht="13.5" thickBot="1">
      <c r="A20" s="141"/>
      <c r="B20" s="641" t="s">
        <v>319</v>
      </c>
      <c r="C20" s="685"/>
      <c r="D20" s="685"/>
      <c r="E20" s="645">
        <f>ROUND(E19*0.6,0)</f>
        <v>55</v>
      </c>
      <c r="F20" s="849">
        <f aca="true" t="shared" si="0" ref="F20:L20">F19*0.6</f>
        <v>0</v>
      </c>
      <c r="G20" s="645">
        <f>ROUND(G19*0.6,0)</f>
        <v>96</v>
      </c>
      <c r="H20" s="849">
        <f t="shared" si="0"/>
        <v>0</v>
      </c>
      <c r="I20" s="645">
        <f>ROUND(I19*0.6,0)</f>
        <v>137</v>
      </c>
      <c r="J20" s="849">
        <f t="shared" si="0"/>
        <v>0</v>
      </c>
      <c r="K20" s="645">
        <f>ROUND(K19*0.6,0)</f>
        <v>137</v>
      </c>
      <c r="L20" s="849">
        <f t="shared" si="0"/>
        <v>0</v>
      </c>
      <c r="M20" s="645">
        <f>ROUND(M19*0.6,0)</f>
        <v>137</v>
      </c>
    </row>
    <row r="21" spans="1:13" s="338" customFormat="1" ht="13.5" thickBot="1">
      <c r="A21" s="141"/>
      <c r="B21" s="641"/>
      <c r="C21" s="685"/>
      <c r="D21" s="685"/>
      <c r="E21" s="644"/>
      <c r="F21" s="848"/>
      <c r="G21" s="644"/>
      <c r="H21" s="848"/>
      <c r="I21" s="644"/>
      <c r="J21" s="848"/>
      <c r="K21" s="644"/>
      <c r="L21" s="848"/>
      <c r="M21" s="644"/>
    </row>
    <row r="22" spans="1:13" s="338" customFormat="1" ht="13.5" thickBot="1">
      <c r="A22" s="141"/>
      <c r="B22" s="641" t="s">
        <v>318</v>
      </c>
      <c r="C22" s="685"/>
      <c r="D22" s="685"/>
      <c r="E22" s="643">
        <f>E20/E17</f>
        <v>0.55</v>
      </c>
      <c r="F22" s="850"/>
      <c r="G22" s="643">
        <f>G20/G17</f>
        <v>0.5485714285714286</v>
      </c>
      <c r="H22" s="850"/>
      <c r="I22" s="643">
        <f>I20/I17</f>
        <v>0.548</v>
      </c>
      <c r="J22" s="850"/>
      <c r="K22" s="643">
        <f>K20/K17</f>
        <v>0.548</v>
      </c>
      <c r="L22" s="850"/>
      <c r="M22" s="643">
        <f>M20/M17</f>
        <v>0.548</v>
      </c>
    </row>
    <row r="23" spans="1:13" s="338" customFormat="1" ht="13.5" thickBot="1">
      <c r="A23" s="141"/>
      <c r="B23" s="641" t="s">
        <v>586</v>
      </c>
      <c r="C23" s="685"/>
      <c r="D23" s="685"/>
      <c r="E23" s="646">
        <f>_xlfn.IFERROR(IF(100*E22&gt;40,((ROUND((E22*100),0)-40)*23)+430,0),0)</f>
        <v>775</v>
      </c>
      <c r="F23" s="851"/>
      <c r="G23" s="646">
        <f>_xlfn.IFERROR(IF(100*G22&gt;40,((ROUND((G22*100),0)-40)*23)+430,0),0)</f>
        <v>775</v>
      </c>
      <c r="H23" s="851"/>
      <c r="I23" s="646">
        <f>_xlfn.IFERROR(IF(100*I22&gt;40,((ROUND((I22*100),0)-40)*23)+430,0),0)</f>
        <v>775</v>
      </c>
      <c r="J23" s="852"/>
      <c r="K23" s="646">
        <f>_xlfn.IFERROR(IF(100*K22&gt;40,((ROUND((K22*100),0)-40)*23)+430,0),0)</f>
        <v>775</v>
      </c>
      <c r="L23" s="851"/>
      <c r="M23" s="646">
        <f>_xlfn.IFERROR(IF(100*M22&gt;40,((ROUND((M22*100),0)-40)*23)+430,0),0)</f>
        <v>775</v>
      </c>
    </row>
    <row r="24" spans="1:13" s="338" customFormat="1" ht="13.5" thickBot="1">
      <c r="A24" s="141"/>
      <c r="B24" s="641" t="s">
        <v>322</v>
      </c>
      <c r="C24" s="685"/>
      <c r="D24" s="685"/>
      <c r="E24" s="647">
        <f>E23*E20</f>
        <v>42625</v>
      </c>
      <c r="F24" s="467"/>
      <c r="G24" s="647">
        <f>G23*G20</f>
        <v>74400</v>
      </c>
      <c r="H24" s="467"/>
      <c r="I24" s="647">
        <f>I23*I20</f>
        <v>106175</v>
      </c>
      <c r="J24" s="648"/>
      <c r="K24" s="647">
        <f>K23*K20</f>
        <v>106175</v>
      </c>
      <c r="L24" s="467"/>
      <c r="M24" s="647">
        <f>M23*M20</f>
        <v>106175</v>
      </c>
    </row>
    <row r="25" spans="1:13" s="338" customFormat="1" ht="13.5" customHeight="1">
      <c r="A25" s="141"/>
      <c r="B25" s="684"/>
      <c r="C25" s="685"/>
      <c r="D25" s="685"/>
      <c r="E25" s="686"/>
      <c r="F25" s="686"/>
      <c r="G25" s="686"/>
      <c r="H25" s="686"/>
      <c r="I25" s="686"/>
      <c r="J25" s="686"/>
      <c r="K25" s="686"/>
      <c r="L25" s="686"/>
      <c r="M25" s="686"/>
    </row>
    <row r="26" spans="1:13" s="338" customFormat="1" ht="13.5" customHeight="1" thickBot="1">
      <c r="A26" s="141"/>
      <c r="B26" s="684"/>
      <c r="C26" s="685"/>
      <c r="D26" s="685"/>
      <c r="E26" s="686"/>
      <c r="F26" s="686"/>
      <c r="G26" s="686"/>
      <c r="H26" s="686"/>
      <c r="I26" s="686"/>
      <c r="J26" s="686"/>
      <c r="K26" s="686"/>
      <c r="L26" s="686"/>
      <c r="M26" s="686"/>
    </row>
    <row r="27" spans="1:13" s="338" customFormat="1" ht="16.5" customHeight="1" thickBot="1">
      <c r="A27" s="141"/>
      <c r="B27" s="385" t="s">
        <v>461</v>
      </c>
      <c r="C27" s="685"/>
      <c r="D27" s="85"/>
      <c r="E27" s="316">
        <f>$E$8</f>
        <v>17</v>
      </c>
      <c r="F27" s="316"/>
      <c r="G27" s="316">
        <f>$G$8</f>
        <v>18</v>
      </c>
      <c r="H27" s="316"/>
      <c r="I27" s="316">
        <f>$I$8</f>
        <v>19</v>
      </c>
      <c r="J27" s="316"/>
      <c r="K27" s="316">
        <f>$K$8</f>
        <v>20</v>
      </c>
      <c r="L27" s="316"/>
      <c r="M27" s="316">
        <f>$M$8</f>
        <v>21</v>
      </c>
    </row>
    <row r="28" spans="1:13" s="338" customFormat="1" ht="13.5" customHeight="1">
      <c r="A28" s="141"/>
      <c r="B28" s="392" t="s">
        <v>39</v>
      </c>
      <c r="C28" s="685"/>
      <c r="D28" s="105"/>
      <c r="E28" s="853">
        <f>E97</f>
        <v>100</v>
      </c>
      <c r="F28" s="854"/>
      <c r="G28" s="853">
        <f>G97</f>
        <v>175</v>
      </c>
      <c r="H28" s="854"/>
      <c r="I28" s="853">
        <f>I97</f>
        <v>250</v>
      </c>
      <c r="J28" s="854"/>
      <c r="K28" s="853">
        <f>K97</f>
        <v>250</v>
      </c>
      <c r="L28" s="854"/>
      <c r="M28" s="853">
        <f>M97</f>
        <v>250</v>
      </c>
    </row>
    <row r="29" spans="1:13" s="338" customFormat="1" ht="13.5" customHeight="1" thickBot="1">
      <c r="A29" s="141"/>
      <c r="B29" s="423" t="s">
        <v>57</v>
      </c>
      <c r="C29" s="685"/>
      <c r="D29" s="88"/>
      <c r="E29" s="387">
        <v>64</v>
      </c>
      <c r="F29" s="382"/>
      <c r="G29" s="387">
        <f>$E$29</f>
        <v>64</v>
      </c>
      <c r="H29" s="382"/>
      <c r="I29" s="387">
        <f>$E$29</f>
        <v>64</v>
      </c>
      <c r="J29" s="382"/>
      <c r="K29" s="387">
        <f>$E$29</f>
        <v>64</v>
      </c>
      <c r="L29" s="382"/>
      <c r="M29" s="387">
        <f>$E$29</f>
        <v>64</v>
      </c>
    </row>
    <row r="30" spans="1:13" s="338" customFormat="1" ht="15" customHeight="1" thickBot="1">
      <c r="A30" s="141"/>
      <c r="B30" s="385" t="s">
        <v>58</v>
      </c>
      <c r="C30" s="685"/>
      <c r="D30" s="89"/>
      <c r="E30" s="391">
        <f>E28*E29</f>
        <v>6400</v>
      </c>
      <c r="F30" s="317"/>
      <c r="G30" s="391">
        <f>G28*G29</f>
        <v>11200</v>
      </c>
      <c r="H30" s="317"/>
      <c r="I30" s="391">
        <f>I28*I29</f>
        <v>16000</v>
      </c>
      <c r="J30" s="317"/>
      <c r="K30" s="391">
        <f>K28*K29</f>
        <v>16000</v>
      </c>
      <c r="L30" s="317"/>
      <c r="M30" s="391">
        <f>M28*M29</f>
        <v>16000</v>
      </c>
    </row>
    <row r="31" spans="1:13" s="338" customFormat="1" ht="13.5" customHeight="1">
      <c r="A31" s="141"/>
      <c r="B31" s="684"/>
      <c r="C31" s="685"/>
      <c r="D31" s="685"/>
      <c r="E31" s="686"/>
      <c r="F31" s="686"/>
      <c r="G31" s="686"/>
      <c r="H31" s="686"/>
      <c r="I31" s="686"/>
      <c r="J31" s="686"/>
      <c r="K31" s="686"/>
      <c r="L31" s="686"/>
      <c r="M31" s="686"/>
    </row>
    <row r="32" spans="1:13" s="338" customFormat="1" ht="13.5" customHeight="1" thickBot="1">
      <c r="A32" s="141"/>
      <c r="B32" s="684"/>
      <c r="C32" s="685"/>
      <c r="D32" s="685"/>
      <c r="E32" s="686"/>
      <c r="F32" s="686"/>
      <c r="G32" s="686"/>
      <c r="H32" s="686"/>
      <c r="I32" s="686"/>
      <c r="J32" s="686"/>
      <c r="K32" s="686"/>
      <c r="L32" s="686"/>
      <c r="M32" s="686"/>
    </row>
    <row r="33" spans="2:13" ht="16.5" thickBot="1">
      <c r="B33" s="385" t="s">
        <v>448</v>
      </c>
      <c r="C33" s="85" t="s">
        <v>40</v>
      </c>
      <c r="D33" s="85"/>
      <c r="E33" s="316">
        <f>$E$8</f>
        <v>17</v>
      </c>
      <c r="F33" s="316"/>
      <c r="G33" s="316">
        <f>$G$8</f>
        <v>18</v>
      </c>
      <c r="H33" s="316"/>
      <c r="I33" s="316">
        <f>$I$8</f>
        <v>19</v>
      </c>
      <c r="J33" s="316"/>
      <c r="K33" s="316">
        <f>$K$8</f>
        <v>20</v>
      </c>
      <c r="L33" s="316"/>
      <c r="M33" s="316">
        <f>$M$8</f>
        <v>21</v>
      </c>
    </row>
    <row r="34" spans="2:13" ht="12.75">
      <c r="B34" s="392" t="s">
        <v>45</v>
      </c>
      <c r="C34" s="90"/>
      <c r="D34" s="90"/>
      <c r="E34" s="639">
        <f>E85</f>
        <v>0</v>
      </c>
      <c r="F34" s="381"/>
      <c r="G34" s="639">
        <f>IF(G86="Yes",IF((G85-E85)&lt;0,0,G85-E85),0)</f>
        <v>0</v>
      </c>
      <c r="H34" s="381"/>
      <c r="I34" s="639">
        <f>IF(I86="Yes",IF((I85-G85)&lt;0,0,I85-G85),0)</f>
        <v>0</v>
      </c>
      <c r="J34" s="381"/>
      <c r="K34" s="639">
        <f>IF(K86="Yes",IF((K85-I85)&lt;0,0,K85-I85),0)</f>
        <v>0</v>
      </c>
      <c r="L34" s="381"/>
      <c r="M34" s="639">
        <f>IF(M86="Yes",IF((M85-K85)&lt;0,0,M85-K85),0)</f>
        <v>0</v>
      </c>
    </row>
    <row r="35" spans="2:13" ht="13.5" thickBot="1">
      <c r="B35" s="423" t="s">
        <v>46</v>
      </c>
      <c r="C35" s="91">
        <f>800*0.95</f>
        <v>760</v>
      </c>
      <c r="D35" s="91"/>
      <c r="E35" s="387">
        <f>$C$35</f>
        <v>760</v>
      </c>
      <c r="F35" s="382"/>
      <c r="G35" s="387">
        <f aca="true" t="shared" si="1" ref="G35:M35">$C$35</f>
        <v>760</v>
      </c>
      <c r="H35" s="382"/>
      <c r="I35" s="387">
        <f t="shared" si="1"/>
        <v>760</v>
      </c>
      <c r="J35" s="382"/>
      <c r="K35" s="387">
        <f t="shared" si="1"/>
        <v>760</v>
      </c>
      <c r="L35" s="382"/>
      <c r="M35" s="387">
        <f t="shared" si="1"/>
        <v>760</v>
      </c>
    </row>
    <row r="36" spans="2:13" ht="13.5" thickBot="1">
      <c r="B36" s="318" t="s">
        <v>449</v>
      </c>
      <c r="C36" s="89">
        <f>C34*C35</f>
        <v>0</v>
      </c>
      <c r="D36" s="89"/>
      <c r="E36" s="391">
        <f aca="true" t="shared" si="2" ref="E36:M36">E34*E35</f>
        <v>0</v>
      </c>
      <c r="F36" s="317"/>
      <c r="G36" s="391">
        <f t="shared" si="2"/>
        <v>0</v>
      </c>
      <c r="H36" s="317"/>
      <c r="I36" s="391">
        <f t="shared" si="2"/>
        <v>0</v>
      </c>
      <c r="J36" s="317"/>
      <c r="K36" s="391">
        <f t="shared" si="2"/>
        <v>0</v>
      </c>
      <c r="L36" s="317"/>
      <c r="M36" s="391">
        <f t="shared" si="2"/>
        <v>0</v>
      </c>
    </row>
    <row r="37" spans="2:13" ht="13.5" thickBot="1">
      <c r="B37" s="274"/>
      <c r="C37" s="87"/>
      <c r="D37" s="106"/>
      <c r="E37" s="380"/>
      <c r="F37" s="380"/>
      <c r="G37" s="380"/>
      <c r="H37" s="380"/>
      <c r="I37" s="380"/>
      <c r="J37" s="380"/>
      <c r="K37" s="380"/>
      <c r="L37" s="380"/>
      <c r="M37" s="380"/>
    </row>
    <row r="38" spans="2:13" ht="16.5" thickBot="1">
      <c r="B38" s="385" t="s">
        <v>47</v>
      </c>
      <c r="C38" s="87"/>
      <c r="D38" s="106"/>
      <c r="E38" s="380"/>
      <c r="F38" s="380"/>
      <c r="G38" s="380"/>
      <c r="H38" s="380"/>
      <c r="I38" s="380"/>
      <c r="J38" s="380"/>
      <c r="K38" s="380"/>
      <c r="L38" s="380"/>
      <c r="M38" s="380"/>
    </row>
    <row r="39" spans="2:13" ht="12.75">
      <c r="B39" s="392" t="s">
        <v>45</v>
      </c>
      <c r="C39" s="90"/>
      <c r="D39" s="90"/>
      <c r="E39" s="639">
        <f>$E$94</f>
        <v>100</v>
      </c>
      <c r="F39" s="381"/>
      <c r="G39" s="639">
        <f>IF(G95="Yes",IF((G94-E94)&lt;0,0,G94-E94),0)</f>
        <v>75</v>
      </c>
      <c r="H39" s="381"/>
      <c r="I39" s="639">
        <f>IF(I95="Yes",IF((I94-G94)&lt;0,0,I94-G94),0)</f>
        <v>75</v>
      </c>
      <c r="J39" s="381"/>
      <c r="K39" s="639">
        <f>IF(K95="Yes",IF((K94-I94)&lt;0,0,K94-I94),0)</f>
        <v>0</v>
      </c>
      <c r="L39" s="381"/>
      <c r="M39" s="639">
        <f>IF(M95="Yes",IF((M94-K94)&lt;0,0,M94-K94),0)</f>
        <v>0</v>
      </c>
    </row>
    <row r="40" spans="2:13" ht="13.5" thickBot="1">
      <c r="B40" s="423" t="s">
        <v>46</v>
      </c>
      <c r="C40" s="91">
        <f>1000*0.95</f>
        <v>950</v>
      </c>
      <c r="D40" s="91"/>
      <c r="E40" s="387">
        <f>$C$40</f>
        <v>950</v>
      </c>
      <c r="F40" s="382"/>
      <c r="G40" s="387">
        <f aca="true" t="shared" si="3" ref="G40:M40">$C$40</f>
        <v>950</v>
      </c>
      <c r="H40" s="382"/>
      <c r="I40" s="387">
        <f t="shared" si="3"/>
        <v>950</v>
      </c>
      <c r="J40" s="382"/>
      <c r="K40" s="387">
        <f t="shared" si="3"/>
        <v>950</v>
      </c>
      <c r="L40" s="382"/>
      <c r="M40" s="387">
        <f t="shared" si="3"/>
        <v>950</v>
      </c>
    </row>
    <row r="41" spans="2:13" ht="13.5" thickBot="1">
      <c r="B41" s="318" t="s">
        <v>48</v>
      </c>
      <c r="C41" s="89">
        <f>C39*C40</f>
        <v>0</v>
      </c>
      <c r="D41" s="89"/>
      <c r="E41" s="391">
        <f>E39*E40</f>
        <v>95000</v>
      </c>
      <c r="F41" s="317"/>
      <c r="G41" s="391">
        <f>G39*G40</f>
        <v>71250</v>
      </c>
      <c r="H41" s="317"/>
      <c r="I41" s="391">
        <f>I39*I40</f>
        <v>71250</v>
      </c>
      <c r="J41" s="317"/>
      <c r="K41" s="391">
        <f>K39*K40</f>
        <v>0</v>
      </c>
      <c r="L41" s="317"/>
      <c r="M41" s="391">
        <f>M39*M40</f>
        <v>0</v>
      </c>
    </row>
    <row r="42" spans="2:13" ht="13.5" thickBot="1">
      <c r="B42" s="127"/>
      <c r="C42" s="4"/>
      <c r="D42" s="4"/>
      <c r="E42" s="221"/>
      <c r="F42" s="221"/>
      <c r="G42" s="221"/>
      <c r="H42" s="221"/>
      <c r="I42" s="221"/>
      <c r="J42" s="221"/>
      <c r="K42" s="221"/>
      <c r="L42" s="221"/>
      <c r="M42" s="221"/>
    </row>
    <row r="43" spans="2:13" ht="16.5" thickBot="1">
      <c r="B43" s="385" t="s">
        <v>49</v>
      </c>
      <c r="C43" s="89">
        <f>C36+C41</f>
        <v>0</v>
      </c>
      <c r="D43" s="89"/>
      <c r="E43" s="391">
        <f aca="true" t="shared" si="4" ref="E43:M43">E36+E41</f>
        <v>95000</v>
      </c>
      <c r="F43" s="317"/>
      <c r="G43" s="391">
        <f t="shared" si="4"/>
        <v>71250</v>
      </c>
      <c r="H43" s="317"/>
      <c r="I43" s="391">
        <f t="shared" si="4"/>
        <v>71250</v>
      </c>
      <c r="J43" s="317"/>
      <c r="K43" s="391">
        <f t="shared" si="4"/>
        <v>0</v>
      </c>
      <c r="L43" s="317"/>
      <c r="M43" s="391">
        <f t="shared" si="4"/>
        <v>0</v>
      </c>
    </row>
    <row r="44" spans="2:13" ht="12.75">
      <c r="B44" s="4"/>
      <c r="C44" s="4"/>
      <c r="D44" s="4"/>
      <c r="E44" s="221"/>
      <c r="F44" s="221"/>
      <c r="G44" s="221"/>
      <c r="H44" s="221"/>
      <c r="I44" s="221"/>
      <c r="J44" s="221"/>
      <c r="K44" s="221"/>
      <c r="L44" s="221"/>
      <c r="M44" s="221"/>
    </row>
    <row r="45" spans="2:13" ht="13.5" thickBot="1">
      <c r="B45" s="4"/>
      <c r="C45" s="4"/>
      <c r="D45" s="4"/>
      <c r="E45" s="221"/>
      <c r="F45" s="221"/>
      <c r="G45" s="221"/>
      <c r="H45" s="221"/>
      <c r="I45" s="221"/>
      <c r="J45" s="221"/>
      <c r="K45" s="221"/>
      <c r="L45" s="221"/>
      <c r="M45" s="221"/>
    </row>
    <row r="46" spans="2:13" ht="16.5" thickBot="1">
      <c r="B46" s="386" t="s">
        <v>1</v>
      </c>
      <c r="C46" s="100">
        <f>IF(OR($C$5="Grade Expansion",$C$5="Charter Conversion"),"Prior Fiscal Year",IF($C$4="2012 (FY13)","FY12 
Incubation",IF($C$4="2013 (FY14)","FY13 
Incubation",0)))</f>
        <v>0</v>
      </c>
      <c r="D46" s="102"/>
      <c r="E46" s="316">
        <f>$E$8</f>
        <v>17</v>
      </c>
      <c r="F46" s="316"/>
      <c r="G46" s="316">
        <f>$G$8</f>
        <v>18</v>
      </c>
      <c r="H46" s="316"/>
      <c r="I46" s="316">
        <f>$I$8</f>
        <v>19</v>
      </c>
      <c r="J46" s="316"/>
      <c r="K46" s="316">
        <f>$K$8</f>
        <v>20</v>
      </c>
      <c r="L46" s="316"/>
      <c r="M46" s="316">
        <f>$M$8</f>
        <v>21</v>
      </c>
    </row>
    <row r="47" spans="2:13" ht="12.75">
      <c r="B47" s="394" t="s">
        <v>280</v>
      </c>
      <c r="C47" s="101"/>
      <c r="D47" s="103"/>
      <c r="E47" s="855"/>
      <c r="F47" s="856"/>
      <c r="G47" s="856"/>
      <c r="H47" s="856"/>
      <c r="I47" s="856"/>
      <c r="J47" s="856"/>
      <c r="K47" s="856"/>
      <c r="L47" s="856"/>
      <c r="M47" s="868" t="s">
        <v>208</v>
      </c>
    </row>
    <row r="48" spans="2:13" ht="12.75">
      <c r="B48" s="394" t="s">
        <v>281</v>
      </c>
      <c r="C48" s="101"/>
      <c r="D48" s="103"/>
      <c r="E48" s="856"/>
      <c r="F48" s="856"/>
      <c r="G48" s="856"/>
      <c r="H48" s="856"/>
      <c r="I48" s="856"/>
      <c r="J48" s="856"/>
      <c r="K48" s="856"/>
      <c r="L48" s="856"/>
      <c r="M48" s="868" t="s">
        <v>208</v>
      </c>
    </row>
    <row r="49" spans="2:13" ht="12.75">
      <c r="B49" s="394" t="s">
        <v>2</v>
      </c>
      <c r="C49" s="101"/>
      <c r="D49" s="103"/>
      <c r="E49" s="856">
        <f>+E9*0.0261</f>
        <v>2.6100000000000003</v>
      </c>
      <c r="F49" s="856"/>
      <c r="G49" s="856">
        <f>+G9*0.0261</f>
        <v>4.5675</v>
      </c>
      <c r="H49" s="856"/>
      <c r="I49" s="856">
        <f>+I9*0.0261</f>
        <v>6.525</v>
      </c>
      <c r="J49" s="856"/>
      <c r="K49" s="856">
        <f>+K9*0.0261</f>
        <v>6.525</v>
      </c>
      <c r="L49" s="856"/>
      <c r="M49" s="868" t="s">
        <v>208</v>
      </c>
    </row>
    <row r="50" spans="2:13" ht="12.75">
      <c r="B50" s="394" t="s">
        <v>3</v>
      </c>
      <c r="C50" s="101"/>
      <c r="D50" s="103"/>
      <c r="E50" s="856"/>
      <c r="F50" s="856"/>
      <c r="G50" s="856"/>
      <c r="H50" s="856"/>
      <c r="I50" s="856"/>
      <c r="J50" s="856"/>
      <c r="K50" s="856"/>
      <c r="L50" s="856"/>
      <c r="M50" s="868" t="s">
        <v>208</v>
      </c>
    </row>
    <row r="51" spans="2:13" ht="13.5" thickBot="1">
      <c r="B51" s="425"/>
      <c r="C51" s="101"/>
      <c r="D51" s="424"/>
      <c r="E51" s="427"/>
      <c r="F51" s="427"/>
      <c r="G51" s="427"/>
      <c r="H51" s="427"/>
      <c r="I51" s="427"/>
      <c r="J51" s="427"/>
      <c r="K51" s="427"/>
      <c r="L51" s="427"/>
      <c r="M51" s="427"/>
    </row>
    <row r="52" spans="2:13" ht="13.5" thickBot="1">
      <c r="B52" s="428" t="s">
        <v>277</v>
      </c>
      <c r="C52" s="107"/>
      <c r="D52" s="94"/>
      <c r="E52" s="383"/>
      <c r="F52" s="383"/>
      <c r="G52" s="383"/>
      <c r="H52" s="383"/>
      <c r="I52" s="383"/>
      <c r="J52" s="384"/>
      <c r="K52" s="384"/>
      <c r="L52" s="221"/>
      <c r="M52" s="221"/>
    </row>
    <row r="53" spans="2:13" ht="12.75">
      <c r="B53" s="393" t="s">
        <v>282</v>
      </c>
      <c r="D53" s="103"/>
      <c r="E53" s="857">
        <v>0</v>
      </c>
      <c r="F53" s="858"/>
      <c r="G53" s="857">
        <v>142</v>
      </c>
      <c r="H53" s="858"/>
      <c r="I53" s="857">
        <f>$G$53</f>
        <v>142</v>
      </c>
      <c r="J53" s="858"/>
      <c r="K53" s="857">
        <f>$G$53</f>
        <v>142</v>
      </c>
      <c r="L53" s="858"/>
      <c r="M53" s="857">
        <f>$G$53</f>
        <v>142</v>
      </c>
    </row>
    <row r="54" spans="2:13" ht="12.75">
      <c r="B54" s="394" t="s">
        <v>283</v>
      </c>
      <c r="D54" s="103"/>
      <c r="E54" s="857">
        <v>0</v>
      </c>
      <c r="F54" s="858"/>
      <c r="G54" s="857">
        <v>284</v>
      </c>
      <c r="H54" s="858"/>
      <c r="I54" s="857">
        <f>$G$54</f>
        <v>284</v>
      </c>
      <c r="J54" s="858"/>
      <c r="K54" s="857">
        <f>$G$54</f>
        <v>284</v>
      </c>
      <c r="L54" s="858"/>
      <c r="M54" s="857">
        <f>$G$54</f>
        <v>284</v>
      </c>
    </row>
    <row r="55" spans="2:13" ht="12.75">
      <c r="B55" s="394" t="s">
        <v>4</v>
      </c>
      <c r="D55" s="103"/>
      <c r="E55" s="857">
        <v>0</v>
      </c>
      <c r="F55" s="858"/>
      <c r="G55" s="857">
        <v>165</v>
      </c>
      <c r="H55" s="858"/>
      <c r="I55" s="857">
        <f>$G$55</f>
        <v>165</v>
      </c>
      <c r="J55" s="858"/>
      <c r="K55" s="857">
        <f>$G$55</f>
        <v>165</v>
      </c>
      <c r="L55" s="858"/>
      <c r="M55" s="857">
        <f>$G$55</f>
        <v>165</v>
      </c>
    </row>
    <row r="56" spans="2:13" ht="12.75">
      <c r="B56" s="394" t="s">
        <v>65</v>
      </c>
      <c r="D56" s="103"/>
      <c r="E56" s="857">
        <v>0</v>
      </c>
      <c r="F56" s="858"/>
      <c r="G56" s="857">
        <v>330</v>
      </c>
      <c r="H56" s="858"/>
      <c r="I56" s="857">
        <f>$G$56</f>
        <v>330</v>
      </c>
      <c r="J56" s="858"/>
      <c r="K56" s="857">
        <f>$G$56</f>
        <v>330</v>
      </c>
      <c r="L56" s="858"/>
      <c r="M56" s="857">
        <f>$G$56</f>
        <v>330</v>
      </c>
    </row>
    <row r="57" spans="1:13" s="338" customFormat="1" ht="13.5" thickBot="1">
      <c r="A57" s="141"/>
      <c r="B57" s="425"/>
      <c r="D57" s="426"/>
      <c r="E57" s="859"/>
      <c r="F57" s="860"/>
      <c r="G57" s="859"/>
      <c r="H57" s="860"/>
      <c r="I57" s="859"/>
      <c r="J57" s="860"/>
      <c r="K57" s="859"/>
      <c r="L57" s="860"/>
      <c r="M57" s="859"/>
    </row>
    <row r="58" spans="1:13" s="338" customFormat="1" ht="13.5" thickBot="1">
      <c r="A58" s="141"/>
      <c r="B58" s="428" t="s">
        <v>278</v>
      </c>
      <c r="D58" s="426"/>
      <c r="E58" s="859"/>
      <c r="F58" s="860"/>
      <c r="G58" s="859"/>
      <c r="H58" s="860"/>
      <c r="I58" s="859"/>
      <c r="J58" s="860"/>
      <c r="K58" s="859"/>
      <c r="L58" s="860"/>
      <c r="M58" s="859"/>
    </row>
    <row r="59" spans="2:13" ht="12.75">
      <c r="B59" s="393" t="s">
        <v>282</v>
      </c>
      <c r="D59" s="103"/>
      <c r="E59" s="857">
        <v>0</v>
      </c>
      <c r="F59" s="858"/>
      <c r="G59" s="857">
        <v>75</v>
      </c>
      <c r="H59" s="858"/>
      <c r="I59" s="857">
        <f>$G$59</f>
        <v>75</v>
      </c>
      <c r="J59" s="858"/>
      <c r="K59" s="857">
        <f>$G$59</f>
        <v>75</v>
      </c>
      <c r="L59" s="858"/>
      <c r="M59" s="857">
        <f>$G$59</f>
        <v>75</v>
      </c>
    </row>
    <row r="60" spans="2:13" ht="12.75">
      <c r="B60" s="394" t="s">
        <v>283</v>
      </c>
      <c r="D60" s="103"/>
      <c r="E60" s="857">
        <v>0</v>
      </c>
      <c r="F60" s="858"/>
      <c r="G60" s="857">
        <v>150</v>
      </c>
      <c r="H60" s="858"/>
      <c r="I60" s="857">
        <f>$G$60</f>
        <v>150</v>
      </c>
      <c r="J60" s="858"/>
      <c r="K60" s="857">
        <f>$G$60</f>
        <v>150</v>
      </c>
      <c r="L60" s="858"/>
      <c r="M60" s="857">
        <f>$G$60</f>
        <v>150</v>
      </c>
    </row>
    <row r="61" spans="2:13" ht="12.75">
      <c r="B61" s="394" t="s">
        <v>4</v>
      </c>
      <c r="D61" s="103"/>
      <c r="E61" s="857">
        <v>0</v>
      </c>
      <c r="F61" s="858"/>
      <c r="G61" s="857">
        <v>75</v>
      </c>
      <c r="H61" s="858"/>
      <c r="I61" s="857">
        <f>$G$61</f>
        <v>75</v>
      </c>
      <c r="J61" s="858"/>
      <c r="K61" s="857">
        <f>$G$61</f>
        <v>75</v>
      </c>
      <c r="L61" s="858"/>
      <c r="M61" s="857">
        <f>$G$61</f>
        <v>75</v>
      </c>
    </row>
    <row r="62" spans="2:13" ht="12.75">
      <c r="B62" s="394" t="s">
        <v>65</v>
      </c>
      <c r="D62" s="103"/>
      <c r="E62" s="857">
        <v>0</v>
      </c>
      <c r="F62" s="858"/>
      <c r="G62" s="857">
        <v>150</v>
      </c>
      <c r="H62" s="858"/>
      <c r="I62" s="857">
        <f>$G$62</f>
        <v>150</v>
      </c>
      <c r="J62" s="858"/>
      <c r="K62" s="857">
        <f>$G$62</f>
        <v>150</v>
      </c>
      <c r="L62" s="858"/>
      <c r="M62" s="857">
        <f>$G$62</f>
        <v>150</v>
      </c>
    </row>
    <row r="63" spans="1:13" s="338" customFormat="1" ht="12.75">
      <c r="A63" s="141"/>
      <c r="B63" s="425"/>
      <c r="D63" s="426"/>
      <c r="E63" s="859"/>
      <c r="F63" s="860"/>
      <c r="G63" s="859"/>
      <c r="H63" s="860"/>
      <c r="I63" s="859"/>
      <c r="J63" s="860"/>
      <c r="K63" s="859"/>
      <c r="L63" s="860"/>
      <c r="M63" s="859"/>
    </row>
    <row r="64" spans="1:13" s="338" customFormat="1" ht="13.5" thickBot="1">
      <c r="A64" s="141"/>
      <c r="B64" s="425"/>
      <c r="D64" s="426"/>
      <c r="E64" s="859"/>
      <c r="F64" s="860"/>
      <c r="G64" s="859"/>
      <c r="H64" s="860"/>
      <c r="I64" s="859"/>
      <c r="J64" s="860"/>
      <c r="K64" s="859"/>
      <c r="L64" s="860"/>
      <c r="M64" s="859"/>
    </row>
    <row r="65" spans="2:13" ht="13.5" thickBot="1">
      <c r="B65" s="428" t="s">
        <v>279</v>
      </c>
      <c r="C65" s="4"/>
      <c r="D65" s="4"/>
      <c r="E65" s="861"/>
      <c r="F65" s="861"/>
      <c r="G65" s="861"/>
      <c r="H65" s="861"/>
      <c r="I65" s="861"/>
      <c r="J65" s="861"/>
      <c r="K65" s="861"/>
      <c r="L65" s="861"/>
      <c r="M65" s="861"/>
    </row>
    <row r="66" spans="2:13" ht="12.75">
      <c r="B66" s="393" t="s">
        <v>284</v>
      </c>
      <c r="D66" s="103"/>
      <c r="E66" s="857">
        <f>E47*E53</f>
        <v>0</v>
      </c>
      <c r="F66" s="858"/>
      <c r="G66" s="857">
        <f>E47*(G53+G59)</f>
        <v>0</v>
      </c>
      <c r="H66" s="858"/>
      <c r="I66" s="857">
        <f>G47*(I53+I59)</f>
        <v>0</v>
      </c>
      <c r="J66" s="858"/>
      <c r="K66" s="857">
        <f>I47*(K53+K59)</f>
        <v>0</v>
      </c>
      <c r="L66" s="858"/>
      <c r="M66" s="857">
        <f>K47*(M53+M59)</f>
        <v>0</v>
      </c>
    </row>
    <row r="67" spans="2:13" ht="12.75">
      <c r="B67" s="394" t="s">
        <v>285</v>
      </c>
      <c r="D67" s="103"/>
      <c r="E67" s="857">
        <f>E48*E54</f>
        <v>0</v>
      </c>
      <c r="F67" s="858"/>
      <c r="G67" s="857">
        <f aca="true" t="shared" si="5" ref="G67:M69">E48*(G54+G60)</f>
        <v>0</v>
      </c>
      <c r="H67" s="858"/>
      <c r="I67" s="857">
        <f t="shared" si="5"/>
        <v>0</v>
      </c>
      <c r="J67" s="858"/>
      <c r="K67" s="857">
        <f t="shared" si="5"/>
        <v>0</v>
      </c>
      <c r="L67" s="858"/>
      <c r="M67" s="857">
        <f t="shared" si="5"/>
        <v>0</v>
      </c>
    </row>
    <row r="68" spans="2:13" ht="12.75">
      <c r="B68" s="394" t="s">
        <v>5</v>
      </c>
      <c r="D68" s="103"/>
      <c r="E68" s="857">
        <f>E49*E55</f>
        <v>0</v>
      </c>
      <c r="F68" s="858"/>
      <c r="G68" s="857">
        <f t="shared" si="5"/>
        <v>626.4000000000001</v>
      </c>
      <c r="H68" s="858"/>
      <c r="I68" s="857">
        <f t="shared" si="5"/>
        <v>1096.2</v>
      </c>
      <c r="J68" s="858"/>
      <c r="K68" s="857">
        <f t="shared" si="5"/>
        <v>1566</v>
      </c>
      <c r="L68" s="858"/>
      <c r="M68" s="857">
        <f t="shared" si="5"/>
        <v>1566</v>
      </c>
    </row>
    <row r="69" spans="2:13" ht="13.5" thickBot="1">
      <c r="B69" s="394" t="s">
        <v>66</v>
      </c>
      <c r="D69" s="104"/>
      <c r="E69" s="857">
        <f>E50*E56</f>
        <v>0</v>
      </c>
      <c r="F69" s="858"/>
      <c r="G69" s="857">
        <f t="shared" si="5"/>
        <v>0</v>
      </c>
      <c r="H69" s="858"/>
      <c r="I69" s="857">
        <f t="shared" si="5"/>
        <v>0</v>
      </c>
      <c r="J69" s="858"/>
      <c r="K69" s="857">
        <f t="shared" si="5"/>
        <v>0</v>
      </c>
      <c r="L69" s="858"/>
      <c r="M69" s="857">
        <f t="shared" si="5"/>
        <v>0</v>
      </c>
    </row>
    <row r="70" spans="2:13" ht="16.5" thickBot="1">
      <c r="B70" s="385" t="s">
        <v>6</v>
      </c>
      <c r="D70" s="95"/>
      <c r="E70" s="862">
        <f>SUM(E66:E69)</f>
        <v>0</v>
      </c>
      <c r="F70" s="317"/>
      <c r="G70" s="862">
        <f>SUM(G66:G69)</f>
        <v>626.4000000000001</v>
      </c>
      <c r="H70" s="317"/>
      <c r="I70" s="862">
        <f>SUM(I66:I69)</f>
        <v>1096.2</v>
      </c>
      <c r="J70" s="317"/>
      <c r="K70" s="862">
        <f>SUM(K66:K69)</f>
        <v>1566</v>
      </c>
      <c r="L70" s="317"/>
      <c r="M70" s="862">
        <f>SUM(M66:M69)</f>
        <v>1566</v>
      </c>
    </row>
    <row r="71" spans="2:13" ht="12.75">
      <c r="B71" s="4"/>
      <c r="C71" s="4"/>
      <c r="D71" s="4"/>
      <c r="E71" s="221"/>
      <c r="F71" s="221"/>
      <c r="G71" s="221"/>
      <c r="H71" s="221"/>
      <c r="I71" s="221"/>
      <c r="J71" s="221"/>
      <c r="K71" s="221"/>
      <c r="L71" s="221"/>
      <c r="M71" s="221"/>
    </row>
    <row r="72" spans="2:13" ht="13.5" thickBot="1">
      <c r="B72" s="4"/>
      <c r="C72" s="4"/>
      <c r="D72" s="4"/>
      <c r="E72" s="221"/>
      <c r="F72" s="221"/>
      <c r="G72" s="221"/>
      <c r="H72" s="221"/>
      <c r="I72" s="221"/>
      <c r="J72" s="221"/>
      <c r="K72" s="221"/>
      <c r="L72" s="221"/>
      <c r="M72" s="221"/>
    </row>
    <row r="73" spans="2:13" ht="13.5" thickBot="1">
      <c r="B73" s="1106" t="s">
        <v>185</v>
      </c>
      <c r="C73" s="1107"/>
      <c r="D73" s="1107"/>
      <c r="E73" s="1107"/>
      <c r="F73" s="1107"/>
      <c r="G73" s="1107"/>
      <c r="H73" s="1107"/>
      <c r="I73" s="1107"/>
      <c r="J73" s="1107"/>
      <c r="K73" s="1107"/>
      <c r="L73" s="1107"/>
      <c r="M73" s="1108"/>
    </row>
    <row r="74" spans="2:13" ht="13.5" thickBot="1">
      <c r="B74" s="313"/>
      <c r="C74" s="4"/>
      <c r="D74" s="4"/>
      <c r="E74" s="221"/>
      <c r="F74" s="221"/>
      <c r="G74" s="221"/>
      <c r="H74" s="221"/>
      <c r="I74" s="221"/>
      <c r="J74" s="221"/>
      <c r="K74" s="221"/>
      <c r="L74" s="221"/>
      <c r="M74" s="221"/>
    </row>
    <row r="75" spans="2:13" ht="13.5" thickBot="1">
      <c r="B75" s="428" t="s">
        <v>202</v>
      </c>
      <c r="C75" s="4"/>
      <c r="D75" s="4"/>
      <c r="E75" s="428">
        <f>$E$8</f>
        <v>17</v>
      </c>
      <c r="F75" s="869"/>
      <c r="G75" s="428">
        <f>$G$8</f>
        <v>18</v>
      </c>
      <c r="H75" s="869"/>
      <c r="I75" s="428">
        <f>$I$8</f>
        <v>19</v>
      </c>
      <c r="J75" s="869"/>
      <c r="K75" s="428">
        <f>$K$8</f>
        <v>20</v>
      </c>
      <c r="L75" s="869"/>
      <c r="M75" s="428">
        <f>$M$8</f>
        <v>21</v>
      </c>
    </row>
    <row r="76" spans="2:13" ht="13.5" thickBot="1">
      <c r="B76" s="634" t="s">
        <v>198</v>
      </c>
      <c r="C76" s="4"/>
      <c r="D76" s="4"/>
      <c r="E76" s="863">
        <f>'Revenues-Per Capita &amp; SPED'!D26</f>
        <v>0</v>
      </c>
      <c r="F76" s="870"/>
      <c r="G76" s="864">
        <f>'Revenues-Per Capita &amp; SPED'!J26</f>
        <v>0</v>
      </c>
      <c r="H76" s="870"/>
      <c r="I76" s="863">
        <f>'Revenues-Per Capita &amp; SPED'!O26</f>
        <v>0</v>
      </c>
      <c r="J76" s="870"/>
      <c r="K76" s="863">
        <f>'Revenues-Per Capita &amp; SPED'!U26</f>
        <v>0</v>
      </c>
      <c r="L76" s="870"/>
      <c r="M76" s="863">
        <f>'Revenues-Per Capita &amp; SPED'!AA26</f>
        <v>0</v>
      </c>
    </row>
    <row r="77" spans="2:13" ht="13.5" thickBot="1">
      <c r="B77" s="635" t="s">
        <v>186</v>
      </c>
      <c r="C77" s="4"/>
      <c r="D77" s="4"/>
      <c r="E77" s="863">
        <f>'Revenues-Per Capita &amp; SPED'!D27</f>
        <v>0</v>
      </c>
      <c r="F77" s="870"/>
      <c r="G77" s="864">
        <f>'Revenues-Per Capita &amp; SPED'!J27</f>
        <v>0</v>
      </c>
      <c r="H77" s="870"/>
      <c r="I77" s="863">
        <f>'Revenues-Per Capita &amp; SPED'!O27</f>
        <v>0</v>
      </c>
      <c r="J77" s="870"/>
      <c r="K77" s="863">
        <f>'Revenues-Per Capita &amp; SPED'!U27</f>
        <v>0</v>
      </c>
      <c r="L77" s="870"/>
      <c r="M77" s="863">
        <f>'Revenues-Per Capita &amp; SPED'!AA27</f>
        <v>0</v>
      </c>
    </row>
    <row r="78" spans="2:13" ht="13.5" thickBot="1">
      <c r="B78" s="635" t="s">
        <v>187</v>
      </c>
      <c r="C78" s="4"/>
      <c r="D78" s="4"/>
      <c r="E78" s="863">
        <f>'Revenues-Per Capita &amp; SPED'!D28</f>
        <v>0</v>
      </c>
      <c r="F78" s="870"/>
      <c r="G78" s="864">
        <f>'Revenues-Per Capita &amp; SPED'!J28</f>
        <v>0</v>
      </c>
      <c r="H78" s="870"/>
      <c r="I78" s="863">
        <f>'Revenues-Per Capita &amp; SPED'!O28</f>
        <v>0</v>
      </c>
      <c r="J78" s="870"/>
      <c r="K78" s="863">
        <f>'Revenues-Per Capita &amp; SPED'!U28</f>
        <v>0</v>
      </c>
      <c r="L78" s="870"/>
      <c r="M78" s="863">
        <f>'Revenues-Per Capita &amp; SPED'!AA28</f>
        <v>0</v>
      </c>
    </row>
    <row r="79" spans="2:13" ht="13.5" thickBot="1">
      <c r="B79" s="635" t="s">
        <v>188</v>
      </c>
      <c r="C79" s="4"/>
      <c r="D79" s="4"/>
      <c r="E79" s="863">
        <f>'Revenues-Per Capita &amp; SPED'!D29</f>
        <v>0</v>
      </c>
      <c r="F79" s="870"/>
      <c r="G79" s="864">
        <f>'Revenues-Per Capita &amp; SPED'!J29</f>
        <v>0</v>
      </c>
      <c r="H79" s="870"/>
      <c r="I79" s="863">
        <f>'Revenues-Per Capita &amp; SPED'!O29</f>
        <v>0</v>
      </c>
      <c r="J79" s="870"/>
      <c r="K79" s="863">
        <f>'Revenues-Per Capita &amp; SPED'!U29</f>
        <v>0</v>
      </c>
      <c r="L79" s="870"/>
      <c r="M79" s="863">
        <f>'Revenues-Per Capita &amp; SPED'!AA29</f>
        <v>0</v>
      </c>
    </row>
    <row r="80" spans="2:13" ht="13.5" thickBot="1">
      <c r="B80" s="635" t="s">
        <v>189</v>
      </c>
      <c r="C80" s="4"/>
      <c r="D80" s="4"/>
      <c r="E80" s="864">
        <f>'Revenues-Per Capita &amp; SPED'!D61</f>
        <v>0</v>
      </c>
      <c r="F80" s="870"/>
      <c r="G80" s="864">
        <f>'Revenues-Per Capita &amp; SPED'!J61</f>
        <v>0</v>
      </c>
      <c r="H80" s="870"/>
      <c r="I80" s="864">
        <f>'Revenues-Per Capita &amp; SPED'!O61</f>
        <v>0</v>
      </c>
      <c r="J80" s="870"/>
      <c r="K80" s="864">
        <f>'Revenues-Per Capita &amp; SPED'!U61</f>
        <v>0</v>
      </c>
      <c r="L80" s="870"/>
      <c r="M80" s="864">
        <f>'Revenues-Per Capita &amp; SPED'!AA61</f>
        <v>0</v>
      </c>
    </row>
    <row r="81" spans="2:13" ht="13.5" thickBot="1">
      <c r="B81" s="635" t="s">
        <v>190</v>
      </c>
      <c r="C81" s="4"/>
      <c r="D81" s="4"/>
      <c r="E81" s="864">
        <f>'Revenues-Per Capita &amp; SPED'!D62</f>
        <v>0</v>
      </c>
      <c r="F81" s="870"/>
      <c r="G81" s="864">
        <f>'Revenues-Per Capita &amp; SPED'!J62</f>
        <v>0</v>
      </c>
      <c r="H81" s="870"/>
      <c r="I81" s="864">
        <f>'Revenues-Per Capita &amp; SPED'!O62</f>
        <v>0</v>
      </c>
      <c r="J81" s="870"/>
      <c r="K81" s="864">
        <f>'Revenues-Per Capita &amp; SPED'!U62</f>
        <v>0</v>
      </c>
      <c r="L81" s="870"/>
      <c r="M81" s="864">
        <f>'Revenues-Per Capita &amp; SPED'!AA62</f>
        <v>0</v>
      </c>
    </row>
    <row r="82" spans="2:13" ht="13.5" thickBot="1">
      <c r="B82" s="635" t="s">
        <v>191</v>
      </c>
      <c r="C82" s="4"/>
      <c r="D82" s="4"/>
      <c r="E82" s="864">
        <f>'Revenues-Per Capita &amp; SPED'!D63+'Revenues-Per Capita &amp; SPED'!E95</f>
        <v>0</v>
      </c>
      <c r="F82" s="870"/>
      <c r="G82" s="864">
        <f>'Revenues-Per Capita &amp; SPED'!J63+'Revenues-Per Capita &amp; SPED'!K95</f>
        <v>0</v>
      </c>
      <c r="H82" s="870"/>
      <c r="I82" s="864">
        <f>'Revenues-Per Capita &amp; SPED'!O63+'Revenues-Per Capita &amp; SPED'!P95</f>
        <v>0</v>
      </c>
      <c r="J82" s="870"/>
      <c r="K82" s="864">
        <f>'Revenues-Per Capita &amp; SPED'!U63+'Revenues-Per Capita &amp; SPED'!V95</f>
        <v>0</v>
      </c>
      <c r="L82" s="870"/>
      <c r="M82" s="864">
        <f>'Revenues-Per Capita &amp; SPED'!AA63+'Revenues-Per Capita &amp; SPED'!AB95</f>
        <v>0</v>
      </c>
    </row>
    <row r="83" spans="2:13" ht="13.5" thickBot="1">
      <c r="B83" s="635" t="s">
        <v>192</v>
      </c>
      <c r="C83" s="4"/>
      <c r="D83" s="4"/>
      <c r="E83" s="864">
        <f>'Revenues-Per Capita &amp; SPED'!D64+'Revenues-Per Capita &amp; SPED'!E96</f>
        <v>0</v>
      </c>
      <c r="F83" s="870"/>
      <c r="G83" s="864">
        <f>'Revenues-Per Capita &amp; SPED'!J64+'Revenues-Per Capita &amp; SPED'!K96</f>
        <v>0</v>
      </c>
      <c r="H83" s="870"/>
      <c r="I83" s="864">
        <f>'Revenues-Per Capita &amp; SPED'!O64+'Revenues-Per Capita &amp; SPED'!P96</f>
        <v>0</v>
      </c>
      <c r="J83" s="870"/>
      <c r="K83" s="864">
        <f>'Revenues-Per Capita &amp; SPED'!U64+'Revenues-Per Capita &amp; SPED'!V96</f>
        <v>0</v>
      </c>
      <c r="L83" s="870"/>
      <c r="M83" s="864">
        <f>'Revenues-Per Capita &amp; SPED'!AA64+'Revenues-Per Capita &amp; SPED'!AB96</f>
        <v>0</v>
      </c>
    </row>
    <row r="84" spans="2:13" ht="13.5" thickBot="1">
      <c r="B84" s="635" t="s">
        <v>193</v>
      </c>
      <c r="C84" s="4"/>
      <c r="D84" s="4"/>
      <c r="E84" s="864">
        <f>'Revenues-Per Capita &amp; SPED'!D65+'Revenues-Per Capita &amp; SPED'!E97</f>
        <v>0</v>
      </c>
      <c r="F84" s="870"/>
      <c r="G84" s="864">
        <f>'Revenues-Per Capita &amp; SPED'!J65+'Revenues-Per Capita &amp; SPED'!K97</f>
        <v>0</v>
      </c>
      <c r="H84" s="870"/>
      <c r="I84" s="864">
        <f>'Revenues-Per Capita &amp; SPED'!O65+'Revenues-Per Capita &amp; SPED'!P97</f>
        <v>0</v>
      </c>
      <c r="J84" s="870"/>
      <c r="K84" s="864">
        <f>'Revenues-Per Capita &amp; SPED'!U65+'Revenues-Per Capita &amp; SPED'!V97</f>
        <v>0</v>
      </c>
      <c r="L84" s="870"/>
      <c r="M84" s="864">
        <f>'Revenues-Per Capita &amp; SPED'!AA65+'Revenues-Per Capita &amp; SPED'!AB97</f>
        <v>0</v>
      </c>
    </row>
    <row r="85" spans="2:13" ht="13.5" thickBot="1">
      <c r="B85" s="428" t="s">
        <v>199</v>
      </c>
      <c r="C85" s="4"/>
      <c r="D85" s="4"/>
      <c r="E85" s="633">
        <f>SUM(E76:E84)</f>
        <v>0</v>
      </c>
      <c r="F85" s="870"/>
      <c r="G85" s="633">
        <f>SUM(G76:G84)</f>
        <v>0</v>
      </c>
      <c r="H85" s="870"/>
      <c r="I85" s="633">
        <f>SUM(I76:I84)</f>
        <v>0</v>
      </c>
      <c r="J85" s="870"/>
      <c r="K85" s="633">
        <f>SUM(K76:K84)</f>
        <v>0</v>
      </c>
      <c r="L85" s="870"/>
      <c r="M85" s="633">
        <f>SUM(M76:M84)</f>
        <v>0</v>
      </c>
    </row>
    <row r="86" spans="2:13" ht="13.5" thickBot="1">
      <c r="B86" s="636" t="s">
        <v>304</v>
      </c>
      <c r="C86" s="4"/>
      <c r="D86" s="4"/>
      <c r="E86" s="633" t="s">
        <v>208</v>
      </c>
      <c r="F86" s="865"/>
      <c r="G86" s="931" t="s">
        <v>200</v>
      </c>
      <c r="H86" s="865"/>
      <c r="I86" s="931" t="s">
        <v>200</v>
      </c>
      <c r="J86" s="865"/>
      <c r="K86" s="931" t="s">
        <v>200</v>
      </c>
      <c r="L86" s="865"/>
      <c r="M86" s="931" t="s">
        <v>200</v>
      </c>
    </row>
    <row r="87" spans="2:13" ht="12.75">
      <c r="B87" s="315"/>
      <c r="C87" s="4"/>
      <c r="D87" s="4"/>
      <c r="E87" s="108"/>
      <c r="F87" s="313"/>
      <c r="G87" s="313"/>
      <c r="H87" s="313"/>
      <c r="I87" s="313"/>
      <c r="J87" s="313"/>
      <c r="K87" s="313"/>
      <c r="L87" s="313"/>
      <c r="M87" s="313"/>
    </row>
    <row r="88" spans="2:13" ht="13.5" thickBot="1">
      <c r="B88" s="314"/>
      <c r="C88" s="4"/>
      <c r="D88" s="4"/>
      <c r="E88" s="313"/>
      <c r="F88" s="313"/>
      <c r="G88" s="313"/>
      <c r="H88" s="313"/>
      <c r="I88" s="313"/>
      <c r="J88" s="313"/>
      <c r="K88" s="313"/>
      <c r="L88" s="313"/>
      <c r="M88" s="313"/>
    </row>
    <row r="89" spans="1:13" ht="13.5" thickBot="1">
      <c r="A89" s="107"/>
      <c r="B89" s="637" t="s">
        <v>203</v>
      </c>
      <c r="C89" s="107"/>
      <c r="D89" s="107"/>
      <c r="E89" s="428">
        <f>$E$8</f>
        <v>17</v>
      </c>
      <c r="F89" s="870"/>
      <c r="G89" s="428">
        <f>$G$8</f>
        <v>18</v>
      </c>
      <c r="H89" s="870"/>
      <c r="I89" s="428">
        <f>$I$8</f>
        <v>19</v>
      </c>
      <c r="J89" s="870"/>
      <c r="K89" s="428">
        <f>$K$8</f>
        <v>20</v>
      </c>
      <c r="L89" s="870"/>
      <c r="M89" s="428">
        <f>$M$8</f>
        <v>21</v>
      </c>
    </row>
    <row r="90" spans="2:13" ht="13.5" thickBot="1">
      <c r="B90" s="635" t="s">
        <v>194</v>
      </c>
      <c r="C90" s="4"/>
      <c r="D90" s="4"/>
      <c r="E90" s="864">
        <f>'Revenues-Per Capita &amp; SPED'!E126</f>
        <v>20</v>
      </c>
      <c r="F90" s="870"/>
      <c r="G90" s="864">
        <f>'Revenues-Per Capita &amp; SPED'!K126</f>
        <v>35</v>
      </c>
      <c r="H90" s="870"/>
      <c r="I90" s="863">
        <f>'Revenues-Per Capita &amp; SPED'!P126</f>
        <v>50</v>
      </c>
      <c r="J90" s="870"/>
      <c r="K90" s="863">
        <f>'Revenues-Per Capita &amp; SPED'!V126</f>
        <v>50</v>
      </c>
      <c r="L90" s="870"/>
      <c r="M90" s="863">
        <f>'Revenues-Per Capita &amp; SPED'!AB126</f>
        <v>50</v>
      </c>
    </row>
    <row r="91" spans="2:13" ht="13.5" thickBot="1">
      <c r="B91" s="635" t="s">
        <v>195</v>
      </c>
      <c r="C91" s="4"/>
      <c r="D91" s="4"/>
      <c r="E91" s="864">
        <f>'Revenues-Per Capita &amp; SPED'!E127</f>
        <v>20</v>
      </c>
      <c r="F91" s="870"/>
      <c r="G91" s="864">
        <f>'Revenues-Per Capita &amp; SPED'!K127</f>
        <v>35</v>
      </c>
      <c r="H91" s="870"/>
      <c r="I91" s="863">
        <f>'Revenues-Per Capita &amp; SPED'!P127</f>
        <v>50</v>
      </c>
      <c r="J91" s="870"/>
      <c r="K91" s="863">
        <f>'Revenues-Per Capita &amp; SPED'!V127</f>
        <v>50</v>
      </c>
      <c r="L91" s="870"/>
      <c r="M91" s="863">
        <f>'Revenues-Per Capita &amp; SPED'!AB127</f>
        <v>50</v>
      </c>
    </row>
    <row r="92" spans="2:13" ht="13.5" thickBot="1">
      <c r="B92" s="635" t="s">
        <v>196</v>
      </c>
      <c r="C92" s="4"/>
      <c r="D92" s="4"/>
      <c r="E92" s="864">
        <f>'Revenues-Per Capita &amp; SPED'!E128</f>
        <v>25</v>
      </c>
      <c r="F92" s="870"/>
      <c r="G92" s="864">
        <f>'Revenues-Per Capita &amp; SPED'!K128</f>
        <v>43.99999999999999</v>
      </c>
      <c r="H92" s="870"/>
      <c r="I92" s="863">
        <f>'Revenues-Per Capita &amp; SPED'!P128</f>
        <v>63</v>
      </c>
      <c r="J92" s="870"/>
      <c r="K92" s="863">
        <f>'Revenues-Per Capita &amp; SPED'!V128</f>
        <v>63</v>
      </c>
      <c r="L92" s="870"/>
      <c r="M92" s="863">
        <f>'Revenues-Per Capita &amp; SPED'!AB128</f>
        <v>63</v>
      </c>
    </row>
    <row r="93" spans="2:13" ht="13.5" thickBot="1">
      <c r="B93" s="635" t="s">
        <v>197</v>
      </c>
      <c r="C93" s="4"/>
      <c r="D93" s="4"/>
      <c r="E93" s="864">
        <f>'Revenues-Per Capita &amp; SPED'!E129</f>
        <v>35</v>
      </c>
      <c r="F93" s="870"/>
      <c r="G93" s="864">
        <f>'Revenues-Per Capita &amp; SPED'!K129</f>
        <v>60.99999999999999</v>
      </c>
      <c r="H93" s="870"/>
      <c r="I93" s="863">
        <f>'Revenues-Per Capita &amp; SPED'!P129</f>
        <v>87</v>
      </c>
      <c r="J93" s="870"/>
      <c r="K93" s="863">
        <f>'Revenues-Per Capita &amp; SPED'!V129</f>
        <v>87</v>
      </c>
      <c r="L93" s="870"/>
      <c r="M93" s="863">
        <f>'Revenues-Per Capita &amp; SPED'!AB129</f>
        <v>87</v>
      </c>
    </row>
    <row r="94" spans="2:13" ht="13.5" thickBot="1">
      <c r="B94" s="633" t="s">
        <v>201</v>
      </c>
      <c r="C94" s="4"/>
      <c r="D94" s="4"/>
      <c r="E94" s="633">
        <f>SUM(E90:E93)</f>
        <v>100</v>
      </c>
      <c r="F94" s="870"/>
      <c r="G94" s="633">
        <f>SUM(G90:G93)</f>
        <v>175</v>
      </c>
      <c r="H94" s="870"/>
      <c r="I94" s="633">
        <f>SUM(I90:I93)</f>
        <v>250</v>
      </c>
      <c r="J94" s="870"/>
      <c r="K94" s="633">
        <f>SUM(K90:K93)</f>
        <v>250</v>
      </c>
      <c r="L94" s="870"/>
      <c r="M94" s="633">
        <f>SUM(M90:M93)</f>
        <v>250</v>
      </c>
    </row>
    <row r="95" spans="2:13" ht="13.5" thickBot="1">
      <c r="B95" s="636" t="s">
        <v>305</v>
      </c>
      <c r="C95" s="4"/>
      <c r="D95" s="4"/>
      <c r="E95" s="633" t="s">
        <v>208</v>
      </c>
      <c r="F95" s="865"/>
      <c r="G95" s="931" t="s">
        <v>200</v>
      </c>
      <c r="H95" s="865"/>
      <c r="I95" s="931" t="s">
        <v>200</v>
      </c>
      <c r="J95" s="865"/>
      <c r="K95" s="931" t="s">
        <v>200</v>
      </c>
      <c r="L95" s="865"/>
      <c r="M95" s="931" t="s">
        <v>200</v>
      </c>
    </row>
    <row r="96" spans="2:13" ht="13.5" thickBot="1">
      <c r="B96" s="638"/>
      <c r="C96" s="4"/>
      <c r="D96" s="4"/>
      <c r="E96" s="313"/>
      <c r="F96" s="313"/>
      <c r="G96" s="313"/>
      <c r="H96" s="313"/>
      <c r="I96" s="313"/>
      <c r="J96" s="313"/>
      <c r="K96" s="313"/>
      <c r="L96" s="313"/>
      <c r="M96" s="313">
        <f>+A53</f>
        <v>0</v>
      </c>
    </row>
    <row r="97" spans="2:13" ht="13.5" thickBot="1">
      <c r="B97" s="428" t="s">
        <v>39</v>
      </c>
      <c r="C97" s="4"/>
      <c r="D97" s="113"/>
      <c r="E97" s="633">
        <f>E85+E94</f>
        <v>100</v>
      </c>
      <c r="F97" s="870"/>
      <c r="G97" s="633">
        <f>G85+G94</f>
        <v>175</v>
      </c>
      <c r="H97" s="870"/>
      <c r="I97" s="633">
        <f>I85+I94</f>
        <v>250</v>
      </c>
      <c r="J97" s="870"/>
      <c r="K97" s="633">
        <f>K85+K94</f>
        <v>250</v>
      </c>
      <c r="L97" s="870"/>
      <c r="M97" s="633">
        <f>M85+M94</f>
        <v>250</v>
      </c>
    </row>
    <row r="98" spans="2:13" ht="12.75">
      <c r="B98" s="312"/>
      <c r="C98" s="4"/>
      <c r="D98" s="4"/>
      <c r="E98" s="313"/>
      <c r="F98" s="313"/>
      <c r="G98" s="313"/>
      <c r="H98" s="313"/>
      <c r="I98" s="313"/>
      <c r="J98" s="313"/>
      <c r="K98" s="313"/>
      <c r="L98" s="313"/>
      <c r="M98" s="313"/>
    </row>
    <row r="99" spans="2:13" ht="12.75">
      <c r="B99" s="312"/>
      <c r="C99" s="4"/>
      <c r="D99" s="4"/>
      <c r="E99" s="313"/>
      <c r="F99" s="313"/>
      <c r="G99" s="313"/>
      <c r="H99" s="313"/>
      <c r="I99" s="313"/>
      <c r="J99" s="313"/>
      <c r="K99" s="313"/>
      <c r="L99" s="313"/>
      <c r="M99" s="313"/>
    </row>
    <row r="100" spans="2:13" ht="12.75">
      <c r="B100" s="312"/>
      <c r="C100" s="4"/>
      <c r="D100" s="4"/>
      <c r="E100" s="313"/>
      <c r="F100" s="313"/>
      <c r="G100" s="313"/>
      <c r="H100" s="313"/>
      <c r="I100" s="313"/>
      <c r="J100" s="313"/>
      <c r="K100" s="313"/>
      <c r="L100" s="313"/>
      <c r="M100" s="313"/>
    </row>
    <row r="101" spans="2:13" ht="12.75">
      <c r="B101" s="4"/>
      <c r="C101" s="4"/>
      <c r="D101" s="4"/>
      <c r="E101" s="866"/>
      <c r="F101" s="867"/>
      <c r="G101" s="867"/>
      <c r="H101" s="867"/>
      <c r="I101" s="867"/>
      <c r="J101" s="867"/>
      <c r="K101" s="867"/>
      <c r="L101" s="867"/>
      <c r="M101" s="867"/>
    </row>
    <row r="102" spans="2:13" ht="12.75">
      <c r="B102" s="4"/>
      <c r="C102" s="4"/>
      <c r="D102" s="4"/>
      <c r="E102" s="867"/>
      <c r="F102" s="867"/>
      <c r="G102" s="867"/>
      <c r="H102" s="867"/>
      <c r="I102" s="867"/>
      <c r="J102" s="867"/>
      <c r="K102" s="867"/>
      <c r="L102" s="867"/>
      <c r="M102" s="867"/>
    </row>
    <row r="103" spans="2:13" ht="12.75">
      <c r="B103" s="4"/>
      <c r="C103" s="4"/>
      <c r="D103" s="4"/>
      <c r="E103" s="313"/>
      <c r="F103" s="313"/>
      <c r="G103" s="313"/>
      <c r="H103" s="313"/>
      <c r="I103" s="313"/>
      <c r="J103" s="313"/>
      <c r="K103" s="313"/>
      <c r="L103" s="313"/>
      <c r="M103" s="313"/>
    </row>
    <row r="104" spans="2:13" ht="12.75">
      <c r="B104" s="4"/>
      <c r="C104" s="4"/>
      <c r="D104" s="4"/>
      <c r="E104" s="313"/>
      <c r="F104" s="313"/>
      <c r="G104" s="313"/>
      <c r="H104" s="313"/>
      <c r="I104" s="313"/>
      <c r="J104" s="313"/>
      <c r="K104" s="313"/>
      <c r="L104" s="313"/>
      <c r="M104" s="313"/>
    </row>
    <row r="105" spans="2:13" ht="12.75">
      <c r="B105" s="4"/>
      <c r="C105" s="4"/>
      <c r="D105" s="4"/>
      <c r="E105" s="313"/>
      <c r="F105" s="313"/>
      <c r="G105" s="313"/>
      <c r="H105" s="313"/>
      <c r="I105" s="313"/>
      <c r="J105" s="313"/>
      <c r="K105" s="313"/>
      <c r="L105" s="313"/>
      <c r="M105" s="313"/>
    </row>
    <row r="106" spans="2:13" ht="12.75">
      <c r="B106" s="4"/>
      <c r="C106" s="4"/>
      <c r="D106" s="4"/>
      <c r="E106" s="313"/>
      <c r="F106" s="313"/>
      <c r="G106" s="313"/>
      <c r="H106" s="313"/>
      <c r="I106" s="313"/>
      <c r="J106" s="313"/>
      <c r="K106" s="313"/>
      <c r="L106" s="313"/>
      <c r="M106" s="313"/>
    </row>
    <row r="107" spans="2:13" ht="12.75">
      <c r="B107" s="4"/>
      <c r="C107" s="4"/>
      <c r="D107" s="4"/>
      <c r="E107" s="313"/>
      <c r="F107" s="313"/>
      <c r="G107" s="313"/>
      <c r="H107" s="313"/>
      <c r="I107" s="313"/>
      <c r="J107" s="313"/>
      <c r="K107" s="313"/>
      <c r="L107" s="313"/>
      <c r="M107" s="313"/>
    </row>
    <row r="108" spans="2:13" ht="12.75">
      <c r="B108" s="4"/>
      <c r="C108" s="4"/>
      <c r="D108" s="4"/>
      <c r="E108" s="221"/>
      <c r="F108" s="221"/>
      <c r="G108" s="221"/>
      <c r="H108" s="221"/>
      <c r="I108" s="221"/>
      <c r="J108" s="221"/>
      <c r="K108" s="221"/>
      <c r="L108" s="221"/>
      <c r="M108" s="221"/>
    </row>
    <row r="109" spans="2:13" ht="12.75">
      <c r="B109" s="4"/>
      <c r="C109" s="4"/>
      <c r="D109" s="4"/>
      <c r="E109" s="221"/>
      <c r="F109" s="221"/>
      <c r="G109" s="221"/>
      <c r="H109" s="221"/>
      <c r="I109" s="221"/>
      <c r="J109" s="221"/>
      <c r="K109" s="221"/>
      <c r="L109" s="221"/>
      <c r="M109" s="221"/>
    </row>
    <row r="110" spans="2:13" ht="12.75">
      <c r="B110" s="4"/>
      <c r="C110" s="4"/>
      <c r="D110" s="4"/>
      <c r="E110" s="221"/>
      <c r="F110" s="221"/>
      <c r="G110" s="221"/>
      <c r="H110" s="221"/>
      <c r="I110" s="221"/>
      <c r="J110" s="221"/>
      <c r="K110" s="221"/>
      <c r="L110" s="221"/>
      <c r="M110" s="221"/>
    </row>
    <row r="111" spans="2:13" ht="12.75">
      <c r="B111" s="4"/>
      <c r="C111" s="4"/>
      <c r="D111" s="4"/>
      <c r="E111" s="221"/>
      <c r="F111" s="221"/>
      <c r="G111" s="221"/>
      <c r="H111" s="221"/>
      <c r="I111" s="221"/>
      <c r="J111" s="221"/>
      <c r="K111" s="221"/>
      <c r="L111" s="221"/>
      <c r="M111" s="221"/>
    </row>
    <row r="112" spans="2:13" ht="12.75">
      <c r="B112" s="4"/>
      <c r="C112" s="4"/>
      <c r="D112" s="4"/>
      <c r="E112" s="221"/>
      <c r="F112" s="221"/>
      <c r="G112" s="221"/>
      <c r="H112" s="221"/>
      <c r="I112" s="221"/>
      <c r="J112" s="221"/>
      <c r="K112" s="221"/>
      <c r="L112" s="221"/>
      <c r="M112" s="221"/>
    </row>
    <row r="113" spans="2:13" ht="12.75">
      <c r="B113" s="4"/>
      <c r="C113" s="4"/>
      <c r="D113" s="4"/>
      <c r="E113" s="221"/>
      <c r="F113" s="221"/>
      <c r="G113" s="221"/>
      <c r="H113" s="221"/>
      <c r="I113" s="221"/>
      <c r="J113" s="221"/>
      <c r="K113" s="221"/>
      <c r="L113" s="221"/>
      <c r="M113" s="221"/>
    </row>
    <row r="114" spans="2:13" ht="12.75">
      <c r="B114" s="4"/>
      <c r="C114" s="4"/>
      <c r="D114" s="4"/>
      <c r="E114" s="221"/>
      <c r="F114" s="221"/>
      <c r="G114" s="221"/>
      <c r="H114" s="221"/>
      <c r="I114" s="221"/>
      <c r="J114" s="221"/>
      <c r="K114" s="221"/>
      <c r="L114" s="221"/>
      <c r="M114" s="221"/>
    </row>
    <row r="115" spans="2:13" ht="12.75">
      <c r="B115" s="4"/>
      <c r="C115" s="4"/>
      <c r="D115" s="4"/>
      <c r="E115" s="221"/>
      <c r="F115" s="221"/>
      <c r="G115" s="221"/>
      <c r="H115" s="221"/>
      <c r="I115" s="221"/>
      <c r="J115" s="221"/>
      <c r="K115" s="221"/>
      <c r="L115" s="221"/>
      <c r="M115" s="221"/>
    </row>
    <row r="116" spans="2:13" ht="12.75">
      <c r="B116" s="4"/>
      <c r="C116" s="4"/>
      <c r="D116" s="4"/>
      <c r="E116" s="221"/>
      <c r="F116" s="221"/>
      <c r="G116" s="221"/>
      <c r="H116" s="221"/>
      <c r="I116" s="221"/>
      <c r="J116" s="221"/>
      <c r="K116" s="221"/>
      <c r="L116" s="221"/>
      <c r="M116" s="221"/>
    </row>
    <row r="117" spans="2:13" ht="12.75">
      <c r="B117" s="4"/>
      <c r="C117" s="4"/>
      <c r="D117" s="4"/>
      <c r="E117" s="221"/>
      <c r="F117" s="221"/>
      <c r="G117" s="221"/>
      <c r="H117" s="221"/>
      <c r="I117" s="221"/>
      <c r="J117" s="221"/>
      <c r="K117" s="221"/>
      <c r="L117" s="221"/>
      <c r="M117" s="221"/>
    </row>
    <row r="118" spans="2:13" ht="12.75">
      <c r="B118" s="4"/>
      <c r="C118" s="4"/>
      <c r="D118" s="4"/>
      <c r="E118" s="221"/>
      <c r="F118" s="221"/>
      <c r="G118" s="221"/>
      <c r="H118" s="221"/>
      <c r="I118" s="221"/>
      <c r="J118" s="221"/>
      <c r="K118" s="221"/>
      <c r="L118" s="221"/>
      <c r="M118" s="221"/>
    </row>
    <row r="119" spans="2:13" ht="12.75">
      <c r="B119" s="4"/>
      <c r="C119" s="4"/>
      <c r="D119" s="4"/>
      <c r="E119" s="221"/>
      <c r="F119" s="221"/>
      <c r="G119" s="221"/>
      <c r="H119" s="221"/>
      <c r="I119" s="221"/>
      <c r="J119" s="221"/>
      <c r="K119" s="221"/>
      <c r="L119" s="221"/>
      <c r="M119" s="221"/>
    </row>
    <row r="120" spans="2:13" ht="12.75">
      <c r="B120" s="4"/>
      <c r="C120" s="4"/>
      <c r="D120" s="4"/>
      <c r="E120" s="221"/>
      <c r="F120" s="221"/>
      <c r="G120" s="221"/>
      <c r="H120" s="221"/>
      <c r="I120" s="221"/>
      <c r="J120" s="221"/>
      <c r="K120" s="221"/>
      <c r="L120" s="221"/>
      <c r="M120" s="221"/>
    </row>
    <row r="121" spans="2:13" ht="12.75">
      <c r="B121" s="4"/>
      <c r="C121" s="4"/>
      <c r="D121" s="4"/>
      <c r="E121" s="221"/>
      <c r="F121" s="221"/>
      <c r="G121" s="221"/>
      <c r="H121" s="221"/>
      <c r="I121" s="221"/>
      <c r="J121" s="221"/>
      <c r="K121" s="221"/>
      <c r="L121" s="221"/>
      <c r="M121" s="221"/>
    </row>
    <row r="122" spans="2:13" ht="12.75">
      <c r="B122" s="4"/>
      <c r="C122" s="4"/>
      <c r="D122" s="4"/>
      <c r="E122" s="221"/>
      <c r="F122" s="221"/>
      <c r="G122" s="221"/>
      <c r="H122" s="221"/>
      <c r="I122" s="221"/>
      <c r="J122" s="221"/>
      <c r="K122" s="221"/>
      <c r="L122" s="221"/>
      <c r="M122" s="221"/>
    </row>
    <row r="123" spans="2:13" ht="12.75">
      <c r="B123" s="4"/>
      <c r="C123" s="4"/>
      <c r="D123" s="4"/>
      <c r="E123" s="221"/>
      <c r="F123" s="221"/>
      <c r="G123" s="221"/>
      <c r="H123" s="221"/>
      <c r="I123" s="221"/>
      <c r="J123" s="221"/>
      <c r="K123" s="221"/>
      <c r="L123" s="221"/>
      <c r="M123" s="221"/>
    </row>
    <row r="124" spans="2:13" ht="12.75">
      <c r="B124" s="4"/>
      <c r="C124" s="4"/>
      <c r="D124" s="4"/>
      <c r="E124" s="221"/>
      <c r="F124" s="221"/>
      <c r="G124" s="221"/>
      <c r="H124" s="221"/>
      <c r="I124" s="221"/>
      <c r="J124" s="221"/>
      <c r="K124" s="221"/>
      <c r="L124" s="221"/>
      <c r="M124" s="221"/>
    </row>
    <row r="125" spans="2:13" ht="12.75">
      <c r="B125" s="4"/>
      <c r="C125" s="4"/>
      <c r="D125" s="4"/>
      <c r="E125" s="221"/>
      <c r="F125" s="221"/>
      <c r="G125" s="221"/>
      <c r="H125" s="221"/>
      <c r="I125" s="221"/>
      <c r="J125" s="221"/>
      <c r="K125" s="221"/>
      <c r="L125" s="221"/>
      <c r="M125" s="221"/>
    </row>
    <row r="126" spans="2:13" ht="12.75">
      <c r="B126" s="4"/>
      <c r="C126" s="4"/>
      <c r="D126" s="4"/>
      <c r="E126" s="221"/>
      <c r="F126" s="221"/>
      <c r="G126" s="221"/>
      <c r="H126" s="221"/>
      <c r="I126" s="221"/>
      <c r="J126" s="221"/>
      <c r="K126" s="221"/>
      <c r="L126" s="221"/>
      <c r="M126" s="221"/>
    </row>
    <row r="127" spans="2:13" ht="12.75">
      <c r="B127" s="4"/>
      <c r="C127" s="4"/>
      <c r="D127" s="4"/>
      <c r="E127" s="221"/>
      <c r="F127" s="221"/>
      <c r="G127" s="221"/>
      <c r="H127" s="221"/>
      <c r="I127" s="221"/>
      <c r="J127" s="221"/>
      <c r="K127" s="221"/>
      <c r="L127" s="221"/>
      <c r="M127" s="221"/>
    </row>
    <row r="128" spans="2:13" ht="12.75">
      <c r="B128" s="4"/>
      <c r="C128" s="4"/>
      <c r="D128" s="4"/>
      <c r="E128" s="221"/>
      <c r="F128" s="221"/>
      <c r="G128" s="221"/>
      <c r="H128" s="221"/>
      <c r="I128" s="221"/>
      <c r="J128" s="221"/>
      <c r="K128" s="221"/>
      <c r="L128" s="221"/>
      <c r="M128" s="221"/>
    </row>
    <row r="129" spans="2:13" ht="12.75">
      <c r="B129" s="4"/>
      <c r="C129" s="4"/>
      <c r="D129" s="4"/>
      <c r="E129" s="221"/>
      <c r="F129" s="221"/>
      <c r="G129" s="221"/>
      <c r="H129" s="221"/>
      <c r="I129" s="221"/>
      <c r="J129" s="221"/>
      <c r="K129" s="221"/>
      <c r="L129" s="221"/>
      <c r="M129" s="221"/>
    </row>
    <row r="130" spans="2:13" ht="12.75">
      <c r="B130" s="4"/>
      <c r="C130" s="4"/>
      <c r="D130" s="4"/>
      <c r="E130" s="221"/>
      <c r="F130" s="221"/>
      <c r="G130" s="221"/>
      <c r="H130" s="221"/>
      <c r="I130" s="221"/>
      <c r="J130" s="221"/>
      <c r="K130" s="221"/>
      <c r="L130" s="221"/>
      <c r="M130" s="221"/>
    </row>
    <row r="131" spans="2:13" ht="12.75">
      <c r="B131" s="4"/>
      <c r="C131" s="4"/>
      <c r="D131" s="4"/>
      <c r="E131" s="221"/>
      <c r="F131" s="221"/>
      <c r="G131" s="221"/>
      <c r="H131" s="221"/>
      <c r="I131" s="221"/>
      <c r="J131" s="221"/>
      <c r="K131" s="221"/>
      <c r="L131" s="221"/>
      <c r="M131" s="221"/>
    </row>
    <row r="132" spans="2:13" ht="12.75">
      <c r="B132" s="4"/>
      <c r="C132" s="4"/>
      <c r="D132" s="4"/>
      <c r="E132" s="221"/>
      <c r="F132" s="221"/>
      <c r="G132" s="221"/>
      <c r="H132" s="221"/>
      <c r="I132" s="221"/>
      <c r="J132" s="221"/>
      <c r="K132" s="221"/>
      <c r="L132" s="221"/>
      <c r="M132" s="221"/>
    </row>
    <row r="133" spans="2:13" ht="12.75">
      <c r="B133" s="4"/>
      <c r="C133" s="4"/>
      <c r="D133" s="4"/>
      <c r="E133" s="221"/>
      <c r="F133" s="221"/>
      <c r="G133" s="221"/>
      <c r="H133" s="221"/>
      <c r="I133" s="221"/>
      <c r="J133" s="221"/>
      <c r="K133" s="221"/>
      <c r="L133" s="221"/>
      <c r="M133" s="221"/>
    </row>
    <row r="134" spans="2:13" ht="12.75">
      <c r="B134" s="4"/>
      <c r="C134" s="4"/>
      <c r="D134" s="4"/>
      <c r="E134" s="221"/>
      <c r="F134" s="221"/>
      <c r="G134" s="221"/>
      <c r="H134" s="221"/>
      <c r="I134" s="221"/>
      <c r="J134" s="221"/>
      <c r="K134" s="221"/>
      <c r="L134" s="221"/>
      <c r="M134" s="221"/>
    </row>
    <row r="135" spans="2:13" ht="12.75">
      <c r="B135" s="4"/>
      <c r="C135" s="4"/>
      <c r="D135" s="4"/>
      <c r="E135" s="221"/>
      <c r="F135" s="221"/>
      <c r="G135" s="221"/>
      <c r="H135" s="221"/>
      <c r="I135" s="221"/>
      <c r="J135" s="221"/>
      <c r="K135" s="221"/>
      <c r="L135" s="221"/>
      <c r="M135" s="221"/>
    </row>
    <row r="136" spans="2:13" ht="12.75">
      <c r="B136" s="4"/>
      <c r="C136" s="4"/>
      <c r="D136" s="4"/>
      <c r="E136" s="221"/>
      <c r="F136" s="221"/>
      <c r="G136" s="221"/>
      <c r="H136" s="221"/>
      <c r="I136" s="221"/>
      <c r="J136" s="221"/>
      <c r="K136" s="221"/>
      <c r="L136" s="221"/>
      <c r="M136" s="221"/>
    </row>
    <row r="137" spans="2:13" ht="12.75">
      <c r="B137" s="4"/>
      <c r="C137" s="4"/>
      <c r="D137" s="4"/>
      <c r="E137" s="221"/>
      <c r="F137" s="221"/>
      <c r="G137" s="221"/>
      <c r="H137" s="221"/>
      <c r="I137" s="221"/>
      <c r="J137" s="221"/>
      <c r="K137" s="221"/>
      <c r="L137" s="221"/>
      <c r="M137" s="221"/>
    </row>
    <row r="138" spans="2:13" ht="12.75">
      <c r="B138" s="4"/>
      <c r="C138" s="4"/>
      <c r="D138" s="4"/>
      <c r="E138" s="221"/>
      <c r="F138" s="221"/>
      <c r="G138" s="221"/>
      <c r="H138" s="221"/>
      <c r="I138" s="221"/>
      <c r="J138" s="221"/>
      <c r="K138" s="221"/>
      <c r="L138" s="221"/>
      <c r="M138" s="221"/>
    </row>
    <row r="139" spans="2:13" ht="12.75">
      <c r="B139" s="4"/>
      <c r="C139" s="4"/>
      <c r="D139" s="4"/>
      <c r="E139" s="221"/>
      <c r="F139" s="221"/>
      <c r="G139" s="221"/>
      <c r="H139" s="221"/>
      <c r="I139" s="221"/>
      <c r="J139" s="221"/>
      <c r="K139" s="221"/>
      <c r="L139" s="221"/>
      <c r="M139" s="221"/>
    </row>
    <row r="140" spans="2:13" ht="12.75">
      <c r="B140" s="4"/>
      <c r="C140" s="4"/>
      <c r="D140" s="4"/>
      <c r="E140" s="221"/>
      <c r="F140" s="221"/>
      <c r="G140" s="221"/>
      <c r="H140" s="221"/>
      <c r="I140" s="221"/>
      <c r="J140" s="221"/>
      <c r="K140" s="221"/>
      <c r="L140" s="221"/>
      <c r="M140" s="221"/>
    </row>
    <row r="141" spans="2:13" ht="12.75">
      <c r="B141" s="4"/>
      <c r="C141" s="4"/>
      <c r="D141" s="4"/>
      <c r="E141" s="221"/>
      <c r="F141" s="221"/>
      <c r="G141" s="221"/>
      <c r="H141" s="221"/>
      <c r="I141" s="221"/>
      <c r="J141" s="221"/>
      <c r="K141" s="221"/>
      <c r="L141" s="221"/>
      <c r="M141" s="221"/>
    </row>
    <row r="142" spans="2:13" ht="12.75">
      <c r="B142" s="4"/>
      <c r="C142" s="4"/>
      <c r="D142" s="4"/>
      <c r="E142" s="221"/>
      <c r="F142" s="221"/>
      <c r="G142" s="221"/>
      <c r="H142" s="221"/>
      <c r="I142" s="221"/>
      <c r="J142" s="221"/>
      <c r="K142" s="221"/>
      <c r="L142" s="221"/>
      <c r="M142" s="221"/>
    </row>
    <row r="143" spans="2:13" ht="12.75">
      <c r="B143" s="4"/>
      <c r="C143" s="4"/>
      <c r="D143" s="4"/>
      <c r="E143" s="221"/>
      <c r="F143" s="221"/>
      <c r="G143" s="221"/>
      <c r="H143" s="221"/>
      <c r="I143" s="221"/>
      <c r="J143" s="221"/>
      <c r="K143" s="221"/>
      <c r="L143" s="221"/>
      <c r="M143" s="221"/>
    </row>
    <row r="144" spans="2:13" ht="12.75">
      <c r="B144" s="4"/>
      <c r="C144" s="4"/>
      <c r="D144" s="4"/>
      <c r="E144" s="221"/>
      <c r="F144" s="221"/>
      <c r="G144" s="221"/>
      <c r="H144" s="221"/>
      <c r="I144" s="221"/>
      <c r="J144" s="221"/>
      <c r="K144" s="221"/>
      <c r="L144" s="221"/>
      <c r="M144" s="221"/>
    </row>
    <row r="145" spans="2:13" ht="12.75">
      <c r="B145" s="4"/>
      <c r="C145" s="4"/>
      <c r="D145" s="4"/>
      <c r="E145" s="221"/>
      <c r="F145" s="221"/>
      <c r="G145" s="221"/>
      <c r="H145" s="221"/>
      <c r="I145" s="221"/>
      <c r="J145" s="221"/>
      <c r="K145" s="221"/>
      <c r="L145" s="221"/>
      <c r="M145" s="221"/>
    </row>
    <row r="146" spans="2:13" ht="12.75">
      <c r="B146" s="4"/>
      <c r="C146" s="4"/>
      <c r="D146" s="4"/>
      <c r="E146" s="221"/>
      <c r="F146" s="221"/>
      <c r="G146" s="221"/>
      <c r="H146" s="221"/>
      <c r="I146" s="221"/>
      <c r="J146" s="221"/>
      <c r="K146" s="221"/>
      <c r="L146" s="221"/>
      <c r="M146" s="221"/>
    </row>
    <row r="147" spans="2:13" ht="12.75">
      <c r="B147" s="4"/>
      <c r="C147" s="4"/>
      <c r="D147" s="4"/>
      <c r="E147" s="221"/>
      <c r="F147" s="221"/>
      <c r="G147" s="221"/>
      <c r="H147" s="221"/>
      <c r="I147" s="221"/>
      <c r="J147" s="221"/>
      <c r="K147" s="221"/>
      <c r="L147" s="221"/>
      <c r="M147" s="221"/>
    </row>
    <row r="148" spans="2:13" ht="12.75">
      <c r="B148" s="4"/>
      <c r="C148" s="4"/>
      <c r="D148" s="4"/>
      <c r="E148" s="221"/>
      <c r="F148" s="221"/>
      <c r="G148" s="221"/>
      <c r="H148" s="221"/>
      <c r="I148" s="221"/>
      <c r="J148" s="221"/>
      <c r="K148" s="221"/>
      <c r="L148" s="221"/>
      <c r="M148" s="221"/>
    </row>
    <row r="149" spans="2:13" ht="12.75">
      <c r="B149" s="4"/>
      <c r="C149" s="4"/>
      <c r="D149" s="4"/>
      <c r="E149" s="221"/>
      <c r="F149" s="221"/>
      <c r="G149" s="221"/>
      <c r="H149" s="221"/>
      <c r="I149" s="221"/>
      <c r="J149" s="221"/>
      <c r="K149" s="221"/>
      <c r="L149" s="221"/>
      <c r="M149" s="221"/>
    </row>
    <row r="150" spans="2:13" ht="12.75">
      <c r="B150" s="4"/>
      <c r="C150" s="4"/>
      <c r="D150" s="4"/>
      <c r="E150" s="221"/>
      <c r="F150" s="221"/>
      <c r="G150" s="221"/>
      <c r="H150" s="221"/>
      <c r="I150" s="221"/>
      <c r="J150" s="221"/>
      <c r="K150" s="221"/>
      <c r="L150" s="221"/>
      <c r="M150" s="221"/>
    </row>
    <row r="151" spans="2:13" ht="12.75">
      <c r="B151" s="4"/>
      <c r="C151" s="4"/>
      <c r="D151" s="4"/>
      <c r="E151" s="221"/>
      <c r="F151" s="221"/>
      <c r="G151" s="221"/>
      <c r="H151" s="221"/>
      <c r="I151" s="221"/>
      <c r="J151" s="221"/>
      <c r="K151" s="221"/>
      <c r="L151" s="221"/>
      <c r="M151" s="221"/>
    </row>
    <row r="152" spans="2:13" ht="12.75">
      <c r="B152" s="4"/>
      <c r="C152" s="4"/>
      <c r="D152" s="4"/>
      <c r="E152" s="221"/>
      <c r="F152" s="221"/>
      <c r="G152" s="221"/>
      <c r="H152" s="221"/>
      <c r="I152" s="221"/>
      <c r="J152" s="221"/>
      <c r="K152" s="221"/>
      <c r="L152" s="221"/>
      <c r="M152" s="221"/>
    </row>
    <row r="153" spans="2:13" ht="12.75">
      <c r="B153" s="4"/>
      <c r="C153" s="4"/>
      <c r="D153" s="4"/>
      <c r="E153" s="221"/>
      <c r="F153" s="221"/>
      <c r="G153" s="221"/>
      <c r="H153" s="221"/>
      <c r="I153" s="221"/>
      <c r="J153" s="221"/>
      <c r="K153" s="221"/>
      <c r="L153" s="221"/>
      <c r="M153" s="221"/>
    </row>
    <row r="154" spans="2:13" ht="12.75">
      <c r="B154" s="4"/>
      <c r="C154" s="4"/>
      <c r="D154" s="4"/>
      <c r="E154" s="221"/>
      <c r="F154" s="221"/>
      <c r="G154" s="221"/>
      <c r="H154" s="221"/>
      <c r="I154" s="221"/>
      <c r="J154" s="221"/>
      <c r="K154" s="221"/>
      <c r="L154" s="221"/>
      <c r="M154" s="221"/>
    </row>
    <row r="155" spans="2:13" ht="12.75">
      <c r="B155" s="4"/>
      <c r="C155" s="4"/>
      <c r="D155" s="4"/>
      <c r="E155" s="221"/>
      <c r="F155" s="221"/>
      <c r="G155" s="221"/>
      <c r="H155" s="221"/>
      <c r="I155" s="221"/>
      <c r="J155" s="221"/>
      <c r="K155" s="221"/>
      <c r="L155" s="221"/>
      <c r="M155" s="221"/>
    </row>
    <row r="156" spans="2:13" ht="12.75">
      <c r="B156" s="4"/>
      <c r="C156" s="4"/>
      <c r="D156" s="4"/>
      <c r="E156" s="221"/>
      <c r="F156" s="221"/>
      <c r="G156" s="221"/>
      <c r="H156" s="221"/>
      <c r="I156" s="221"/>
      <c r="J156" s="221"/>
      <c r="K156" s="221"/>
      <c r="L156" s="221"/>
      <c r="M156" s="221"/>
    </row>
    <row r="157" spans="2:13" ht="12.75">
      <c r="B157" s="4"/>
      <c r="C157" s="4"/>
      <c r="D157" s="4"/>
      <c r="E157" s="221"/>
      <c r="F157" s="221"/>
      <c r="G157" s="221"/>
      <c r="H157" s="221"/>
      <c r="I157" s="221"/>
      <c r="J157" s="221"/>
      <c r="K157" s="221"/>
      <c r="L157" s="221"/>
      <c r="M157" s="221"/>
    </row>
    <row r="158" spans="2:13" ht="12.75">
      <c r="B158" s="4"/>
      <c r="C158" s="4"/>
      <c r="D158" s="4"/>
      <c r="E158" s="221"/>
      <c r="F158" s="221"/>
      <c r="G158" s="221"/>
      <c r="H158" s="221"/>
      <c r="I158" s="221"/>
      <c r="J158" s="221"/>
      <c r="K158" s="221"/>
      <c r="L158" s="221"/>
      <c r="M158" s="221"/>
    </row>
    <row r="159" spans="2:13" ht="12.75">
      <c r="B159" s="4"/>
      <c r="C159" s="4"/>
      <c r="D159" s="4"/>
      <c r="E159" s="221"/>
      <c r="F159" s="221"/>
      <c r="G159" s="221"/>
      <c r="H159" s="221"/>
      <c r="I159" s="221"/>
      <c r="J159" s="221"/>
      <c r="K159" s="221"/>
      <c r="L159" s="221"/>
      <c r="M159" s="221"/>
    </row>
    <row r="160" spans="2:13" ht="12.75">
      <c r="B160" s="4"/>
      <c r="C160" s="4"/>
      <c r="D160" s="4"/>
      <c r="E160" s="221"/>
      <c r="F160" s="221"/>
      <c r="G160" s="221"/>
      <c r="H160" s="221"/>
      <c r="I160" s="221"/>
      <c r="J160" s="221"/>
      <c r="K160" s="221"/>
      <c r="L160" s="221"/>
      <c r="M160" s="221"/>
    </row>
    <row r="161" spans="2:13" ht="12.75">
      <c r="B161" s="4"/>
      <c r="C161" s="4"/>
      <c r="D161" s="4"/>
      <c r="E161" s="221"/>
      <c r="F161" s="221"/>
      <c r="G161" s="221"/>
      <c r="H161" s="221"/>
      <c r="I161" s="221"/>
      <c r="J161" s="221"/>
      <c r="K161" s="221"/>
      <c r="L161" s="221"/>
      <c r="M161" s="221"/>
    </row>
    <row r="162" spans="2:13" ht="12.75">
      <c r="B162" s="4"/>
      <c r="C162" s="4"/>
      <c r="D162" s="4"/>
      <c r="E162" s="221"/>
      <c r="F162" s="221"/>
      <c r="G162" s="221"/>
      <c r="H162" s="221"/>
      <c r="I162" s="221"/>
      <c r="J162" s="221"/>
      <c r="K162" s="221"/>
      <c r="L162" s="221"/>
      <c r="M162" s="221"/>
    </row>
    <row r="163" spans="2:13" ht="12.75">
      <c r="B163" s="4"/>
      <c r="C163" s="4"/>
      <c r="D163" s="4"/>
      <c r="E163" s="221"/>
      <c r="F163" s="221"/>
      <c r="G163" s="221"/>
      <c r="H163" s="221"/>
      <c r="I163" s="221"/>
      <c r="J163" s="221"/>
      <c r="K163" s="221"/>
      <c r="L163" s="221"/>
      <c r="M163" s="221"/>
    </row>
    <row r="164" spans="2:13" ht="12.75">
      <c r="B164" s="4"/>
      <c r="C164" s="4"/>
      <c r="D164" s="4"/>
      <c r="E164" s="221"/>
      <c r="F164" s="221"/>
      <c r="G164" s="221"/>
      <c r="H164" s="221"/>
      <c r="I164" s="221"/>
      <c r="J164" s="221"/>
      <c r="K164" s="221"/>
      <c r="L164" s="221"/>
      <c r="M164" s="221"/>
    </row>
    <row r="165" spans="2:13" ht="12.75">
      <c r="B165" s="4"/>
      <c r="C165" s="4"/>
      <c r="D165" s="4"/>
      <c r="E165" s="221"/>
      <c r="F165" s="221"/>
      <c r="G165" s="221"/>
      <c r="H165" s="221"/>
      <c r="I165" s="221"/>
      <c r="J165" s="221"/>
      <c r="K165" s="221"/>
      <c r="L165" s="221"/>
      <c r="M165" s="221"/>
    </row>
    <row r="166" spans="2:13" ht="12.75">
      <c r="B166" s="4"/>
      <c r="C166" s="4"/>
      <c r="D166" s="4"/>
      <c r="E166" s="221"/>
      <c r="F166" s="221"/>
      <c r="G166" s="221"/>
      <c r="H166" s="221"/>
      <c r="I166" s="221"/>
      <c r="J166" s="221"/>
      <c r="K166" s="221"/>
      <c r="L166" s="221"/>
      <c r="M166" s="221"/>
    </row>
    <row r="201" spans="17:18" ht="12.75">
      <c r="Q201" t="s">
        <v>323</v>
      </c>
      <c r="R201" s="468">
        <v>0.84</v>
      </c>
    </row>
    <row r="202" spans="17:18" ht="12.75">
      <c r="Q202" t="s">
        <v>324</v>
      </c>
      <c r="R202" s="468">
        <v>0.94</v>
      </c>
    </row>
    <row r="203" spans="17:18" ht="12.75">
      <c r="Q203" t="s">
        <v>325</v>
      </c>
      <c r="R203" s="468">
        <v>0.89</v>
      </c>
    </row>
    <row r="204" spans="17:18" ht="12.75">
      <c r="Q204" t="s">
        <v>326</v>
      </c>
      <c r="R204" s="468">
        <v>0.93</v>
      </c>
    </row>
    <row r="205" spans="17:18" ht="12.75">
      <c r="Q205" t="s">
        <v>327</v>
      </c>
      <c r="R205" s="468">
        <v>0.88</v>
      </c>
    </row>
    <row r="206" spans="17:18" ht="12.75">
      <c r="Q206" t="s">
        <v>328</v>
      </c>
      <c r="R206" s="468">
        <v>0.92</v>
      </c>
    </row>
    <row r="207" spans="17:18" ht="12.75">
      <c r="Q207" t="s">
        <v>329</v>
      </c>
      <c r="R207" s="468">
        <v>0.93</v>
      </c>
    </row>
    <row r="208" spans="17:18" ht="12.75">
      <c r="Q208" t="s">
        <v>330</v>
      </c>
      <c r="R208" s="468">
        <v>0.91</v>
      </c>
    </row>
    <row r="209" spans="17:18" ht="12.75">
      <c r="Q209" t="s">
        <v>331</v>
      </c>
      <c r="R209" s="468">
        <v>0.72</v>
      </c>
    </row>
    <row r="210" spans="17:18" ht="12.75">
      <c r="Q210" t="s">
        <v>332</v>
      </c>
      <c r="R210" s="468">
        <v>0.86</v>
      </c>
    </row>
    <row r="211" spans="17:18" ht="12.75">
      <c r="Q211" t="s">
        <v>333</v>
      </c>
      <c r="R211" s="468">
        <v>0.54</v>
      </c>
    </row>
    <row r="212" spans="17:18" ht="12.75">
      <c r="Q212" t="s">
        <v>334</v>
      </c>
      <c r="R212" s="468">
        <v>0.44</v>
      </c>
    </row>
    <row r="213" spans="17:18" ht="12.75">
      <c r="Q213" t="s">
        <v>335</v>
      </c>
      <c r="R213" s="468">
        <v>0.78</v>
      </c>
    </row>
    <row r="214" spans="17:18" ht="12.75">
      <c r="Q214" t="s">
        <v>336</v>
      </c>
      <c r="R214" s="468">
        <v>0.72</v>
      </c>
    </row>
    <row r="215" spans="17:18" ht="12.75">
      <c r="Q215" t="s">
        <v>337</v>
      </c>
      <c r="R215" s="468">
        <v>0.93</v>
      </c>
    </row>
    <row r="216" spans="17:18" ht="12.75">
      <c r="Q216" t="s">
        <v>338</v>
      </c>
      <c r="R216" s="468">
        <v>0.94</v>
      </c>
    </row>
    <row r="217" spans="17:18" ht="12.75">
      <c r="Q217" t="s">
        <v>339</v>
      </c>
      <c r="R217" s="468">
        <v>0.66</v>
      </c>
    </row>
    <row r="218" spans="17:18" ht="12.75">
      <c r="Q218" t="s">
        <v>340</v>
      </c>
      <c r="R218" s="468">
        <v>0.44</v>
      </c>
    </row>
    <row r="219" spans="17:18" ht="12.75">
      <c r="Q219" s="469" t="s">
        <v>341</v>
      </c>
      <c r="R219" s="468">
        <v>0.83</v>
      </c>
    </row>
    <row r="305" ht="13.5" thickBot="1">
      <c r="B305" s="400" t="s">
        <v>200</v>
      </c>
    </row>
    <row r="306" ht="13.5" thickBot="1">
      <c r="B306" s="400" t="s">
        <v>204</v>
      </c>
    </row>
  </sheetData>
  <sheetProtection password="CC59" sheet="1" formatColumns="0" formatRows="0"/>
  <mergeCells count="4">
    <mergeCell ref="E7:M7"/>
    <mergeCell ref="B73:M73"/>
    <mergeCell ref="B3:B4"/>
    <mergeCell ref="E3:E4"/>
  </mergeCells>
  <conditionalFormatting sqref="C47:C51">
    <cfRule type="expression" priority="2" dxfId="0" stopIfTrue="1">
      <formula>AND(OR($C$5="New Operator",$C$5="Existing Operator"),$C47&gt;0)</formula>
    </cfRule>
  </conditionalFormatting>
  <dataValidations count="2">
    <dataValidation type="list" allowBlank="1" showInputMessage="1" showErrorMessage="1" sqref="M95 G86 I86 K86 M86 K95 G95 I95">
      <formula1>$B$305:$B$306</formula1>
    </dataValidation>
    <dataValidation type="list" allowBlank="1" showInputMessage="1" showErrorMessage="1" sqref="E3">
      <formula1>$Q$201:$Q$219</formula1>
    </dataValidation>
  </dataValidations>
  <printOptions/>
  <pageMargins left="0.7" right="0.7" top="0.75" bottom="0.75" header="0.3" footer="0.3"/>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dimension ref="A1:AK231"/>
  <sheetViews>
    <sheetView zoomScale="85" zoomScaleNormal="85" zoomScalePageLayoutView="0" workbookViewId="0" topLeftCell="A36">
      <selection activeCell="A38" sqref="A38"/>
    </sheetView>
  </sheetViews>
  <sheetFormatPr defaultColWidth="9.140625" defaultRowHeight="12.75" outlineLevelRow="1"/>
  <cols>
    <col min="1" max="1" width="76.00390625" style="0" customWidth="1"/>
    <col min="2" max="2" width="4.8515625" style="0" customWidth="1"/>
    <col min="3" max="6" width="17.140625" style="222"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338" customWidth="1"/>
    <col min="18" max="18" width="18.7109375" style="0" customWidth="1"/>
    <col min="19" max="19" width="3.421875" style="338" customWidth="1"/>
    <col min="20" max="20" width="18.7109375" style="0" customWidth="1"/>
    <col min="21" max="37" width="9.140625" style="4" customWidth="1"/>
  </cols>
  <sheetData>
    <row r="1" spans="1:19" ht="15.75" thickBot="1">
      <c r="A1" s="694" t="s">
        <v>364</v>
      </c>
      <c r="B1" s="12"/>
      <c r="C1" s="294"/>
      <c r="D1" s="294"/>
      <c r="E1" s="294"/>
      <c r="F1" s="294"/>
      <c r="G1" s="12"/>
      <c r="H1" s="12"/>
      <c r="I1" s="12"/>
      <c r="J1" s="13"/>
      <c r="K1" s="13"/>
      <c r="L1" s="13"/>
      <c r="M1" s="13"/>
      <c r="N1" s="13"/>
      <c r="O1" s="13"/>
      <c r="P1" s="13"/>
      <c r="Q1" s="324"/>
      <c r="R1" s="14"/>
      <c r="S1" s="342"/>
    </row>
    <row r="2" spans="1:19" ht="22.5" customHeight="1" thickBot="1">
      <c r="A2" s="779" t="s">
        <v>616</v>
      </c>
      <c r="B2" s="15"/>
      <c r="C2" s="295"/>
      <c r="D2" s="295"/>
      <c r="E2" s="295"/>
      <c r="F2" s="295"/>
      <c r="G2" s="15"/>
      <c r="H2" s="15"/>
      <c r="I2" s="15"/>
      <c r="J2" s="16"/>
      <c r="K2" s="16"/>
      <c r="L2" s="16"/>
      <c r="M2" s="16"/>
      <c r="N2" s="16"/>
      <c r="O2" s="16"/>
      <c r="P2" s="16"/>
      <c r="Q2" s="325"/>
      <c r="R2" s="14"/>
      <c r="S2" s="342"/>
    </row>
    <row r="3" spans="1:19" ht="15">
      <c r="A3" s="15"/>
      <c r="B3" s="15"/>
      <c r="C3" s="295"/>
      <c r="D3" s="295"/>
      <c r="E3" s="295"/>
      <c r="F3" s="295"/>
      <c r="G3" s="15"/>
      <c r="H3" s="15"/>
      <c r="I3" s="15"/>
      <c r="J3" s="17"/>
      <c r="K3" s="17"/>
      <c r="L3" s="17"/>
      <c r="M3" s="17"/>
      <c r="N3" s="17"/>
      <c r="O3" s="17"/>
      <c r="P3" s="17"/>
      <c r="Q3" s="326"/>
      <c r="R3" s="18"/>
      <c r="S3" s="343"/>
    </row>
    <row r="4" spans="1:19" ht="15.75">
      <c r="A4" s="327"/>
      <c r="B4" s="20"/>
      <c r="C4" s="20"/>
      <c r="D4" s="20"/>
      <c r="E4" s="20"/>
      <c r="F4" s="20"/>
      <c r="G4" s="20"/>
      <c r="H4" s="20"/>
      <c r="I4" s="20"/>
      <c r="J4" s="20"/>
      <c r="K4" s="20"/>
      <c r="L4" s="20"/>
      <c r="M4" s="20"/>
      <c r="N4" s="20"/>
      <c r="O4" s="19"/>
      <c r="P4" s="19"/>
      <c r="Q4" s="327"/>
      <c r="R4" s="19"/>
      <c r="S4" s="342"/>
    </row>
    <row r="5" spans="1:19" ht="23.25">
      <c r="A5" s="936"/>
      <c r="B5" s="9"/>
      <c r="C5" s="296"/>
      <c r="D5" s="296"/>
      <c r="E5" s="296"/>
      <c r="F5" s="296"/>
      <c r="G5" s="9"/>
      <c r="H5" s="9"/>
      <c r="I5" s="9"/>
      <c r="J5" s="10"/>
      <c r="K5" s="10"/>
      <c r="L5" s="10"/>
      <c r="M5" s="10"/>
      <c r="N5" s="10"/>
      <c r="O5" s="10"/>
      <c r="P5" s="1005"/>
      <c r="Q5" s="328"/>
      <c r="R5" s="21"/>
      <c r="S5" s="329"/>
    </row>
    <row r="6" spans="1:20" ht="16.5" customHeight="1" thickBot="1">
      <c r="A6" s="21"/>
      <c r="B6" s="21"/>
      <c r="C6" s="297"/>
      <c r="D6" s="297"/>
      <c r="E6" s="297"/>
      <c r="F6" s="297"/>
      <c r="G6" s="21"/>
      <c r="H6" s="21"/>
      <c r="I6" s="21"/>
      <c r="R6" s="708"/>
      <c r="T6" s="708"/>
    </row>
    <row r="7" spans="1:10" ht="30" customHeight="1" thickBot="1">
      <c r="A7" s="72"/>
      <c r="B7" s="70"/>
      <c r="C7" s="1124" t="s">
        <v>207</v>
      </c>
      <c r="D7" s="1113" t="s">
        <v>209</v>
      </c>
      <c r="E7" s="1116" t="s">
        <v>225</v>
      </c>
      <c r="F7" s="1116" t="s">
        <v>224</v>
      </c>
      <c r="G7" s="70"/>
      <c r="H7" s="1127" t="s">
        <v>212</v>
      </c>
      <c r="I7" s="70"/>
      <c r="J7" s="1122" t="s">
        <v>585</v>
      </c>
    </row>
    <row r="8" spans="1:22" ht="31.5" customHeight="1" thickBot="1">
      <c r="A8" s="2"/>
      <c r="B8" s="70"/>
      <c r="C8" s="1125"/>
      <c r="D8" s="1114"/>
      <c r="E8" s="1117"/>
      <c r="F8" s="1117"/>
      <c r="G8" s="70"/>
      <c r="H8" s="1128"/>
      <c r="I8" s="70"/>
      <c r="J8" s="1123"/>
      <c r="K8" s="21"/>
      <c r="L8" s="1119" t="s">
        <v>521</v>
      </c>
      <c r="M8" s="1120"/>
      <c r="N8" s="1120"/>
      <c r="O8" s="1120"/>
      <c r="P8" s="1120"/>
      <c r="Q8" s="1120"/>
      <c r="R8" s="1120"/>
      <c r="S8" s="1120"/>
      <c r="T8" s="1121"/>
      <c r="V8" s="113"/>
    </row>
    <row r="9" spans="1:20" ht="23.25" thickBot="1">
      <c r="A9" s="291" t="s">
        <v>177</v>
      </c>
      <c r="B9" s="2"/>
      <c r="C9" s="1126"/>
      <c r="D9" s="1115"/>
      <c r="E9" s="1118"/>
      <c r="F9" s="1118"/>
      <c r="G9" s="2"/>
      <c r="H9" s="1129"/>
      <c r="I9" s="2"/>
      <c r="J9" s="790">
        <v>16</v>
      </c>
      <c r="K9" s="70"/>
      <c r="L9" s="365">
        <f>J9+1</f>
        <v>17</v>
      </c>
      <c r="M9" s="330"/>
      <c r="N9" s="365">
        <f>L9+1</f>
        <v>18</v>
      </c>
      <c r="O9" s="330"/>
      <c r="P9" s="365">
        <f>N9+1</f>
        <v>19</v>
      </c>
      <c r="Q9" s="330"/>
      <c r="R9" s="365">
        <f>P9+1</f>
        <v>20</v>
      </c>
      <c r="S9" s="344"/>
      <c r="T9" s="365">
        <f>R9+1</f>
        <v>21</v>
      </c>
    </row>
    <row r="10" spans="1:20" ht="18.75" thickBot="1">
      <c r="A10" s="452" t="s">
        <v>577</v>
      </c>
      <c r="B10" s="24"/>
      <c r="C10" s="490" t="s">
        <v>208</v>
      </c>
      <c r="D10" s="490" t="s">
        <v>208</v>
      </c>
      <c r="E10" s="490" t="s">
        <v>208</v>
      </c>
      <c r="F10" s="490" t="s">
        <v>208</v>
      </c>
      <c r="G10" s="24"/>
      <c r="H10" s="349"/>
      <c r="I10" s="24"/>
      <c r="J10" s="366">
        <v>0</v>
      </c>
      <c r="K10" s="71"/>
      <c r="L10" s="366">
        <f>'Revenues-Per Capita &amp; SPED'!B50</f>
        <v>0</v>
      </c>
      <c r="N10" s="366">
        <f>'Revenues-Per Capita &amp; SPED'!H50</f>
        <v>0</v>
      </c>
      <c r="P10" s="366">
        <f>'Revenues-Per Capita &amp; SPED'!M50</f>
        <v>0</v>
      </c>
      <c r="R10" s="366">
        <f>'Revenues-Per Capita &amp; SPED'!S50</f>
        <v>0</v>
      </c>
      <c r="T10" s="366">
        <f>'Revenues-Per Capita &amp; SPED'!Y50</f>
        <v>0</v>
      </c>
    </row>
    <row r="11" spans="1:20" ht="16.5" thickBot="1">
      <c r="A11" s="453" t="s">
        <v>578</v>
      </c>
      <c r="B11" s="24"/>
      <c r="C11" s="490" t="s">
        <v>208</v>
      </c>
      <c r="D11" s="490" t="s">
        <v>208</v>
      </c>
      <c r="E11" s="490" t="s">
        <v>208</v>
      </c>
      <c r="F11" s="490" t="s">
        <v>208</v>
      </c>
      <c r="G11" s="24"/>
      <c r="H11" s="349"/>
      <c r="I11" s="24"/>
      <c r="J11" s="366">
        <v>0</v>
      </c>
      <c r="K11" s="25"/>
      <c r="L11" s="366">
        <f>'Revenues-Per Capita &amp; SPED'!B86</f>
        <v>0</v>
      </c>
      <c r="M11" s="26"/>
      <c r="N11" s="366">
        <f>'Revenues-Per Capita &amp; SPED'!H86</f>
        <v>0</v>
      </c>
      <c r="O11" s="26"/>
      <c r="P11" s="366">
        <f>'Revenues-Per Capita &amp; SPED'!M86</f>
        <v>0</v>
      </c>
      <c r="Q11" s="331"/>
      <c r="R11" s="366">
        <f>'Revenues-Per Capita &amp; SPED'!S86</f>
        <v>0</v>
      </c>
      <c r="S11" s="345"/>
      <c r="T11" s="366">
        <f>'Revenues-Per Capita &amp; SPED'!Y86</f>
        <v>0</v>
      </c>
    </row>
    <row r="12" spans="1:20" ht="32.25" thickBot="1">
      <c r="A12" s="454" t="s">
        <v>579</v>
      </c>
      <c r="B12" s="24"/>
      <c r="C12" s="490" t="s">
        <v>208</v>
      </c>
      <c r="D12" s="490" t="s">
        <v>208</v>
      </c>
      <c r="E12" s="490" t="s">
        <v>208</v>
      </c>
      <c r="F12" s="490" t="s">
        <v>208</v>
      </c>
      <c r="G12" s="24"/>
      <c r="H12" s="349"/>
      <c r="I12" s="24"/>
      <c r="J12" s="366">
        <v>0</v>
      </c>
      <c r="K12" s="25"/>
      <c r="L12" s="366">
        <f>'Revenues-Per Capita &amp; SPED'!B118</f>
        <v>0</v>
      </c>
      <c r="M12" s="26"/>
      <c r="N12" s="366">
        <f>'Revenues-Per Capita &amp; SPED'!H118</f>
        <v>0</v>
      </c>
      <c r="O12" s="26"/>
      <c r="P12" s="366">
        <f>'Revenues-Per Capita &amp; SPED'!M118</f>
        <v>0</v>
      </c>
      <c r="Q12" s="331"/>
      <c r="R12" s="366">
        <f>'Revenues-Per Capita &amp; SPED'!S118</f>
        <v>0</v>
      </c>
      <c r="S12" s="345"/>
      <c r="T12" s="366">
        <f>'Revenues-Per Capita &amp; SPED'!Y118</f>
        <v>0</v>
      </c>
    </row>
    <row r="13" spans="1:20" ht="16.5" thickBot="1">
      <c r="A13" s="453" t="s">
        <v>580</v>
      </c>
      <c r="B13" s="24"/>
      <c r="C13" s="490" t="s">
        <v>208</v>
      </c>
      <c r="D13" s="490" t="s">
        <v>208</v>
      </c>
      <c r="E13" s="490" t="s">
        <v>208</v>
      </c>
      <c r="F13" s="490" t="s">
        <v>208</v>
      </c>
      <c r="G13" s="24"/>
      <c r="H13" s="349"/>
      <c r="I13" s="24"/>
      <c r="J13" s="366">
        <v>0</v>
      </c>
      <c r="K13" s="25"/>
      <c r="L13" s="366">
        <f>'Revenues-Per Capita &amp; SPED'!B150</f>
        <v>855637.506</v>
      </c>
      <c r="M13" s="26"/>
      <c r="N13" s="366">
        <f>'Revenues-Per Capita &amp; SPED'!H150</f>
        <v>1497365.6354999999</v>
      </c>
      <c r="O13" s="26"/>
      <c r="P13" s="366">
        <f>'Revenues-Per Capita &amp; SPED'!M150</f>
        <v>2139093.7649999997</v>
      </c>
      <c r="Q13" s="331"/>
      <c r="R13" s="366">
        <f>'Revenues-Per Capita &amp; SPED'!S150</f>
        <v>2139093.7649999997</v>
      </c>
      <c r="S13" s="345"/>
      <c r="T13" s="366">
        <f>'Revenues-Per Capita &amp; SPED'!Y150</f>
        <v>2139093.7649999997</v>
      </c>
    </row>
    <row r="14" spans="1:20" ht="16.5" thickBot="1">
      <c r="A14" s="453" t="s">
        <v>31</v>
      </c>
      <c r="B14" s="24"/>
      <c r="C14" s="490" t="s">
        <v>208</v>
      </c>
      <c r="D14" s="490" t="s">
        <v>208</v>
      </c>
      <c r="E14" s="490" t="s">
        <v>208</v>
      </c>
      <c r="F14" s="490" t="s">
        <v>208</v>
      </c>
      <c r="G14" s="24"/>
      <c r="H14" s="349"/>
      <c r="I14" s="24"/>
      <c r="J14" s="366">
        <v>0</v>
      </c>
      <c r="K14" s="25"/>
      <c r="L14" s="366">
        <f>125000*0.95</f>
        <v>118750</v>
      </c>
      <c r="M14" s="26"/>
      <c r="N14" s="366">
        <v>0</v>
      </c>
      <c r="O14" s="26"/>
      <c r="P14" s="366">
        <v>0</v>
      </c>
      <c r="Q14" s="331"/>
      <c r="R14" s="366">
        <v>0</v>
      </c>
      <c r="S14" s="345"/>
      <c r="T14" s="366">
        <v>0</v>
      </c>
    </row>
    <row r="15" spans="1:20" ht="16.5" thickBot="1">
      <c r="A15" s="453" t="s">
        <v>32</v>
      </c>
      <c r="B15" s="24"/>
      <c r="C15" s="490" t="s">
        <v>208</v>
      </c>
      <c r="D15" s="490" t="s">
        <v>208</v>
      </c>
      <c r="E15" s="490" t="s">
        <v>208</v>
      </c>
      <c r="F15" s="490" t="s">
        <v>208</v>
      </c>
      <c r="G15" s="24"/>
      <c r="H15" s="349"/>
      <c r="I15" s="24"/>
      <c r="J15" s="366">
        <v>0</v>
      </c>
      <c r="K15" s="25"/>
      <c r="L15" s="366">
        <f>'Revenues-Fed, State, &amp; Expan. '!E43</f>
        <v>95000</v>
      </c>
      <c r="M15" s="26"/>
      <c r="N15" s="366">
        <f>'Revenues-Fed, State, &amp; Expan. '!G43</f>
        <v>71250</v>
      </c>
      <c r="O15" s="26"/>
      <c r="P15" s="366">
        <f>'Revenues-Fed, State, &amp; Expan. '!I43</f>
        <v>71250</v>
      </c>
      <c r="Q15" s="331"/>
      <c r="R15" s="366">
        <f>'Revenues-Fed, State, &amp; Expan. '!K43</f>
        <v>0</v>
      </c>
      <c r="S15" s="345"/>
      <c r="T15" s="366">
        <f>'Revenues-Fed, State, &amp; Expan. '!M43</f>
        <v>0</v>
      </c>
    </row>
    <row r="16" spans="1:20" ht="16.5" thickBot="1">
      <c r="A16" s="453" t="s">
        <v>206</v>
      </c>
      <c r="B16" s="24"/>
      <c r="C16" s="490" t="s">
        <v>208</v>
      </c>
      <c r="D16" s="490" t="s">
        <v>208</v>
      </c>
      <c r="E16" s="490" t="s">
        <v>208</v>
      </c>
      <c r="F16" s="490" t="s">
        <v>208</v>
      </c>
      <c r="G16" s="24"/>
      <c r="H16" s="349"/>
      <c r="I16" s="24"/>
      <c r="J16" s="366">
        <v>0</v>
      </c>
      <c r="K16" s="25"/>
      <c r="L16" s="366">
        <f>'Revenues-Per Capita &amp; SPED'!B170</f>
        <v>75000</v>
      </c>
      <c r="M16" s="26"/>
      <c r="N16" s="366">
        <f>'Revenues-Per Capita &amp; SPED'!H170</f>
        <v>131250</v>
      </c>
      <c r="O16" s="26"/>
      <c r="P16" s="366">
        <f>'Revenues-Per Capita &amp; SPED'!M170</f>
        <v>187500</v>
      </c>
      <c r="Q16" s="331"/>
      <c r="R16" s="366">
        <f>'Revenues-Per Capita &amp; SPED'!S170</f>
        <v>187500</v>
      </c>
      <c r="S16" s="345"/>
      <c r="T16" s="366">
        <f>'Revenues-Per Capita &amp; SPED'!Y170</f>
        <v>187500</v>
      </c>
    </row>
    <row r="17" spans="1:20" ht="16.5" thickBot="1">
      <c r="A17" s="453" t="s">
        <v>10</v>
      </c>
      <c r="B17" s="24"/>
      <c r="C17" s="490" t="s">
        <v>208</v>
      </c>
      <c r="D17" s="490" t="s">
        <v>208</v>
      </c>
      <c r="E17" s="490" t="s">
        <v>208</v>
      </c>
      <c r="F17" s="490" t="s">
        <v>208</v>
      </c>
      <c r="G17" s="24"/>
      <c r="H17" s="349"/>
      <c r="I17" s="24"/>
      <c r="J17" s="366">
        <v>0</v>
      </c>
      <c r="K17" s="25"/>
      <c r="L17" s="366">
        <f>'Revenues-Fed, State, &amp; Expan. '!E13</f>
        <v>72982</v>
      </c>
      <c r="M17" s="26"/>
      <c r="N17" s="366">
        <f>'Revenues-Fed, State, &amp; Expan. '!G13</f>
        <v>127518</v>
      </c>
      <c r="O17" s="26"/>
      <c r="P17" s="366">
        <f>'Revenues-Fed, State, &amp; Expan. '!I13</f>
        <v>182856</v>
      </c>
      <c r="Q17" s="331"/>
      <c r="R17" s="366">
        <f>'Revenues-Fed, State, &amp; Expan. '!K13</f>
        <v>182856</v>
      </c>
      <c r="S17" s="345"/>
      <c r="T17" s="366">
        <f>'Revenues-Fed, State, &amp; Expan. '!M13</f>
        <v>182856</v>
      </c>
    </row>
    <row r="18" spans="1:20" ht="16.5" thickBot="1">
      <c r="A18" s="453" t="s">
        <v>88</v>
      </c>
      <c r="B18" s="24"/>
      <c r="C18" s="490" t="s">
        <v>208</v>
      </c>
      <c r="D18" s="490" t="s">
        <v>208</v>
      </c>
      <c r="E18" s="490" t="s">
        <v>208</v>
      </c>
      <c r="F18" s="490" t="s">
        <v>208</v>
      </c>
      <c r="G18" s="24"/>
      <c r="H18" s="349"/>
      <c r="I18" s="24"/>
      <c r="J18" s="366">
        <v>0</v>
      </c>
      <c r="K18" s="25"/>
      <c r="L18" s="366">
        <f>'Revenues-Fed, State, &amp; Expan. '!E24</f>
        <v>42625</v>
      </c>
      <c r="M18" s="26"/>
      <c r="N18" s="366">
        <f>'Revenues-Fed, State, &amp; Expan. '!G24</f>
        <v>74400</v>
      </c>
      <c r="O18" s="26"/>
      <c r="P18" s="366">
        <f>'Revenues-Fed, State, &amp; Expan. '!I24</f>
        <v>106175</v>
      </c>
      <c r="Q18" s="331"/>
      <c r="R18" s="366">
        <f>'Revenues-Fed, State, &amp; Expan. '!K24</f>
        <v>106175</v>
      </c>
      <c r="S18" s="345"/>
      <c r="T18" s="366">
        <f>'Revenues-Fed, State, &amp; Expan. '!M24</f>
        <v>106175</v>
      </c>
    </row>
    <row r="19" spans="1:37" ht="16.5" thickBot="1">
      <c r="A19" s="453" t="s">
        <v>601</v>
      </c>
      <c r="B19" s="24"/>
      <c r="C19" s="490" t="s">
        <v>208</v>
      </c>
      <c r="D19" s="490" t="s">
        <v>208</v>
      </c>
      <c r="E19" s="490" t="s">
        <v>208</v>
      </c>
      <c r="F19" s="490" t="s">
        <v>208</v>
      </c>
      <c r="G19" s="24"/>
      <c r="H19" s="349"/>
      <c r="I19" s="24"/>
      <c r="J19" s="366">
        <v>0</v>
      </c>
      <c r="K19" s="25"/>
      <c r="L19" s="366">
        <f>'Revenues-Fed, State, &amp; Expan. '!E30</f>
        <v>6400</v>
      </c>
      <c r="M19" s="26"/>
      <c r="N19" s="366">
        <f>'Revenues-Fed, State, &amp; Expan. '!G30</f>
        <v>11200</v>
      </c>
      <c r="O19" s="26"/>
      <c r="P19" s="366">
        <f>'Revenues-Fed, State, &amp; Expan. '!I30</f>
        <v>16000</v>
      </c>
      <c r="Q19" s="331"/>
      <c r="R19" s="366">
        <f>'Revenues-Fed, State, &amp; Expan. '!K30</f>
        <v>16000</v>
      </c>
      <c r="S19" s="345"/>
      <c r="T19" s="366">
        <f>'Revenues-Fed, State, &amp; Expan. '!M30</f>
        <v>16000</v>
      </c>
      <c r="U19"/>
      <c r="V19"/>
      <c r="W19"/>
      <c r="X19"/>
      <c r="Y19"/>
      <c r="Z19"/>
      <c r="AA19"/>
      <c r="AB19"/>
      <c r="AC19"/>
      <c r="AD19"/>
      <c r="AE19"/>
      <c r="AF19"/>
      <c r="AG19"/>
      <c r="AH19"/>
      <c r="AI19"/>
      <c r="AJ19"/>
      <c r="AK19"/>
    </row>
    <row r="20" spans="1:37" ht="16.5" thickBot="1">
      <c r="A20" s="453" t="s">
        <v>11</v>
      </c>
      <c r="B20" s="24"/>
      <c r="C20" s="490" t="s">
        <v>208</v>
      </c>
      <c r="D20" s="490" t="s">
        <v>208</v>
      </c>
      <c r="E20" s="490" t="s">
        <v>208</v>
      </c>
      <c r="F20" s="490" t="s">
        <v>208</v>
      </c>
      <c r="G20" s="24"/>
      <c r="H20" s="349"/>
      <c r="I20" s="24"/>
      <c r="J20" s="366">
        <v>0</v>
      </c>
      <c r="K20" s="25"/>
      <c r="L20" s="366">
        <f>'Revenues-Fed, State, &amp; Expan. '!E70</f>
        <v>0</v>
      </c>
      <c r="M20" s="26"/>
      <c r="N20" s="366">
        <f>'Revenues-Fed, State, &amp; Expan. '!G70</f>
        <v>626.4000000000001</v>
      </c>
      <c r="O20" s="26"/>
      <c r="P20" s="366">
        <f>'Revenues-Fed, State, &amp; Expan. '!I70</f>
        <v>1096.2</v>
      </c>
      <c r="Q20" s="331"/>
      <c r="R20" s="366">
        <f>'Revenues-Fed, State, &amp; Expan. '!K70</f>
        <v>1566</v>
      </c>
      <c r="S20" s="345"/>
      <c r="T20" s="366">
        <f>'Revenues-Fed, State, &amp; Expan. '!M70</f>
        <v>1566</v>
      </c>
      <c r="U20"/>
      <c r="V20"/>
      <c r="W20"/>
      <c r="X20"/>
      <c r="Y20"/>
      <c r="Z20"/>
      <c r="AA20"/>
      <c r="AB20"/>
      <c r="AC20"/>
      <c r="AD20"/>
      <c r="AE20"/>
      <c r="AF20"/>
      <c r="AG20"/>
      <c r="AH20"/>
      <c r="AI20"/>
      <c r="AJ20"/>
      <c r="AK20"/>
    </row>
    <row r="21" spans="1:37" ht="16.5" thickBot="1">
      <c r="A21" s="453" t="s">
        <v>89</v>
      </c>
      <c r="B21" s="24"/>
      <c r="C21" s="490" t="s">
        <v>208</v>
      </c>
      <c r="D21" s="490" t="s">
        <v>208</v>
      </c>
      <c r="E21" s="490" t="s">
        <v>208</v>
      </c>
      <c r="F21" s="490" t="s">
        <v>208</v>
      </c>
      <c r="G21" s="24"/>
      <c r="H21" s="349"/>
      <c r="I21" s="24"/>
      <c r="J21" s="366">
        <v>0</v>
      </c>
      <c r="K21" s="26"/>
      <c r="L21" s="366">
        <f>'Revenues-Per Capita &amp; SPED'!C239</f>
        <v>94827.5</v>
      </c>
      <c r="M21" s="26"/>
      <c r="N21" s="366">
        <f>'Revenues-Per Capita &amp; SPED'!I239</f>
        <v>189194.825</v>
      </c>
      <c r="O21" s="26"/>
      <c r="P21" s="366">
        <f>'Revenues-Per Capita &amp; SPED'!N239</f>
        <v>268622.24474999995</v>
      </c>
      <c r="Q21" s="331"/>
      <c r="R21" s="366">
        <f>'Revenues-Per Capita &amp; SPED'!T239</f>
        <v>274106.9120925</v>
      </c>
      <c r="S21" s="345"/>
      <c r="T21" s="366">
        <f>'Revenues-Per Capita &amp; SPED'!Z239</f>
        <v>279756.119455275</v>
      </c>
      <c r="U21"/>
      <c r="V21"/>
      <c r="W21"/>
      <c r="X21"/>
      <c r="Y21"/>
      <c r="Z21"/>
      <c r="AA21"/>
      <c r="AB21"/>
      <c r="AC21"/>
      <c r="AD21"/>
      <c r="AE21"/>
      <c r="AF21"/>
      <c r="AG21"/>
      <c r="AH21"/>
      <c r="AI21"/>
      <c r="AJ21"/>
      <c r="AK21"/>
    </row>
    <row r="22" spans="1:37" ht="16.5" thickBot="1">
      <c r="A22" s="453" t="s">
        <v>365</v>
      </c>
      <c r="B22" s="24"/>
      <c r="C22" s="490" t="s">
        <v>208</v>
      </c>
      <c r="D22" s="490" t="s">
        <v>208</v>
      </c>
      <c r="E22" s="490" t="s">
        <v>208</v>
      </c>
      <c r="F22" s="490" t="s">
        <v>208</v>
      </c>
      <c r="G22" s="24"/>
      <c r="H22" s="349"/>
      <c r="I22" s="24"/>
      <c r="J22" s="366">
        <v>152000</v>
      </c>
      <c r="K22" s="26"/>
      <c r="L22" s="366">
        <v>0</v>
      </c>
      <c r="M22" s="26"/>
      <c r="N22" s="366">
        <v>0</v>
      </c>
      <c r="O22" s="26"/>
      <c r="P22" s="366">
        <v>0</v>
      </c>
      <c r="Q22" s="331"/>
      <c r="R22" s="366">
        <v>0</v>
      </c>
      <c r="S22" s="345"/>
      <c r="T22" s="366">
        <v>0</v>
      </c>
      <c r="U22"/>
      <c r="V22"/>
      <c r="W22"/>
      <c r="X22"/>
      <c r="Y22"/>
      <c r="Z22"/>
      <c r="AA22"/>
      <c r="AB22"/>
      <c r="AC22"/>
      <c r="AD22"/>
      <c r="AE22"/>
      <c r="AF22"/>
      <c r="AG22"/>
      <c r="AH22"/>
      <c r="AI22"/>
      <c r="AJ22"/>
      <c r="AK22"/>
    </row>
    <row r="23" spans="1:37" ht="16.5" thickBot="1">
      <c r="A23" s="453" t="s">
        <v>26</v>
      </c>
      <c r="B23" s="24"/>
      <c r="C23" s="490" t="s">
        <v>208</v>
      </c>
      <c r="D23" s="490" t="s">
        <v>208</v>
      </c>
      <c r="E23" s="490" t="s">
        <v>208</v>
      </c>
      <c r="F23" s="490" t="s">
        <v>208</v>
      </c>
      <c r="G23" s="24"/>
      <c r="H23" s="349"/>
      <c r="I23" s="24"/>
      <c r="J23" s="23"/>
      <c r="K23" s="26"/>
      <c r="L23" s="23"/>
      <c r="M23" s="26"/>
      <c r="N23" s="23"/>
      <c r="O23" s="26"/>
      <c r="P23" s="23"/>
      <c r="Q23" s="331"/>
      <c r="R23" s="23"/>
      <c r="S23" s="345"/>
      <c r="T23" s="23"/>
      <c r="U23"/>
      <c r="V23"/>
      <c r="W23"/>
      <c r="X23"/>
      <c r="Y23"/>
      <c r="Z23"/>
      <c r="AA23"/>
      <c r="AB23"/>
      <c r="AC23"/>
      <c r="AD23"/>
      <c r="AE23"/>
      <c r="AF23"/>
      <c r="AG23"/>
      <c r="AH23"/>
      <c r="AI23"/>
      <c r="AJ23"/>
      <c r="AK23"/>
    </row>
    <row r="24" spans="1:37" ht="16.5" thickBot="1">
      <c r="A24" s="453" t="s">
        <v>8</v>
      </c>
      <c r="B24" s="24"/>
      <c r="C24" s="490" t="s">
        <v>208</v>
      </c>
      <c r="D24" s="490" t="s">
        <v>208</v>
      </c>
      <c r="E24" s="490" t="s">
        <v>208</v>
      </c>
      <c r="F24" s="490" t="s">
        <v>208</v>
      </c>
      <c r="G24" s="24"/>
      <c r="H24" s="349"/>
      <c r="I24" s="24"/>
      <c r="J24" s="23"/>
      <c r="K24" s="26"/>
      <c r="L24" s="23"/>
      <c r="M24" s="26"/>
      <c r="N24" s="23"/>
      <c r="O24" s="26"/>
      <c r="P24" s="23"/>
      <c r="Q24" s="331"/>
      <c r="R24" s="23"/>
      <c r="S24" s="345"/>
      <c r="T24" s="23"/>
      <c r="U24"/>
      <c r="V24"/>
      <c r="W24"/>
      <c r="X24"/>
      <c r="Y24"/>
      <c r="Z24"/>
      <c r="AA24"/>
      <c r="AB24"/>
      <c r="AC24"/>
      <c r="AD24"/>
      <c r="AE24"/>
      <c r="AF24"/>
      <c r="AG24"/>
      <c r="AH24"/>
      <c r="AI24"/>
      <c r="AJ24"/>
      <c r="AK24"/>
    </row>
    <row r="25" spans="1:37" ht="16.5" thickBot="1">
      <c r="A25" s="453" t="s">
        <v>55</v>
      </c>
      <c r="B25" s="24"/>
      <c r="C25" s="490" t="s">
        <v>208</v>
      </c>
      <c r="D25" s="490" t="s">
        <v>208</v>
      </c>
      <c r="E25" s="490" t="s">
        <v>208</v>
      </c>
      <c r="F25" s="490" t="s">
        <v>208</v>
      </c>
      <c r="G25" s="24"/>
      <c r="H25" s="349"/>
      <c r="I25" s="24"/>
      <c r="J25" s="23"/>
      <c r="K25" s="26"/>
      <c r="L25" s="23"/>
      <c r="M25" s="26"/>
      <c r="N25" s="23"/>
      <c r="O25" s="26"/>
      <c r="P25" s="23"/>
      <c r="Q25" s="331"/>
      <c r="R25" s="23"/>
      <c r="S25" s="345"/>
      <c r="T25" s="23"/>
      <c r="U25"/>
      <c r="V25"/>
      <c r="W25"/>
      <c r="X25"/>
      <c r="Y25"/>
      <c r="Z25"/>
      <c r="AA25"/>
      <c r="AB25"/>
      <c r="AC25"/>
      <c r="AD25"/>
      <c r="AE25"/>
      <c r="AF25"/>
      <c r="AG25"/>
      <c r="AH25"/>
      <c r="AI25"/>
      <c r="AJ25"/>
      <c r="AK25"/>
    </row>
    <row r="26" spans="1:37" ht="16.5" thickBot="1">
      <c r="A26" s="453" t="s">
        <v>27</v>
      </c>
      <c r="B26" s="24"/>
      <c r="C26" s="490" t="s">
        <v>208</v>
      </c>
      <c r="D26" s="490" t="s">
        <v>208</v>
      </c>
      <c r="E26" s="490" t="s">
        <v>208</v>
      </c>
      <c r="F26" s="490" t="s">
        <v>208</v>
      </c>
      <c r="G26" s="24"/>
      <c r="H26" s="349"/>
      <c r="I26" s="24"/>
      <c r="J26" s="23"/>
      <c r="K26" s="26"/>
      <c r="L26" s="23"/>
      <c r="M26" s="26"/>
      <c r="N26" s="23"/>
      <c r="O26" s="26"/>
      <c r="P26" s="23"/>
      <c r="Q26" s="331"/>
      <c r="R26" s="23"/>
      <c r="S26" s="345"/>
      <c r="T26" s="23"/>
      <c r="U26"/>
      <c r="V26"/>
      <c r="W26"/>
      <c r="X26"/>
      <c r="Y26"/>
      <c r="Z26"/>
      <c r="AA26"/>
      <c r="AB26"/>
      <c r="AC26"/>
      <c r="AD26"/>
      <c r="AE26"/>
      <c r="AF26"/>
      <c r="AG26"/>
      <c r="AH26"/>
      <c r="AI26"/>
      <c r="AJ26"/>
      <c r="AK26"/>
    </row>
    <row r="27" spans="1:37" ht="16.5" thickBot="1">
      <c r="A27" s="453" t="s">
        <v>396</v>
      </c>
      <c r="B27" s="24"/>
      <c r="C27" s="490" t="s">
        <v>208</v>
      </c>
      <c r="D27" s="490" t="s">
        <v>208</v>
      </c>
      <c r="E27" s="490" t="s">
        <v>208</v>
      </c>
      <c r="F27" s="490" t="s">
        <v>208</v>
      </c>
      <c r="G27" s="24"/>
      <c r="H27" s="349"/>
      <c r="I27" s="24"/>
      <c r="J27" s="23"/>
      <c r="K27" s="26"/>
      <c r="L27" s="23"/>
      <c r="M27" s="26"/>
      <c r="N27" s="23"/>
      <c r="O27" s="26"/>
      <c r="P27" s="23"/>
      <c r="Q27" s="331"/>
      <c r="R27" s="23"/>
      <c r="S27" s="345"/>
      <c r="T27" s="23"/>
      <c r="U27"/>
      <c r="V27"/>
      <c r="W27"/>
      <c r="X27"/>
      <c r="Y27"/>
      <c r="Z27"/>
      <c r="AA27"/>
      <c r="AB27"/>
      <c r="AC27"/>
      <c r="AD27"/>
      <c r="AE27"/>
      <c r="AF27"/>
      <c r="AG27"/>
      <c r="AH27"/>
      <c r="AI27"/>
      <c r="AJ27"/>
      <c r="AK27"/>
    </row>
    <row r="28" spans="1:37" ht="16.5" thickBot="1">
      <c r="A28" s="162"/>
      <c r="B28" s="24"/>
      <c r="C28" s="490" t="s">
        <v>208</v>
      </c>
      <c r="D28" s="490" t="s">
        <v>208</v>
      </c>
      <c r="E28" s="490" t="s">
        <v>208</v>
      </c>
      <c r="F28" s="490" t="s">
        <v>208</v>
      </c>
      <c r="G28" s="24"/>
      <c r="H28" s="349"/>
      <c r="I28" s="24"/>
      <c r="J28" s="23"/>
      <c r="K28" s="26"/>
      <c r="L28" s="23"/>
      <c r="M28" s="26"/>
      <c r="N28" s="23"/>
      <c r="O28" s="26"/>
      <c r="P28" s="23"/>
      <c r="Q28" s="331"/>
      <c r="R28" s="23"/>
      <c r="S28" s="345"/>
      <c r="T28" s="23"/>
      <c r="U28"/>
      <c r="V28"/>
      <c r="W28"/>
      <c r="X28"/>
      <c r="Y28"/>
      <c r="Z28"/>
      <c r="AA28"/>
      <c r="AB28"/>
      <c r="AC28"/>
      <c r="AD28"/>
      <c r="AE28"/>
      <c r="AF28"/>
      <c r="AG28"/>
      <c r="AH28"/>
      <c r="AI28"/>
      <c r="AJ28"/>
      <c r="AK28"/>
    </row>
    <row r="29" spans="1:37" ht="16.5" thickBot="1">
      <c r="A29" s="162"/>
      <c r="B29" s="24"/>
      <c r="C29" s="490" t="s">
        <v>208</v>
      </c>
      <c r="D29" s="490" t="s">
        <v>208</v>
      </c>
      <c r="E29" s="490" t="s">
        <v>208</v>
      </c>
      <c r="F29" s="490" t="s">
        <v>208</v>
      </c>
      <c r="G29" s="24"/>
      <c r="H29" s="349"/>
      <c r="I29" s="24"/>
      <c r="J29" s="23"/>
      <c r="K29" s="26"/>
      <c r="L29" s="23"/>
      <c r="M29" s="26"/>
      <c r="N29" s="23"/>
      <c r="O29" s="26"/>
      <c r="P29" s="23"/>
      <c r="Q29" s="331"/>
      <c r="R29" s="23"/>
      <c r="S29" s="345"/>
      <c r="T29" s="23"/>
      <c r="U29"/>
      <c r="V29"/>
      <c r="W29"/>
      <c r="X29"/>
      <c r="Y29"/>
      <c r="Z29"/>
      <c r="AA29"/>
      <c r="AB29"/>
      <c r="AC29"/>
      <c r="AD29"/>
      <c r="AE29"/>
      <c r="AF29"/>
      <c r="AG29"/>
      <c r="AH29"/>
      <c r="AI29"/>
      <c r="AJ29"/>
      <c r="AK29"/>
    </row>
    <row r="30" spans="1:37" ht="16.5" thickBot="1">
      <c r="A30" s="162"/>
      <c r="B30" s="24"/>
      <c r="C30" s="490" t="s">
        <v>208</v>
      </c>
      <c r="D30" s="490" t="s">
        <v>208</v>
      </c>
      <c r="E30" s="490" t="s">
        <v>208</v>
      </c>
      <c r="F30" s="490" t="s">
        <v>208</v>
      </c>
      <c r="G30" s="24"/>
      <c r="H30" s="349"/>
      <c r="I30" s="24"/>
      <c r="J30" s="23"/>
      <c r="K30" s="26"/>
      <c r="L30" s="23"/>
      <c r="M30" s="26"/>
      <c r="N30" s="23"/>
      <c r="O30" s="26"/>
      <c r="P30" s="23"/>
      <c r="Q30" s="331"/>
      <c r="R30" s="23"/>
      <c r="S30" s="345"/>
      <c r="T30" s="23"/>
      <c r="U30"/>
      <c r="V30"/>
      <c r="W30"/>
      <c r="X30"/>
      <c r="Y30"/>
      <c r="Z30"/>
      <c r="AA30"/>
      <c r="AB30"/>
      <c r="AC30"/>
      <c r="AD30"/>
      <c r="AE30"/>
      <c r="AF30"/>
      <c r="AG30"/>
      <c r="AH30"/>
      <c r="AI30"/>
      <c r="AJ30"/>
      <c r="AK30"/>
    </row>
    <row r="31" spans="1:37" ht="16.5" thickBot="1">
      <c r="A31" s="162"/>
      <c r="B31" s="28"/>
      <c r="C31" s="490" t="s">
        <v>208</v>
      </c>
      <c r="D31" s="490" t="s">
        <v>208</v>
      </c>
      <c r="E31" s="490" t="s">
        <v>208</v>
      </c>
      <c r="F31" s="490" t="s">
        <v>208</v>
      </c>
      <c r="G31" s="28"/>
      <c r="H31" s="349"/>
      <c r="I31" s="28"/>
      <c r="J31" s="23"/>
      <c r="K31" s="26"/>
      <c r="L31" s="23"/>
      <c r="M31" s="26"/>
      <c r="N31" s="23"/>
      <c r="O31" s="26"/>
      <c r="P31" s="23"/>
      <c r="Q31" s="331"/>
      <c r="R31" s="23"/>
      <c r="S31" s="346"/>
      <c r="T31" s="23"/>
      <c r="U31"/>
      <c r="V31"/>
      <c r="W31"/>
      <c r="X31"/>
      <c r="Y31"/>
      <c r="Z31"/>
      <c r="AA31"/>
      <c r="AB31"/>
      <c r="AC31"/>
      <c r="AD31"/>
      <c r="AE31"/>
      <c r="AF31"/>
      <c r="AG31"/>
      <c r="AH31"/>
      <c r="AI31"/>
      <c r="AJ31"/>
      <c r="AK31"/>
    </row>
    <row r="32" spans="1:37" ht="16.5" thickBot="1">
      <c r="A32" s="162"/>
      <c r="B32" s="28"/>
      <c r="C32" s="490" t="s">
        <v>208</v>
      </c>
      <c r="D32" s="490" t="s">
        <v>208</v>
      </c>
      <c r="E32" s="490" t="s">
        <v>208</v>
      </c>
      <c r="F32" s="490" t="s">
        <v>208</v>
      </c>
      <c r="G32" s="28"/>
      <c r="H32" s="349"/>
      <c r="I32" s="28"/>
      <c r="J32" s="23"/>
      <c r="K32" s="26"/>
      <c r="L32" s="23"/>
      <c r="M32" s="26"/>
      <c r="N32" s="23"/>
      <c r="O32" s="26"/>
      <c r="P32" s="23"/>
      <c r="Q32" s="331"/>
      <c r="R32" s="23"/>
      <c r="S32" s="346"/>
      <c r="T32" s="23"/>
      <c r="U32"/>
      <c r="V32"/>
      <c r="W32"/>
      <c r="X32"/>
      <c r="Y32"/>
      <c r="Z32"/>
      <c r="AA32"/>
      <c r="AB32"/>
      <c r="AC32"/>
      <c r="AD32"/>
      <c r="AE32"/>
      <c r="AF32"/>
      <c r="AG32"/>
      <c r="AH32"/>
      <c r="AI32"/>
      <c r="AJ32"/>
      <c r="AK32"/>
    </row>
    <row r="33" spans="1:37" ht="16.5" thickBot="1">
      <c r="A33" s="162"/>
      <c r="B33" s="28"/>
      <c r="C33" s="490" t="s">
        <v>208</v>
      </c>
      <c r="D33" s="490" t="s">
        <v>208</v>
      </c>
      <c r="E33" s="490" t="s">
        <v>208</v>
      </c>
      <c r="F33" s="490" t="s">
        <v>208</v>
      </c>
      <c r="G33" s="28"/>
      <c r="H33" s="349"/>
      <c r="I33" s="28"/>
      <c r="J33" s="23"/>
      <c r="K33" s="26"/>
      <c r="L33" s="23"/>
      <c r="M33" s="26"/>
      <c r="N33" s="23"/>
      <c r="O33" s="26"/>
      <c r="P33" s="23"/>
      <c r="Q33" s="332"/>
      <c r="R33" s="23"/>
      <c r="S33" s="345"/>
      <c r="T33" s="23"/>
      <c r="U33"/>
      <c r="V33"/>
      <c r="W33"/>
      <c r="X33"/>
      <c r="Y33"/>
      <c r="Z33"/>
      <c r="AA33"/>
      <c r="AB33"/>
      <c r="AC33"/>
      <c r="AD33"/>
      <c r="AE33"/>
      <c r="AF33"/>
      <c r="AG33"/>
      <c r="AH33"/>
      <c r="AI33"/>
      <c r="AJ33"/>
      <c r="AK33"/>
    </row>
    <row r="34" spans="1:37" ht="16.5" thickBot="1">
      <c r="A34" s="22"/>
      <c r="B34" s="24"/>
      <c r="C34" s="298"/>
      <c r="D34" s="298"/>
      <c r="E34" s="298"/>
      <c r="F34" s="298"/>
      <c r="G34" s="24"/>
      <c r="H34" s="288"/>
      <c r="I34" s="24"/>
      <c r="J34" s="30"/>
      <c r="K34" s="30"/>
      <c r="L34" s="30"/>
      <c r="M34" s="30"/>
      <c r="N34" s="30"/>
      <c r="O34" s="30"/>
      <c r="P34" s="31"/>
      <c r="Q34" s="333"/>
      <c r="R34" s="32"/>
      <c r="S34" s="345"/>
      <c r="T34" s="32"/>
      <c r="U34"/>
      <c r="V34"/>
      <c r="W34"/>
      <c r="X34"/>
      <c r="Y34"/>
      <c r="Z34"/>
      <c r="AA34"/>
      <c r="AB34"/>
      <c r="AC34"/>
      <c r="AD34"/>
      <c r="AE34"/>
      <c r="AF34"/>
      <c r="AG34"/>
      <c r="AH34"/>
      <c r="AI34"/>
      <c r="AJ34"/>
      <c r="AK34"/>
    </row>
    <row r="35" spans="2:37" ht="16.5" thickBot="1">
      <c r="B35" s="33"/>
      <c r="C35" s="300"/>
      <c r="D35" s="300"/>
      <c r="E35" s="300"/>
      <c r="F35" s="300"/>
      <c r="G35" s="33"/>
      <c r="H35" s="371" t="s">
        <v>29</v>
      </c>
      <c r="I35" s="33"/>
      <c r="J35" s="483">
        <f>SUM(J10:J33)</f>
        <v>152000</v>
      </c>
      <c r="K35" s="357"/>
      <c r="L35" s="483">
        <f>SUM(L10:L33)</f>
        <v>1361222.006</v>
      </c>
      <c r="M35" s="357"/>
      <c r="N35" s="483">
        <f>SUM(N10:N33)</f>
        <v>2102804.8605</v>
      </c>
      <c r="O35" s="357"/>
      <c r="P35" s="483">
        <f>SUM(P10:P33)</f>
        <v>2972593.20975</v>
      </c>
      <c r="Q35" s="358"/>
      <c r="R35" s="483">
        <f>SUM(R10:R33)</f>
        <v>2907297.6770924996</v>
      </c>
      <c r="S35" s="359"/>
      <c r="T35" s="484">
        <f>SUM(T10:T33)</f>
        <v>2912946.884455275</v>
      </c>
      <c r="U35"/>
      <c r="V35"/>
      <c r="W35"/>
      <c r="X35"/>
      <c r="Y35"/>
      <c r="Z35"/>
      <c r="AA35"/>
      <c r="AB35"/>
      <c r="AC35"/>
      <c r="AD35"/>
      <c r="AE35"/>
      <c r="AF35"/>
      <c r="AG35"/>
      <c r="AH35"/>
      <c r="AI35"/>
      <c r="AJ35"/>
      <c r="AK35"/>
    </row>
    <row r="36" spans="1:37" ht="16.5" thickBot="1">
      <c r="A36" s="27"/>
      <c r="B36" s="28"/>
      <c r="C36" s="299"/>
      <c r="D36" s="299"/>
      <c r="E36" s="299"/>
      <c r="F36" s="299"/>
      <c r="G36" s="28"/>
      <c r="H36" s="288"/>
      <c r="I36" s="28"/>
      <c r="J36" s="26"/>
      <c r="K36" s="26"/>
      <c r="L36" s="26"/>
      <c r="M36" s="26"/>
      <c r="N36" s="26"/>
      <c r="O36" s="26"/>
      <c r="P36" s="26"/>
      <c r="Q36" s="334"/>
      <c r="R36" s="34"/>
      <c r="S36" s="346"/>
      <c r="T36" s="34"/>
      <c r="U36"/>
      <c r="V36"/>
      <c r="W36"/>
      <c r="X36"/>
      <c r="Y36"/>
      <c r="Z36"/>
      <c r="AA36"/>
      <c r="AB36"/>
      <c r="AC36"/>
      <c r="AD36"/>
      <c r="AE36"/>
      <c r="AF36"/>
      <c r="AG36"/>
      <c r="AH36"/>
      <c r="AI36"/>
      <c r="AJ36"/>
      <c r="AK36"/>
    </row>
    <row r="37" spans="1:37" ht="18" customHeight="1">
      <c r="A37" s="292" t="s">
        <v>28</v>
      </c>
      <c r="B37" s="28"/>
      <c r="C37" s="1124" t="s">
        <v>207</v>
      </c>
      <c r="D37" s="1113" t="s">
        <v>209</v>
      </c>
      <c r="E37" s="1116" t="s">
        <v>225</v>
      </c>
      <c r="F37" s="1116" t="s">
        <v>224</v>
      </c>
      <c r="G37" s="28"/>
      <c r="H37" s="1127" t="s">
        <v>211</v>
      </c>
      <c r="I37" s="28"/>
      <c r="J37" s="26"/>
      <c r="K37" s="26"/>
      <c r="L37" s="26"/>
      <c r="M37" s="26"/>
      <c r="N37" s="26"/>
      <c r="O37" s="26"/>
      <c r="P37" s="26"/>
      <c r="Q37" s="334"/>
      <c r="R37" s="34"/>
      <c r="S37" s="345"/>
      <c r="T37" s="34"/>
      <c r="U37"/>
      <c r="V37"/>
      <c r="W37"/>
      <c r="X37"/>
      <c r="Y37"/>
      <c r="Z37"/>
      <c r="AA37"/>
      <c r="AB37"/>
      <c r="AC37"/>
      <c r="AD37"/>
      <c r="AE37"/>
      <c r="AF37"/>
      <c r="AG37"/>
      <c r="AH37"/>
      <c r="AI37"/>
      <c r="AJ37"/>
      <c r="AK37"/>
    </row>
    <row r="38" spans="1:37" ht="32.25" customHeight="1" thickBot="1">
      <c r="A38" s="22"/>
      <c r="B38" s="24"/>
      <c r="C38" s="1125"/>
      <c r="D38" s="1114"/>
      <c r="E38" s="1117"/>
      <c r="F38" s="1117"/>
      <c r="G38" s="24"/>
      <c r="H38" s="1128"/>
      <c r="I38" s="24"/>
      <c r="J38" s="36"/>
      <c r="K38" s="36"/>
      <c r="L38" s="36"/>
      <c r="M38" s="36"/>
      <c r="N38" s="36"/>
      <c r="O38" s="36"/>
      <c r="P38" s="36"/>
      <c r="Q38" s="335"/>
      <c r="R38" s="36"/>
      <c r="S38" s="345"/>
      <c r="T38" s="36"/>
      <c r="U38"/>
      <c r="V38"/>
      <c r="W38"/>
      <c r="X38"/>
      <c r="Y38"/>
      <c r="Z38"/>
      <c r="AA38"/>
      <c r="AB38"/>
      <c r="AC38"/>
      <c r="AD38"/>
      <c r="AE38"/>
      <c r="AF38"/>
      <c r="AG38"/>
      <c r="AH38"/>
      <c r="AI38"/>
      <c r="AJ38"/>
      <c r="AK38"/>
    </row>
    <row r="39" spans="1:37" ht="18.75" thickBot="1">
      <c r="A39" s="289" t="s">
        <v>9</v>
      </c>
      <c r="B39" s="38"/>
      <c r="C39" s="1126"/>
      <c r="D39" s="1115"/>
      <c r="E39" s="1118"/>
      <c r="F39" s="1118"/>
      <c r="G39" s="38"/>
      <c r="H39" s="1129"/>
      <c r="I39" s="38"/>
      <c r="J39" s="37"/>
      <c r="K39" s="39"/>
      <c r="L39" s="37"/>
      <c r="M39" s="39"/>
      <c r="N39" s="37"/>
      <c r="O39" s="39"/>
      <c r="P39" s="37"/>
      <c r="Q39" s="336"/>
      <c r="R39" s="32"/>
      <c r="S39" s="345"/>
      <c r="T39" s="32"/>
      <c r="U39"/>
      <c r="V39"/>
      <c r="W39"/>
      <c r="X39"/>
      <c r="Y39"/>
      <c r="Z39"/>
      <c r="AA39"/>
      <c r="AB39"/>
      <c r="AC39"/>
      <c r="AD39"/>
      <c r="AE39"/>
      <c r="AF39"/>
      <c r="AG39"/>
      <c r="AH39"/>
      <c r="AI39"/>
      <c r="AJ39"/>
      <c r="AK39"/>
    </row>
    <row r="40" spans="1:37" ht="16.5" thickBot="1">
      <c r="A40" s="713" t="s">
        <v>306</v>
      </c>
      <c r="B40" s="42"/>
      <c r="C40" s="696" t="s">
        <v>182</v>
      </c>
      <c r="D40" s="410">
        <v>25</v>
      </c>
      <c r="E40" s="490" t="s">
        <v>208</v>
      </c>
      <c r="F40" s="351"/>
      <c r="G40" s="42"/>
      <c r="H40" s="349" t="s">
        <v>623</v>
      </c>
      <c r="I40" s="42"/>
      <c r="J40" s="41"/>
      <c r="K40" s="43"/>
      <c r="L40" s="51">
        <f>IF($C40="Per Employee",$L$175*$D40,IF($C40="Per Pupil",$D40*$L$177,IF($C40="Fixed Per Year",$D40,0)))</f>
        <v>2500</v>
      </c>
      <c r="M40" s="43"/>
      <c r="N40" s="51">
        <f>IF($C40="Per Employee",$N$175*$D40,IF($C40="Per Pupil",$D40*$N$177,IF($C40="Fixed Per Year",$D40)))*(1+$F40)^1</f>
        <v>4375</v>
      </c>
      <c r="O40" s="43"/>
      <c r="P40" s="51">
        <f>IF($C40="Per Employee",$P$175*$D40,IF($C40="Per Pupil",$D40*$P$177,IF($C40="Fixed Per Year",$D40)))*(1+$F40)^2</f>
        <v>6250</v>
      </c>
      <c r="Q40" s="337"/>
      <c r="R40" s="51">
        <f>IF($C40="Per Employee",$R$175*$D40,IF($C40="Per Pupil",$D40*$R$177,IF($C40="Fixed Per Year",$D40)))*(1+$F40)^3</f>
        <v>6250</v>
      </c>
      <c r="S40" s="345"/>
      <c r="T40" s="51">
        <f>IF($C40="Per Employee",$T$175*$D40,IF($C40="Per Pupil",$D40*$T$177,IF($C40="Fixed Per Year",$D40)))*(1+$F40)^4</f>
        <v>6250</v>
      </c>
      <c r="U40"/>
      <c r="V40"/>
      <c r="W40"/>
      <c r="X40"/>
      <c r="Y40"/>
      <c r="Z40"/>
      <c r="AA40"/>
      <c r="AB40"/>
      <c r="AC40"/>
      <c r="AD40"/>
      <c r="AE40"/>
      <c r="AF40"/>
      <c r="AG40"/>
      <c r="AH40"/>
      <c r="AI40"/>
      <c r="AJ40"/>
      <c r="AK40"/>
    </row>
    <row r="41" spans="1:37" ht="16.5" thickBot="1">
      <c r="A41" s="712" t="s">
        <v>307</v>
      </c>
      <c r="B41" s="42"/>
      <c r="C41" s="696" t="s">
        <v>182</v>
      </c>
      <c r="D41" s="410">
        <v>25</v>
      </c>
      <c r="E41" s="490" t="s">
        <v>208</v>
      </c>
      <c r="F41" s="351"/>
      <c r="G41" s="42"/>
      <c r="H41" s="349" t="s">
        <v>623</v>
      </c>
      <c r="I41" s="42"/>
      <c r="J41" s="41"/>
      <c r="K41" s="43"/>
      <c r="L41" s="51">
        <f aca="true" t="shared" si="0" ref="L41:L62">IF($C41="Per Employee",$L$175*$D41,IF($C41="Per Pupil",$D41*$L$177,IF($C41="Fixed Per Year",$D41,0)))</f>
        <v>2500</v>
      </c>
      <c r="M41" s="43"/>
      <c r="N41" s="51">
        <f aca="true" t="shared" si="1" ref="N41:N62">IF($C41="Per Employee",$N$175*$D41,IF($C41="Per Pupil",$D41*$N$177,IF($C41="Fixed Per Year",$D41)))*(1+$F41)^1</f>
        <v>4375</v>
      </c>
      <c r="O41" s="43"/>
      <c r="P41" s="51">
        <f aca="true" t="shared" si="2" ref="P41:P62">IF($C41="Per Employee",$P$175*$D41,IF($C41="Per Pupil",$D41*$P$177,IF($C41="Fixed Per Year",$D41)))*(1+$F41)^2</f>
        <v>6250</v>
      </c>
      <c r="Q41" s="337"/>
      <c r="R41" s="51">
        <f aca="true" t="shared" si="3" ref="R41:R62">IF($C41="Per Employee",$R$175*$D41,IF($C41="Per Pupil",$D41*$R$177,IF($C41="Fixed Per Year",$D41)))*(1+$F41)^3</f>
        <v>6250</v>
      </c>
      <c r="S41" s="345"/>
      <c r="T41" s="51">
        <f aca="true" t="shared" si="4" ref="T41:T62">IF($C41="Per Employee",$T$175*$D41,IF($C41="Per Pupil",$D41*$T$177,IF($C41="Fixed Per Year",$D41)))*(1+$F41)^4</f>
        <v>6250</v>
      </c>
      <c r="U41"/>
      <c r="V41"/>
      <c r="W41"/>
      <c r="X41"/>
      <c r="Y41"/>
      <c r="Z41"/>
      <c r="AA41"/>
      <c r="AB41"/>
      <c r="AC41"/>
      <c r="AD41"/>
      <c r="AE41"/>
      <c r="AF41"/>
      <c r="AG41"/>
      <c r="AH41"/>
      <c r="AI41"/>
      <c r="AJ41"/>
      <c r="AK41"/>
    </row>
    <row r="42" spans="1:37" ht="16.5" thickBot="1">
      <c r="A42" s="712" t="s">
        <v>219</v>
      </c>
      <c r="B42" s="42"/>
      <c r="C42" s="696" t="s">
        <v>182</v>
      </c>
      <c r="D42" s="410">
        <v>40</v>
      </c>
      <c r="E42" s="490" t="s">
        <v>208</v>
      </c>
      <c r="F42" s="351"/>
      <c r="G42" s="42"/>
      <c r="H42" s="349" t="s">
        <v>623</v>
      </c>
      <c r="I42" s="42"/>
      <c r="J42" s="41"/>
      <c r="K42" s="43"/>
      <c r="L42" s="51">
        <f t="shared" si="0"/>
        <v>4000</v>
      </c>
      <c r="M42" s="43"/>
      <c r="N42" s="51">
        <f t="shared" si="1"/>
        <v>7000</v>
      </c>
      <c r="O42" s="43"/>
      <c r="P42" s="51">
        <f t="shared" si="2"/>
        <v>10000</v>
      </c>
      <c r="Q42" s="337"/>
      <c r="R42" s="51">
        <f t="shared" si="3"/>
        <v>10000</v>
      </c>
      <c r="S42" s="345"/>
      <c r="T42" s="51">
        <f t="shared" si="4"/>
        <v>10000</v>
      </c>
      <c r="U42"/>
      <c r="V42"/>
      <c r="W42"/>
      <c r="X42"/>
      <c r="Y42"/>
      <c r="Z42"/>
      <c r="AA42"/>
      <c r="AB42"/>
      <c r="AC42"/>
      <c r="AD42"/>
      <c r="AE42"/>
      <c r="AF42"/>
      <c r="AG42"/>
      <c r="AH42"/>
      <c r="AI42"/>
      <c r="AJ42"/>
      <c r="AK42"/>
    </row>
    <row r="43" spans="1:37" ht="16.5" thickBot="1">
      <c r="A43" s="712" t="s">
        <v>13</v>
      </c>
      <c r="B43" s="42"/>
      <c r="C43" s="696" t="s">
        <v>182</v>
      </c>
      <c r="D43" s="410">
        <v>1100</v>
      </c>
      <c r="E43" s="490" t="s">
        <v>208</v>
      </c>
      <c r="F43" s="351"/>
      <c r="G43" s="42"/>
      <c r="H43" s="349" t="s">
        <v>624</v>
      </c>
      <c r="I43" s="42"/>
      <c r="J43" s="41">
        <v>55000</v>
      </c>
      <c r="K43" s="43"/>
      <c r="L43" s="51">
        <f>IF($C43="Per Employee",$L$175*$D43,IF($C43="Per Pupil",$D43*$L$177,IF($C43="Fixed Per Year",$D43,0)))</f>
        <v>110000</v>
      </c>
      <c r="M43" s="43"/>
      <c r="N43" s="51">
        <f t="shared" si="1"/>
        <v>192500</v>
      </c>
      <c r="O43" s="43"/>
      <c r="P43" s="51">
        <f t="shared" si="2"/>
        <v>275000</v>
      </c>
      <c r="Q43" s="337"/>
      <c r="R43" s="51">
        <f t="shared" si="3"/>
        <v>275000</v>
      </c>
      <c r="S43" s="345"/>
      <c r="T43" s="51">
        <f t="shared" si="4"/>
        <v>275000</v>
      </c>
      <c r="U43"/>
      <c r="V43"/>
      <c r="W43"/>
      <c r="X43"/>
      <c r="Y43"/>
      <c r="Z43"/>
      <c r="AA43"/>
      <c r="AB43"/>
      <c r="AC43"/>
      <c r="AD43"/>
      <c r="AE43"/>
      <c r="AF43"/>
      <c r="AG43"/>
      <c r="AH43"/>
      <c r="AI43"/>
      <c r="AJ43"/>
      <c r="AK43"/>
    </row>
    <row r="44" spans="1:37" ht="16.5" thickBot="1">
      <c r="A44" s="712" t="s">
        <v>220</v>
      </c>
      <c r="B44" s="42"/>
      <c r="C44" s="696" t="s">
        <v>7</v>
      </c>
      <c r="D44" s="410"/>
      <c r="E44" s="490" t="s">
        <v>208</v>
      </c>
      <c r="F44" s="351"/>
      <c r="G44" s="42"/>
      <c r="H44" s="349"/>
      <c r="I44" s="42"/>
      <c r="J44" s="41"/>
      <c r="K44" s="43"/>
      <c r="L44" s="51">
        <f t="shared" si="0"/>
        <v>0</v>
      </c>
      <c r="M44" s="43"/>
      <c r="N44" s="51">
        <f t="shared" si="1"/>
        <v>0</v>
      </c>
      <c r="O44" s="43"/>
      <c r="P44" s="51">
        <f t="shared" si="2"/>
        <v>0</v>
      </c>
      <c r="Q44" s="337"/>
      <c r="R44" s="51">
        <f t="shared" si="3"/>
        <v>0</v>
      </c>
      <c r="S44" s="345"/>
      <c r="T44" s="51">
        <f t="shared" si="4"/>
        <v>0</v>
      </c>
      <c r="U44"/>
      <c r="V44"/>
      <c r="W44"/>
      <c r="X44"/>
      <c r="Y44"/>
      <c r="Z44"/>
      <c r="AA44"/>
      <c r="AB44"/>
      <c r="AC44"/>
      <c r="AD44"/>
      <c r="AE44"/>
      <c r="AF44"/>
      <c r="AG44"/>
      <c r="AH44"/>
      <c r="AI44"/>
      <c r="AJ44"/>
      <c r="AK44"/>
    </row>
    <row r="45" spans="1:37" ht="16.5" thickBot="1">
      <c r="A45" s="712" t="s">
        <v>221</v>
      </c>
      <c r="B45" s="42"/>
      <c r="C45" s="696" t="s">
        <v>7</v>
      </c>
      <c r="D45" s="410"/>
      <c r="E45" s="490" t="s">
        <v>208</v>
      </c>
      <c r="F45" s="351"/>
      <c r="G45" s="42"/>
      <c r="H45" s="349" t="s">
        <v>620</v>
      </c>
      <c r="I45" s="42"/>
      <c r="J45" s="41"/>
      <c r="K45" s="43"/>
      <c r="L45" s="51">
        <v>50000</v>
      </c>
      <c r="M45" s="43"/>
      <c r="N45" s="51">
        <v>10000</v>
      </c>
      <c r="O45" s="43"/>
      <c r="P45" s="51">
        <v>10000</v>
      </c>
      <c r="Q45" s="337"/>
      <c r="R45" s="51">
        <f t="shared" si="3"/>
        <v>0</v>
      </c>
      <c r="S45" s="345"/>
      <c r="T45" s="51">
        <f t="shared" si="4"/>
        <v>0</v>
      </c>
      <c r="U45"/>
      <c r="V45"/>
      <c r="W45"/>
      <c r="X45"/>
      <c r="Y45"/>
      <c r="Z45"/>
      <c r="AA45"/>
      <c r="AB45"/>
      <c r="AC45"/>
      <c r="AD45"/>
      <c r="AE45"/>
      <c r="AF45"/>
      <c r="AG45"/>
      <c r="AH45"/>
      <c r="AI45"/>
      <c r="AJ45"/>
      <c r="AK45"/>
    </row>
    <row r="46" spans="1:37" ht="16.5" thickBot="1">
      <c r="A46" s="712" t="s">
        <v>222</v>
      </c>
      <c r="B46" s="42"/>
      <c r="C46" s="696" t="s">
        <v>7</v>
      </c>
      <c r="D46" s="410"/>
      <c r="E46" s="490" t="s">
        <v>208</v>
      </c>
      <c r="F46" s="351"/>
      <c r="G46" s="42"/>
      <c r="H46" s="349" t="s">
        <v>620</v>
      </c>
      <c r="I46" s="42"/>
      <c r="J46" s="41"/>
      <c r="K46" s="43"/>
      <c r="L46" s="51">
        <v>50000</v>
      </c>
      <c r="M46" s="43"/>
      <c r="N46" s="51">
        <v>10000</v>
      </c>
      <c r="O46" s="43"/>
      <c r="P46" s="51">
        <v>10000</v>
      </c>
      <c r="Q46" s="337"/>
      <c r="R46" s="51">
        <f t="shared" si="3"/>
        <v>0</v>
      </c>
      <c r="S46" s="345"/>
      <c r="T46" s="51">
        <f t="shared" si="4"/>
        <v>0</v>
      </c>
      <c r="U46"/>
      <c r="V46"/>
      <c r="W46"/>
      <c r="X46"/>
      <c r="Y46"/>
      <c r="Z46"/>
      <c r="AA46"/>
      <c r="AB46"/>
      <c r="AC46"/>
      <c r="AD46"/>
      <c r="AE46"/>
      <c r="AF46"/>
      <c r="AG46"/>
      <c r="AH46"/>
      <c r="AI46"/>
      <c r="AJ46"/>
      <c r="AK46"/>
    </row>
    <row r="47" spans="1:37" ht="16.5" thickBot="1">
      <c r="A47" s="712" t="s">
        <v>227</v>
      </c>
      <c r="B47" s="42"/>
      <c r="C47" s="696"/>
      <c r="D47" s="410"/>
      <c r="E47" s="490" t="s">
        <v>208</v>
      </c>
      <c r="F47" s="351"/>
      <c r="G47" s="42"/>
      <c r="H47" s="349"/>
      <c r="I47" s="42"/>
      <c r="J47" s="41"/>
      <c r="K47" s="43"/>
      <c r="L47" s="51">
        <f t="shared" si="0"/>
        <v>0</v>
      </c>
      <c r="M47" s="43"/>
      <c r="N47" s="51">
        <f t="shared" si="1"/>
        <v>0</v>
      </c>
      <c r="O47" s="43"/>
      <c r="P47" s="51">
        <f t="shared" si="2"/>
        <v>0</v>
      </c>
      <c r="Q47" s="337"/>
      <c r="R47" s="51">
        <f t="shared" si="3"/>
        <v>0</v>
      </c>
      <c r="S47" s="345"/>
      <c r="T47" s="51">
        <f t="shared" si="4"/>
        <v>0</v>
      </c>
      <c r="U47"/>
      <c r="V47"/>
      <c r="W47"/>
      <c r="X47"/>
      <c r="Y47"/>
      <c r="Z47"/>
      <c r="AA47"/>
      <c r="AB47"/>
      <c r="AC47"/>
      <c r="AD47"/>
      <c r="AE47"/>
      <c r="AF47"/>
      <c r="AG47"/>
      <c r="AH47"/>
      <c r="AI47"/>
      <c r="AJ47"/>
      <c r="AK47"/>
    </row>
    <row r="48" spans="1:37" ht="16.5" thickBot="1">
      <c r="A48" s="712" t="s">
        <v>223</v>
      </c>
      <c r="B48" s="42"/>
      <c r="C48" s="696"/>
      <c r="D48" s="410"/>
      <c r="E48" s="490" t="s">
        <v>208</v>
      </c>
      <c r="F48" s="351"/>
      <c r="G48" s="42"/>
      <c r="H48" s="349"/>
      <c r="I48" s="42"/>
      <c r="J48" s="41"/>
      <c r="K48" s="43"/>
      <c r="L48" s="51">
        <f t="shared" si="0"/>
        <v>0</v>
      </c>
      <c r="M48" s="43"/>
      <c r="N48" s="51">
        <f t="shared" si="1"/>
        <v>0</v>
      </c>
      <c r="O48" s="43"/>
      <c r="P48" s="51">
        <f t="shared" si="2"/>
        <v>0</v>
      </c>
      <c r="Q48" s="337"/>
      <c r="R48" s="51">
        <f t="shared" si="3"/>
        <v>0</v>
      </c>
      <c r="S48" s="345"/>
      <c r="T48" s="51">
        <f t="shared" si="4"/>
        <v>0</v>
      </c>
      <c r="U48"/>
      <c r="V48"/>
      <c r="W48"/>
      <c r="X48"/>
      <c r="Y48"/>
      <c r="Z48"/>
      <c r="AA48"/>
      <c r="AB48"/>
      <c r="AC48"/>
      <c r="AD48"/>
      <c r="AE48"/>
      <c r="AF48"/>
      <c r="AG48"/>
      <c r="AH48"/>
      <c r="AI48"/>
      <c r="AJ48"/>
      <c r="AK48"/>
    </row>
    <row r="49" spans="1:37" ht="16.5" thickBot="1">
      <c r="A49" s="712" t="s">
        <v>308</v>
      </c>
      <c r="B49" s="42"/>
      <c r="C49" s="696"/>
      <c r="D49" s="410"/>
      <c r="E49" s="490" t="s">
        <v>208</v>
      </c>
      <c r="F49" s="351"/>
      <c r="G49" s="42"/>
      <c r="H49" s="349"/>
      <c r="I49" s="42"/>
      <c r="J49" s="41"/>
      <c r="K49" s="43"/>
      <c r="L49" s="51">
        <f t="shared" si="0"/>
        <v>0</v>
      </c>
      <c r="M49" s="43"/>
      <c r="N49" s="51">
        <f t="shared" si="1"/>
        <v>0</v>
      </c>
      <c r="O49" s="43"/>
      <c r="P49" s="51">
        <f t="shared" si="2"/>
        <v>0</v>
      </c>
      <c r="Q49" s="337"/>
      <c r="R49" s="51">
        <f t="shared" si="3"/>
        <v>0</v>
      </c>
      <c r="S49" s="345"/>
      <c r="T49" s="51">
        <f t="shared" si="4"/>
        <v>0</v>
      </c>
      <c r="U49"/>
      <c r="V49"/>
      <c r="W49"/>
      <c r="X49"/>
      <c r="Y49"/>
      <c r="Z49"/>
      <c r="AA49"/>
      <c r="AB49"/>
      <c r="AC49"/>
      <c r="AD49"/>
      <c r="AE49"/>
      <c r="AF49"/>
      <c r="AG49"/>
      <c r="AH49"/>
      <c r="AI49"/>
      <c r="AJ49"/>
      <c r="AK49"/>
    </row>
    <row r="50" spans="1:37" ht="16.5" thickBot="1">
      <c r="A50" s="712" t="s">
        <v>226</v>
      </c>
      <c r="B50" s="42"/>
      <c r="C50" s="696"/>
      <c r="D50" s="410"/>
      <c r="E50" s="490" t="s">
        <v>208</v>
      </c>
      <c r="F50" s="351"/>
      <c r="G50" s="42"/>
      <c r="H50" s="349"/>
      <c r="I50" s="42"/>
      <c r="J50" s="41"/>
      <c r="K50" s="43"/>
      <c r="L50" s="51">
        <f t="shared" si="0"/>
        <v>0</v>
      </c>
      <c r="M50" s="43"/>
      <c r="N50" s="51">
        <f t="shared" si="1"/>
        <v>0</v>
      </c>
      <c r="O50" s="43"/>
      <c r="P50" s="51">
        <f t="shared" si="2"/>
        <v>0</v>
      </c>
      <c r="Q50" s="337"/>
      <c r="R50" s="51">
        <f t="shared" si="3"/>
        <v>0</v>
      </c>
      <c r="S50" s="345"/>
      <c r="T50" s="51">
        <f t="shared" si="4"/>
        <v>0</v>
      </c>
      <c r="U50"/>
      <c r="V50"/>
      <c r="W50"/>
      <c r="X50"/>
      <c r="Y50"/>
      <c r="Z50"/>
      <c r="AA50"/>
      <c r="AB50"/>
      <c r="AC50"/>
      <c r="AD50"/>
      <c r="AE50"/>
      <c r="AF50"/>
      <c r="AG50"/>
      <c r="AH50"/>
      <c r="AI50"/>
      <c r="AJ50"/>
      <c r="AK50"/>
    </row>
    <row r="51" spans="1:37" ht="34.5" customHeight="1" thickBot="1">
      <c r="A51" s="714" t="s">
        <v>491</v>
      </c>
      <c r="B51" s="42"/>
      <c r="C51" s="492" t="s">
        <v>208</v>
      </c>
      <c r="D51" s="650" t="s">
        <v>208</v>
      </c>
      <c r="E51" s="490" t="s">
        <v>208</v>
      </c>
      <c r="F51" s="659" t="s">
        <v>208</v>
      </c>
      <c r="G51" s="42"/>
      <c r="H51" s="349"/>
      <c r="I51" s="42"/>
      <c r="J51" s="791">
        <v>0</v>
      </c>
      <c r="K51" s="43"/>
      <c r="L51" s="321">
        <f>'Contractual Clinicians'!C31</f>
        <v>26000</v>
      </c>
      <c r="M51" s="43"/>
      <c r="N51" s="321">
        <f>'Contractual Clinicians'!D31</f>
        <v>65000</v>
      </c>
      <c r="O51" s="43"/>
      <c r="P51" s="321">
        <f>'Contractual Clinicians'!E31</f>
        <v>85800</v>
      </c>
      <c r="Q51" s="337"/>
      <c r="R51" s="321">
        <f>'Contractual Clinicians'!F31</f>
        <v>85800</v>
      </c>
      <c r="S51" s="345"/>
      <c r="T51" s="321">
        <f>'Contractual Clinicians'!G31</f>
        <v>85800</v>
      </c>
      <c r="U51"/>
      <c r="V51"/>
      <c r="W51"/>
      <c r="X51"/>
      <c r="Y51"/>
      <c r="Z51"/>
      <c r="AA51"/>
      <c r="AB51"/>
      <c r="AC51"/>
      <c r="AD51"/>
      <c r="AE51"/>
      <c r="AF51"/>
      <c r="AG51"/>
      <c r="AH51"/>
      <c r="AI51"/>
      <c r="AJ51"/>
      <c r="AK51"/>
    </row>
    <row r="52" spans="1:37" ht="16.5" thickBot="1">
      <c r="A52" s="714" t="s">
        <v>163</v>
      </c>
      <c r="B52" s="42"/>
      <c r="C52" s="696"/>
      <c r="D52" s="410"/>
      <c r="E52" s="490" t="s">
        <v>208</v>
      </c>
      <c r="F52" s="351"/>
      <c r="G52" s="42"/>
      <c r="H52" s="349"/>
      <c r="I52" s="42"/>
      <c r="J52" s="41"/>
      <c r="K52" s="43"/>
      <c r="L52" s="51">
        <f t="shared" si="0"/>
        <v>0</v>
      </c>
      <c r="M52" s="43"/>
      <c r="N52" s="51">
        <f t="shared" si="1"/>
        <v>0</v>
      </c>
      <c r="O52" s="43"/>
      <c r="P52" s="51">
        <f t="shared" si="2"/>
        <v>0</v>
      </c>
      <c r="Q52" s="337"/>
      <c r="R52" s="51">
        <f t="shared" si="3"/>
        <v>0</v>
      </c>
      <c r="S52" s="345"/>
      <c r="T52" s="51">
        <f t="shared" si="4"/>
        <v>0</v>
      </c>
      <c r="U52"/>
      <c r="V52"/>
      <c r="W52"/>
      <c r="X52"/>
      <c r="Y52"/>
      <c r="Z52"/>
      <c r="AA52"/>
      <c r="AB52"/>
      <c r="AC52"/>
      <c r="AD52"/>
      <c r="AE52"/>
      <c r="AF52"/>
      <c r="AG52"/>
      <c r="AH52"/>
      <c r="AI52"/>
      <c r="AJ52"/>
      <c r="AK52"/>
    </row>
    <row r="53" spans="1:37" ht="16.5" thickBot="1">
      <c r="A53" s="712" t="s">
        <v>450</v>
      </c>
      <c r="B53" s="42"/>
      <c r="C53" s="696"/>
      <c r="D53" s="422"/>
      <c r="E53" s="490" t="s">
        <v>208</v>
      </c>
      <c r="F53" s="351"/>
      <c r="G53" s="42"/>
      <c r="H53" s="349"/>
      <c r="I53" s="42"/>
      <c r="J53" s="41"/>
      <c r="K53" s="43"/>
      <c r="L53" s="51">
        <f t="shared" si="0"/>
        <v>0</v>
      </c>
      <c r="M53" s="43"/>
      <c r="N53" s="51">
        <f t="shared" si="1"/>
        <v>0</v>
      </c>
      <c r="O53" s="43"/>
      <c r="P53" s="51">
        <f t="shared" si="2"/>
        <v>0</v>
      </c>
      <c r="Q53" s="337"/>
      <c r="R53" s="51">
        <f t="shared" si="3"/>
        <v>0</v>
      </c>
      <c r="S53" s="345"/>
      <c r="T53" s="51">
        <f t="shared" si="4"/>
        <v>0</v>
      </c>
      <c r="U53"/>
      <c r="V53"/>
      <c r="W53"/>
      <c r="X53"/>
      <c r="Y53"/>
      <c r="Z53"/>
      <c r="AA53"/>
      <c r="AB53"/>
      <c r="AC53"/>
      <c r="AD53"/>
      <c r="AE53"/>
      <c r="AF53"/>
      <c r="AG53"/>
      <c r="AH53"/>
      <c r="AI53"/>
      <c r="AJ53"/>
      <c r="AK53"/>
    </row>
    <row r="54" spans="1:37" ht="16.5" thickBot="1">
      <c r="A54" s="275" t="s">
        <v>610</v>
      </c>
      <c r="B54" s="42"/>
      <c r="C54" s="696" t="s">
        <v>182</v>
      </c>
      <c r="D54" s="422">
        <v>300</v>
      </c>
      <c r="E54" s="490" t="s">
        <v>208</v>
      </c>
      <c r="F54" s="351"/>
      <c r="G54" s="42"/>
      <c r="H54" s="349" t="s">
        <v>623</v>
      </c>
      <c r="I54" s="42"/>
      <c r="J54" s="41"/>
      <c r="K54" s="43"/>
      <c r="L54" s="51">
        <f t="shared" si="0"/>
        <v>30000</v>
      </c>
      <c r="M54" s="43"/>
      <c r="N54" s="51">
        <f t="shared" si="1"/>
        <v>52500</v>
      </c>
      <c r="O54" s="43"/>
      <c r="P54" s="51">
        <f t="shared" si="2"/>
        <v>75000</v>
      </c>
      <c r="Q54" s="337"/>
      <c r="R54" s="51">
        <f t="shared" si="3"/>
        <v>75000</v>
      </c>
      <c r="S54" s="345"/>
      <c r="T54" s="51">
        <f t="shared" si="4"/>
        <v>75000</v>
      </c>
      <c r="U54"/>
      <c r="V54"/>
      <c r="W54"/>
      <c r="X54"/>
      <c r="Y54"/>
      <c r="Z54"/>
      <c r="AA54"/>
      <c r="AB54"/>
      <c r="AC54"/>
      <c r="AD54"/>
      <c r="AE54"/>
      <c r="AF54"/>
      <c r="AG54"/>
      <c r="AH54"/>
      <c r="AI54"/>
      <c r="AJ54"/>
      <c r="AK54"/>
    </row>
    <row r="55" spans="1:37" ht="16.5" thickBot="1">
      <c r="A55" s="275" t="s">
        <v>611</v>
      </c>
      <c r="B55" s="42"/>
      <c r="C55" s="696" t="s">
        <v>182</v>
      </c>
      <c r="D55" s="422">
        <v>125</v>
      </c>
      <c r="E55" s="490" t="s">
        <v>208</v>
      </c>
      <c r="F55" s="351"/>
      <c r="G55" s="42"/>
      <c r="H55" s="349" t="s">
        <v>625</v>
      </c>
      <c r="I55" s="42"/>
      <c r="J55" s="41"/>
      <c r="K55" s="43"/>
      <c r="L55" s="51">
        <f t="shared" si="0"/>
        <v>12500</v>
      </c>
      <c r="M55" s="43"/>
      <c r="N55" s="51">
        <f t="shared" si="1"/>
        <v>21875</v>
      </c>
      <c r="O55" s="43"/>
      <c r="P55" s="51">
        <f t="shared" si="2"/>
        <v>31250</v>
      </c>
      <c r="Q55" s="337"/>
      <c r="R55" s="51">
        <f t="shared" si="3"/>
        <v>31250</v>
      </c>
      <c r="S55" s="345"/>
      <c r="T55" s="51">
        <f t="shared" si="4"/>
        <v>31250</v>
      </c>
      <c r="U55"/>
      <c r="V55"/>
      <c r="W55"/>
      <c r="X55"/>
      <c r="Y55"/>
      <c r="Z55"/>
      <c r="AA55"/>
      <c r="AB55"/>
      <c r="AC55"/>
      <c r="AD55"/>
      <c r="AE55"/>
      <c r="AF55"/>
      <c r="AG55"/>
      <c r="AH55"/>
      <c r="AI55"/>
      <c r="AJ55"/>
      <c r="AK55"/>
    </row>
    <row r="56" spans="1:37" ht="16.5" thickBot="1">
      <c r="A56" s="275" t="s">
        <v>612</v>
      </c>
      <c r="B56" s="42"/>
      <c r="C56" s="696" t="s">
        <v>182</v>
      </c>
      <c r="D56" s="422">
        <v>35</v>
      </c>
      <c r="E56" s="490" t="s">
        <v>208</v>
      </c>
      <c r="F56" s="351"/>
      <c r="G56" s="42"/>
      <c r="H56" s="349" t="s">
        <v>623</v>
      </c>
      <c r="I56" s="42"/>
      <c r="J56" s="41"/>
      <c r="K56" s="43"/>
      <c r="L56" s="51">
        <f t="shared" si="0"/>
        <v>3500</v>
      </c>
      <c r="M56" s="43"/>
      <c r="N56" s="51">
        <f t="shared" si="1"/>
        <v>6125</v>
      </c>
      <c r="O56" s="43"/>
      <c r="P56" s="51">
        <f t="shared" si="2"/>
        <v>8750</v>
      </c>
      <c r="Q56" s="337"/>
      <c r="R56" s="51">
        <f t="shared" si="3"/>
        <v>8750</v>
      </c>
      <c r="S56" s="345"/>
      <c r="T56" s="51">
        <f t="shared" si="4"/>
        <v>8750</v>
      </c>
      <c r="U56"/>
      <c r="V56"/>
      <c r="W56"/>
      <c r="X56"/>
      <c r="Y56"/>
      <c r="Z56"/>
      <c r="AA56"/>
      <c r="AB56"/>
      <c r="AC56"/>
      <c r="AD56"/>
      <c r="AE56"/>
      <c r="AF56"/>
      <c r="AG56"/>
      <c r="AH56"/>
      <c r="AI56"/>
      <c r="AJ56"/>
      <c r="AK56"/>
    </row>
    <row r="57" spans="1:37" ht="16.5" thickBot="1">
      <c r="A57" s="275" t="s">
        <v>613</v>
      </c>
      <c r="B57" s="42"/>
      <c r="C57" s="696" t="s">
        <v>7</v>
      </c>
      <c r="D57" s="422"/>
      <c r="E57" s="490" t="s">
        <v>208</v>
      </c>
      <c r="F57" s="351"/>
      <c r="G57" s="42"/>
      <c r="H57" s="349"/>
      <c r="I57" s="42"/>
      <c r="J57" s="41"/>
      <c r="K57" s="43"/>
      <c r="L57" s="51">
        <v>1000</v>
      </c>
      <c r="M57" s="43"/>
      <c r="N57" s="51">
        <v>1000</v>
      </c>
      <c r="O57" s="43"/>
      <c r="P57" s="51">
        <v>1000</v>
      </c>
      <c r="Q57" s="337"/>
      <c r="R57" s="51">
        <v>1000</v>
      </c>
      <c r="S57" s="345"/>
      <c r="T57" s="51">
        <v>1000</v>
      </c>
      <c r="U57"/>
      <c r="V57"/>
      <c r="W57"/>
      <c r="X57"/>
      <c r="Y57"/>
      <c r="Z57"/>
      <c r="AA57"/>
      <c r="AB57"/>
      <c r="AC57"/>
      <c r="AD57"/>
      <c r="AE57"/>
      <c r="AF57"/>
      <c r="AG57"/>
      <c r="AH57"/>
      <c r="AI57"/>
      <c r="AJ57"/>
      <c r="AK57"/>
    </row>
    <row r="58" spans="1:37" ht="16.5" thickBot="1">
      <c r="A58" s="275" t="s">
        <v>614</v>
      </c>
      <c r="B58" s="42"/>
      <c r="C58" s="696" t="s">
        <v>182</v>
      </c>
      <c r="D58" s="422">
        <v>5</v>
      </c>
      <c r="E58" s="490" t="s">
        <v>208</v>
      </c>
      <c r="F58" s="351"/>
      <c r="G58" s="42"/>
      <c r="H58" s="349" t="s">
        <v>623</v>
      </c>
      <c r="I58" s="42"/>
      <c r="J58" s="41"/>
      <c r="K58" s="43"/>
      <c r="L58" s="51">
        <f t="shared" si="0"/>
        <v>500</v>
      </c>
      <c r="M58" s="43"/>
      <c r="N58" s="51">
        <f t="shared" si="1"/>
        <v>875</v>
      </c>
      <c r="O58" s="43"/>
      <c r="P58" s="51">
        <f t="shared" si="2"/>
        <v>1250</v>
      </c>
      <c r="Q58" s="337"/>
      <c r="R58" s="51">
        <f t="shared" si="3"/>
        <v>1250</v>
      </c>
      <c r="S58" s="345"/>
      <c r="T58" s="51">
        <f t="shared" si="4"/>
        <v>1250</v>
      </c>
      <c r="U58"/>
      <c r="V58"/>
      <c r="W58"/>
      <c r="X58"/>
      <c r="Y58"/>
      <c r="Z58"/>
      <c r="AA58"/>
      <c r="AB58"/>
      <c r="AC58"/>
      <c r="AD58"/>
      <c r="AE58"/>
      <c r="AF58"/>
      <c r="AG58"/>
      <c r="AH58"/>
      <c r="AI58"/>
      <c r="AJ58"/>
      <c r="AK58"/>
    </row>
    <row r="59" spans="1:37" ht="16.5" thickBot="1">
      <c r="A59" s="275" t="s">
        <v>615</v>
      </c>
      <c r="B59" s="42"/>
      <c r="C59" s="696" t="s">
        <v>182</v>
      </c>
      <c r="D59" s="422">
        <f>25*10</f>
        <v>250</v>
      </c>
      <c r="E59" s="490" t="s">
        <v>208</v>
      </c>
      <c r="F59" s="351"/>
      <c r="G59" s="42"/>
      <c r="H59" s="349" t="s">
        <v>623</v>
      </c>
      <c r="I59" s="42"/>
      <c r="J59" s="41"/>
      <c r="K59" s="43"/>
      <c r="L59" s="51">
        <f t="shared" si="0"/>
        <v>25000</v>
      </c>
      <c r="M59" s="43"/>
      <c r="N59" s="51">
        <f t="shared" si="1"/>
        <v>43750</v>
      </c>
      <c r="O59" s="43"/>
      <c r="P59" s="51">
        <f t="shared" si="2"/>
        <v>62500</v>
      </c>
      <c r="Q59" s="337"/>
      <c r="R59" s="51">
        <f t="shared" si="3"/>
        <v>62500</v>
      </c>
      <c r="S59" s="345"/>
      <c r="T59" s="51">
        <f t="shared" si="4"/>
        <v>62500</v>
      </c>
      <c r="U59"/>
      <c r="V59"/>
      <c r="W59"/>
      <c r="X59"/>
      <c r="Y59"/>
      <c r="Z59"/>
      <c r="AA59"/>
      <c r="AB59"/>
      <c r="AC59"/>
      <c r="AD59"/>
      <c r="AE59"/>
      <c r="AF59"/>
      <c r="AG59"/>
      <c r="AH59"/>
      <c r="AI59"/>
      <c r="AJ59"/>
      <c r="AK59"/>
    </row>
    <row r="60" spans="1:37" ht="16.5" thickBot="1">
      <c r="A60" s="275"/>
      <c r="B60" s="42"/>
      <c r="C60" s="696"/>
      <c r="D60" s="422"/>
      <c r="E60" s="490" t="s">
        <v>208</v>
      </c>
      <c r="F60" s="351"/>
      <c r="G60" s="42"/>
      <c r="H60" s="349"/>
      <c r="I60" s="42"/>
      <c r="J60" s="41"/>
      <c r="K60" s="43"/>
      <c r="L60" s="51">
        <f t="shared" si="0"/>
        <v>0</v>
      </c>
      <c r="M60" s="43"/>
      <c r="N60" s="51">
        <f t="shared" si="1"/>
        <v>0</v>
      </c>
      <c r="O60" s="43"/>
      <c r="P60" s="51">
        <f t="shared" si="2"/>
        <v>0</v>
      </c>
      <c r="Q60" s="337"/>
      <c r="R60" s="51">
        <f t="shared" si="3"/>
        <v>0</v>
      </c>
      <c r="S60" s="345"/>
      <c r="T60" s="51">
        <f t="shared" si="4"/>
        <v>0</v>
      </c>
      <c r="U60"/>
      <c r="V60"/>
      <c r="W60"/>
      <c r="X60"/>
      <c r="Y60"/>
      <c r="Z60"/>
      <c r="AA60"/>
      <c r="AB60"/>
      <c r="AC60"/>
      <c r="AD60"/>
      <c r="AE60"/>
      <c r="AF60"/>
      <c r="AG60"/>
      <c r="AH60"/>
      <c r="AI60"/>
      <c r="AJ60"/>
      <c r="AK60"/>
    </row>
    <row r="61" spans="1:37" ht="16.5" thickBot="1">
      <c r="A61" s="275"/>
      <c r="B61" s="42"/>
      <c r="C61" s="696"/>
      <c r="D61" s="422"/>
      <c r="E61" s="490" t="s">
        <v>208</v>
      </c>
      <c r="F61" s="351"/>
      <c r="G61" s="42"/>
      <c r="H61" s="349"/>
      <c r="I61" s="42"/>
      <c r="J61" s="41"/>
      <c r="K61" s="43"/>
      <c r="L61" s="51">
        <f t="shared" si="0"/>
        <v>0</v>
      </c>
      <c r="M61" s="43"/>
      <c r="N61" s="51">
        <f t="shared" si="1"/>
        <v>0</v>
      </c>
      <c r="O61" s="43"/>
      <c r="P61" s="51">
        <f t="shared" si="2"/>
        <v>0</v>
      </c>
      <c r="Q61" s="337"/>
      <c r="R61" s="51">
        <f t="shared" si="3"/>
        <v>0</v>
      </c>
      <c r="S61" s="345"/>
      <c r="T61" s="51">
        <f t="shared" si="4"/>
        <v>0</v>
      </c>
      <c r="U61"/>
      <c r="V61"/>
      <c r="W61"/>
      <c r="X61"/>
      <c r="Y61"/>
      <c r="Z61"/>
      <c r="AA61"/>
      <c r="AB61"/>
      <c r="AC61"/>
      <c r="AD61"/>
      <c r="AE61"/>
      <c r="AF61"/>
      <c r="AG61"/>
      <c r="AH61"/>
      <c r="AI61"/>
      <c r="AJ61"/>
      <c r="AK61"/>
    </row>
    <row r="62" spans="1:37" ht="16.5" thickBot="1">
      <c r="A62" s="275"/>
      <c r="B62" s="42"/>
      <c r="C62" s="696"/>
      <c r="D62" s="422"/>
      <c r="E62" s="490" t="s">
        <v>208</v>
      </c>
      <c r="F62" s="351"/>
      <c r="G62" s="42"/>
      <c r="H62" s="349"/>
      <c r="I62" s="42"/>
      <c r="J62" s="41"/>
      <c r="K62" s="43"/>
      <c r="L62" s="51">
        <f t="shared" si="0"/>
        <v>0</v>
      </c>
      <c r="M62" s="43"/>
      <c r="N62" s="51">
        <f t="shared" si="1"/>
        <v>0</v>
      </c>
      <c r="O62" s="43"/>
      <c r="P62" s="51">
        <f t="shared" si="2"/>
        <v>0</v>
      </c>
      <c r="Q62" s="337"/>
      <c r="R62" s="51">
        <f t="shared" si="3"/>
        <v>0</v>
      </c>
      <c r="S62" s="345"/>
      <c r="T62" s="51">
        <f t="shared" si="4"/>
        <v>0</v>
      </c>
      <c r="U62"/>
      <c r="V62"/>
      <c r="W62"/>
      <c r="X62"/>
      <c r="Y62"/>
      <c r="Z62"/>
      <c r="AA62"/>
      <c r="AB62"/>
      <c r="AC62"/>
      <c r="AD62"/>
      <c r="AE62"/>
      <c r="AF62"/>
      <c r="AG62"/>
      <c r="AH62"/>
      <c r="AI62"/>
      <c r="AJ62"/>
      <c r="AK62"/>
    </row>
    <row r="63" spans="1:37" ht="16.5" thickBot="1">
      <c r="A63" s="40"/>
      <c r="B63" s="42"/>
      <c r="C63" s="302"/>
      <c r="D63" s="302"/>
      <c r="E63" s="302"/>
      <c r="F63" s="302"/>
      <c r="G63" s="42"/>
      <c r="H63" s="288"/>
      <c r="I63" s="42"/>
      <c r="J63" s="47"/>
      <c r="K63" s="39"/>
      <c r="L63" s="47"/>
      <c r="M63" s="39"/>
      <c r="N63" s="47"/>
      <c r="O63" s="39"/>
      <c r="P63" s="47"/>
      <c r="Q63" s="336"/>
      <c r="R63" s="48"/>
      <c r="S63" s="345"/>
      <c r="T63" s="48"/>
      <c r="U63"/>
      <c r="V63"/>
      <c r="W63"/>
      <c r="X63"/>
      <c r="Y63"/>
      <c r="Z63"/>
      <c r="AA63"/>
      <c r="AB63"/>
      <c r="AC63"/>
      <c r="AD63"/>
      <c r="AE63"/>
      <c r="AF63"/>
      <c r="AG63"/>
      <c r="AH63"/>
      <c r="AI63"/>
      <c r="AJ63"/>
      <c r="AK63"/>
    </row>
    <row r="64" spans="2:37" ht="16.5" thickBot="1">
      <c r="B64" s="38"/>
      <c r="C64" s="301"/>
      <c r="D64" s="301"/>
      <c r="E64" s="301"/>
      <c r="F64" s="301"/>
      <c r="G64" s="38"/>
      <c r="H64" s="290" t="s">
        <v>173</v>
      </c>
      <c r="I64" s="38"/>
      <c r="J64" s="485">
        <f>SUM(J40:J62)</f>
        <v>55000</v>
      </c>
      <c r="K64" s="360"/>
      <c r="L64" s="485">
        <f>SUM(L40:L62)</f>
        <v>317500</v>
      </c>
      <c r="M64" s="360"/>
      <c r="N64" s="485">
        <f>SUM(N40:N62)</f>
        <v>419375</v>
      </c>
      <c r="O64" s="360"/>
      <c r="P64" s="485">
        <f>SUM(P40:P62)</f>
        <v>583050</v>
      </c>
      <c r="Q64" s="361"/>
      <c r="R64" s="485">
        <f>SUM(R40:R62)</f>
        <v>563050</v>
      </c>
      <c r="S64" s="359"/>
      <c r="T64" s="485">
        <f>SUM(T40:T62)</f>
        <v>563050</v>
      </c>
      <c r="U64"/>
      <c r="V64"/>
      <c r="W64"/>
      <c r="X64"/>
      <c r="Y64"/>
      <c r="Z64"/>
      <c r="AA64"/>
      <c r="AB64"/>
      <c r="AC64"/>
      <c r="AD64"/>
      <c r="AE64"/>
      <c r="AF64"/>
      <c r="AG64"/>
      <c r="AH64"/>
      <c r="AI64"/>
      <c r="AJ64"/>
      <c r="AK64"/>
    </row>
    <row r="65" spans="1:37" ht="15.75">
      <c r="A65" s="49"/>
      <c r="B65" s="50"/>
      <c r="C65" s="303"/>
      <c r="D65" s="303"/>
      <c r="E65" s="303"/>
      <c r="F65" s="303"/>
      <c r="G65" s="50"/>
      <c r="H65" s="288"/>
      <c r="I65" s="50"/>
      <c r="J65" s="44"/>
      <c r="K65" s="43"/>
      <c r="L65" s="44"/>
      <c r="M65" s="43"/>
      <c r="N65" s="44"/>
      <c r="O65" s="43"/>
      <c r="P65" s="44"/>
      <c r="Q65" s="337"/>
      <c r="R65" s="34"/>
      <c r="S65" s="346"/>
      <c r="T65" s="34"/>
      <c r="U65"/>
      <c r="V65"/>
      <c r="W65"/>
      <c r="X65"/>
      <c r="Y65"/>
      <c r="Z65"/>
      <c r="AA65"/>
      <c r="AB65"/>
      <c r="AC65"/>
      <c r="AD65"/>
      <c r="AE65"/>
      <c r="AF65"/>
      <c r="AG65"/>
      <c r="AH65"/>
      <c r="AI65"/>
      <c r="AJ65"/>
      <c r="AK65"/>
    </row>
    <row r="66" spans="1:37" ht="15.75">
      <c r="A66" s="49"/>
      <c r="B66" s="50"/>
      <c r="C66" s="303"/>
      <c r="D66" s="303"/>
      <c r="E66" s="303"/>
      <c r="F66" s="303"/>
      <c r="G66" s="50"/>
      <c r="H66" s="288"/>
      <c r="I66" s="50"/>
      <c r="J66" s="44"/>
      <c r="K66" s="43"/>
      <c r="L66" s="44"/>
      <c r="M66" s="43"/>
      <c r="N66" s="44"/>
      <c r="O66" s="43"/>
      <c r="P66" s="44"/>
      <c r="Q66" s="337"/>
      <c r="R66" s="34"/>
      <c r="S66" s="346"/>
      <c r="T66" s="34"/>
      <c r="U66"/>
      <c r="V66"/>
      <c r="W66"/>
      <c r="X66"/>
      <c r="Y66"/>
      <c r="Z66"/>
      <c r="AA66"/>
      <c r="AB66"/>
      <c r="AC66"/>
      <c r="AD66"/>
      <c r="AE66"/>
      <c r="AF66"/>
      <c r="AG66"/>
      <c r="AH66"/>
      <c r="AI66"/>
      <c r="AJ66"/>
      <c r="AK66"/>
    </row>
    <row r="67" spans="1:37" ht="16.5" thickBot="1">
      <c r="A67" s="49"/>
      <c r="B67" s="50"/>
      <c r="C67" s="303"/>
      <c r="D67" s="303"/>
      <c r="E67" s="303"/>
      <c r="F67" s="303"/>
      <c r="G67" s="50"/>
      <c r="H67" s="288"/>
      <c r="I67" s="50"/>
      <c r="J67" s="44"/>
      <c r="K67" s="43"/>
      <c r="L67" s="44"/>
      <c r="M67" s="43"/>
      <c r="N67" s="44"/>
      <c r="O67" s="43"/>
      <c r="P67" s="44"/>
      <c r="Q67" s="337"/>
      <c r="R67" s="34"/>
      <c r="S67" s="346"/>
      <c r="T67" s="34"/>
      <c r="U67"/>
      <c r="V67"/>
      <c r="W67"/>
      <c r="X67"/>
      <c r="Y67"/>
      <c r="Z67"/>
      <c r="AA67"/>
      <c r="AB67"/>
      <c r="AC67"/>
      <c r="AD67"/>
      <c r="AE67"/>
      <c r="AF67"/>
      <c r="AG67"/>
      <c r="AH67"/>
      <c r="AI67"/>
      <c r="AJ67"/>
      <c r="AK67"/>
    </row>
    <row r="68" spans="1:37" ht="18.75" thickBot="1">
      <c r="A68" s="289" t="s">
        <v>176</v>
      </c>
      <c r="B68" s="38"/>
      <c r="C68" s="301"/>
      <c r="D68" s="301"/>
      <c r="E68" s="301"/>
      <c r="F68" s="301"/>
      <c r="G68" s="38"/>
      <c r="H68" s="288"/>
      <c r="I68" s="38"/>
      <c r="J68" s="37"/>
      <c r="K68" s="39"/>
      <c r="L68" s="37"/>
      <c r="M68" s="39"/>
      <c r="N68" s="37"/>
      <c r="O68" s="323"/>
      <c r="P68" s="37"/>
      <c r="Q68" s="336"/>
      <c r="R68" s="32"/>
      <c r="S68" s="345"/>
      <c r="T68" s="32"/>
      <c r="U68"/>
      <c r="V68"/>
      <c r="W68"/>
      <c r="X68"/>
      <c r="Y68"/>
      <c r="Z68"/>
      <c r="AA68"/>
      <c r="AB68"/>
      <c r="AC68"/>
      <c r="AD68"/>
      <c r="AE68"/>
      <c r="AF68"/>
      <c r="AG68"/>
      <c r="AH68"/>
      <c r="AI68"/>
      <c r="AJ68"/>
      <c r="AK68"/>
    </row>
    <row r="69" spans="1:37" ht="16.5" thickBot="1">
      <c r="A69" s="715" t="s">
        <v>14</v>
      </c>
      <c r="B69" s="52"/>
      <c r="C69" s="491" t="s">
        <v>208</v>
      </c>
      <c r="D69" s="492" t="s">
        <v>208</v>
      </c>
      <c r="E69" s="492" t="s">
        <v>208</v>
      </c>
      <c r="F69" s="492" t="s">
        <v>208</v>
      </c>
      <c r="G69" s="52"/>
      <c r="H69" s="350"/>
      <c r="I69" s="52"/>
      <c r="J69" s="321">
        <f>Personnel!E189</f>
        <v>45250</v>
      </c>
      <c r="K69" s="43"/>
      <c r="L69" s="321">
        <f>Personnel!G189</f>
        <v>711350</v>
      </c>
      <c r="M69" s="322"/>
      <c r="N69" s="321">
        <f>Personnel!I189</f>
        <v>973247</v>
      </c>
      <c r="O69" s="322"/>
      <c r="P69" s="321">
        <f>Personnel!K189</f>
        <v>1197384.785</v>
      </c>
      <c r="Q69" s="337"/>
      <c r="R69" s="321">
        <f>Personnel!M189</f>
        <v>1233306.32855</v>
      </c>
      <c r="S69" s="345"/>
      <c r="T69" s="321">
        <f>Personnel!O189</f>
        <v>1270305.5184065003</v>
      </c>
      <c r="U69"/>
      <c r="V69"/>
      <c r="W69"/>
      <c r="X69"/>
      <c r="Y69"/>
      <c r="Z69"/>
      <c r="AA69"/>
      <c r="AB69"/>
      <c r="AC69"/>
      <c r="AD69"/>
      <c r="AE69"/>
      <c r="AF69"/>
      <c r="AG69"/>
      <c r="AH69"/>
      <c r="AI69"/>
      <c r="AJ69"/>
      <c r="AK69"/>
    </row>
    <row r="70" spans="1:37" ht="16.5" thickBot="1">
      <c r="A70" s="717" t="s">
        <v>250</v>
      </c>
      <c r="B70" s="52"/>
      <c r="C70" s="491" t="s">
        <v>208</v>
      </c>
      <c r="D70" s="492" t="s">
        <v>208</v>
      </c>
      <c r="E70" s="492" t="s">
        <v>208</v>
      </c>
      <c r="F70" s="492" t="s">
        <v>208</v>
      </c>
      <c r="G70" s="52"/>
      <c r="H70" s="350"/>
      <c r="I70" s="52"/>
      <c r="J70" s="321">
        <v>0</v>
      </c>
      <c r="K70" s="43"/>
      <c r="L70" s="321">
        <f>Personnel!G197</f>
        <v>0</v>
      </c>
      <c r="M70" s="322"/>
      <c r="N70" s="321">
        <f>Personnel!I197</f>
        <v>0</v>
      </c>
      <c r="O70" s="322"/>
      <c r="P70" s="321">
        <f>Personnel!K197</f>
        <v>0</v>
      </c>
      <c r="Q70" s="337"/>
      <c r="R70" s="321">
        <f>Personnel!M197</f>
        <v>0</v>
      </c>
      <c r="S70" s="345"/>
      <c r="T70" s="321">
        <f>Personnel!O197</f>
        <v>0</v>
      </c>
      <c r="U70"/>
      <c r="V70"/>
      <c r="W70"/>
      <c r="X70"/>
      <c r="Y70"/>
      <c r="Z70"/>
      <c r="AA70"/>
      <c r="AB70"/>
      <c r="AC70"/>
      <c r="AD70"/>
      <c r="AE70"/>
      <c r="AF70"/>
      <c r="AG70"/>
      <c r="AH70"/>
      <c r="AI70"/>
      <c r="AJ70"/>
      <c r="AK70"/>
    </row>
    <row r="71" spans="1:37" ht="16.5" thickBot="1">
      <c r="A71" s="716" t="s">
        <v>251</v>
      </c>
      <c r="B71" s="52"/>
      <c r="C71" s="491" t="s">
        <v>208</v>
      </c>
      <c r="D71" s="492" t="s">
        <v>208</v>
      </c>
      <c r="E71" s="492" t="s">
        <v>208</v>
      </c>
      <c r="F71" s="492" t="s">
        <v>208</v>
      </c>
      <c r="G71" s="52"/>
      <c r="H71" s="350"/>
      <c r="I71" s="52"/>
      <c r="J71" s="321">
        <v>0</v>
      </c>
      <c r="K71" s="43"/>
      <c r="L71" s="321">
        <f>Personnel!G195</f>
        <v>0</v>
      </c>
      <c r="M71" s="322"/>
      <c r="N71" s="321">
        <f>Personnel!I195</f>
        <v>0</v>
      </c>
      <c r="O71" s="322"/>
      <c r="P71" s="321">
        <f>Personnel!K195</f>
        <v>0</v>
      </c>
      <c r="Q71" s="337"/>
      <c r="R71" s="321">
        <f>Personnel!M195</f>
        <v>0</v>
      </c>
      <c r="S71" s="345"/>
      <c r="T71" s="321">
        <f>Personnel!O195</f>
        <v>0</v>
      </c>
      <c r="U71"/>
      <c r="V71"/>
      <c r="W71"/>
      <c r="X71"/>
      <c r="Y71"/>
      <c r="Z71"/>
      <c r="AA71"/>
      <c r="AB71"/>
      <c r="AC71"/>
      <c r="AD71"/>
      <c r="AE71"/>
      <c r="AF71"/>
      <c r="AG71"/>
      <c r="AH71"/>
      <c r="AI71"/>
      <c r="AJ71"/>
      <c r="AK71"/>
    </row>
    <row r="72" spans="1:37" ht="16.5" thickBot="1">
      <c r="A72" s="456" t="s">
        <v>165</v>
      </c>
      <c r="B72" s="52"/>
      <c r="C72" s="491" t="s">
        <v>208</v>
      </c>
      <c r="D72" s="492" t="s">
        <v>208</v>
      </c>
      <c r="E72" s="492" t="s">
        <v>208</v>
      </c>
      <c r="F72" s="492" t="s">
        <v>208</v>
      </c>
      <c r="G72" s="52"/>
      <c r="H72" s="350"/>
      <c r="I72" s="52"/>
      <c r="J72" s="51">
        <f>Personnel!E203</f>
        <v>0</v>
      </c>
      <c r="K72" s="43"/>
      <c r="L72" s="651">
        <f>Personnel!G203</f>
        <v>0</v>
      </c>
      <c r="M72" s="322"/>
      <c r="N72" s="651">
        <f>Personnel!I203</f>
        <v>0</v>
      </c>
      <c r="O72" s="322"/>
      <c r="P72" s="651">
        <f>Personnel!K203</f>
        <v>0</v>
      </c>
      <c r="Q72" s="337"/>
      <c r="R72" s="651">
        <f>Personnel!M203</f>
        <v>0</v>
      </c>
      <c r="S72" s="346"/>
      <c r="T72" s="651">
        <f>Personnel!O203</f>
        <v>0</v>
      </c>
      <c r="U72"/>
      <c r="V72"/>
      <c r="W72"/>
      <c r="X72"/>
      <c r="Y72"/>
      <c r="Z72"/>
      <c r="AA72"/>
      <c r="AB72"/>
      <c r="AC72"/>
      <c r="AD72"/>
      <c r="AE72"/>
      <c r="AF72"/>
      <c r="AG72"/>
      <c r="AH72"/>
      <c r="AI72"/>
      <c r="AJ72"/>
      <c r="AK72"/>
    </row>
    <row r="73" spans="1:37" ht="16.5" thickBot="1">
      <c r="A73" s="455" t="s">
        <v>166</v>
      </c>
      <c r="B73" s="52"/>
      <c r="C73" s="491" t="s">
        <v>208</v>
      </c>
      <c r="D73" s="492" t="s">
        <v>208</v>
      </c>
      <c r="E73" s="492" t="s">
        <v>208</v>
      </c>
      <c r="F73" s="492" t="s">
        <v>208</v>
      </c>
      <c r="G73" s="52"/>
      <c r="H73" s="350"/>
      <c r="I73" s="52"/>
      <c r="J73" s="321">
        <f>Personnel!E199</f>
        <v>2805.5</v>
      </c>
      <c r="K73" s="43"/>
      <c r="L73" s="321">
        <f>Personnel!G199</f>
        <v>44103.7</v>
      </c>
      <c r="M73" s="322"/>
      <c r="N73" s="321">
        <f>Personnel!I199</f>
        <v>60341.314</v>
      </c>
      <c r="O73" s="322"/>
      <c r="P73" s="321">
        <f>Personnel!K199</f>
        <v>74237.85667</v>
      </c>
      <c r="Q73" s="337"/>
      <c r="R73" s="321">
        <f>Personnel!M199</f>
        <v>76464.9923701</v>
      </c>
      <c r="S73" s="345"/>
      <c r="T73" s="321">
        <f>Personnel!O199</f>
        <v>78758.94214120302</v>
      </c>
      <c r="U73"/>
      <c r="V73"/>
      <c r="W73"/>
      <c r="X73"/>
      <c r="Y73"/>
      <c r="Z73"/>
      <c r="AA73"/>
      <c r="AB73"/>
      <c r="AC73"/>
      <c r="AD73"/>
      <c r="AE73"/>
      <c r="AF73"/>
      <c r="AG73"/>
      <c r="AH73"/>
      <c r="AI73"/>
      <c r="AJ73"/>
      <c r="AK73"/>
    </row>
    <row r="74" spans="1:37" ht="16.5" thickBot="1">
      <c r="A74" s="712" t="s">
        <v>167</v>
      </c>
      <c r="B74" s="52"/>
      <c r="C74" s="491" t="s">
        <v>208</v>
      </c>
      <c r="D74" s="492" t="s">
        <v>208</v>
      </c>
      <c r="E74" s="492" t="s">
        <v>208</v>
      </c>
      <c r="F74" s="492" t="s">
        <v>208</v>
      </c>
      <c r="G74" s="52"/>
      <c r="H74" s="350"/>
      <c r="I74" s="52"/>
      <c r="J74" s="321">
        <f>Personnel!E201</f>
        <v>656.125</v>
      </c>
      <c r="K74" s="43"/>
      <c r="L74" s="321">
        <f>Personnel!G201</f>
        <v>10314.575</v>
      </c>
      <c r="M74" s="322"/>
      <c r="N74" s="321">
        <f>Personnel!I201</f>
        <v>14112.0815</v>
      </c>
      <c r="O74" s="322"/>
      <c r="P74" s="321">
        <f>Personnel!K201</f>
        <v>17362.0793825</v>
      </c>
      <c r="Q74" s="337"/>
      <c r="R74" s="321">
        <f>Personnel!M201</f>
        <v>17882.941763975</v>
      </c>
      <c r="S74" s="345"/>
      <c r="T74" s="321">
        <f>Personnel!O201</f>
        <v>18419.430016894257</v>
      </c>
      <c r="U74"/>
      <c r="V74"/>
      <c r="W74"/>
      <c r="X74"/>
      <c r="Y74"/>
      <c r="Z74"/>
      <c r="AA74"/>
      <c r="AB74"/>
      <c r="AC74"/>
      <c r="AD74"/>
      <c r="AE74"/>
      <c r="AF74"/>
      <c r="AG74"/>
      <c r="AH74"/>
      <c r="AI74"/>
      <c r="AJ74"/>
      <c r="AK74"/>
    </row>
    <row r="75" spans="1:37" ht="16.5" thickBot="1">
      <c r="A75" s="716" t="s">
        <v>164</v>
      </c>
      <c r="B75" s="52"/>
      <c r="C75" s="697" t="s">
        <v>181</v>
      </c>
      <c r="D75" s="348"/>
      <c r="E75" s="351">
        <v>0.15</v>
      </c>
      <c r="F75" s="778"/>
      <c r="G75" s="52"/>
      <c r="H75" s="350"/>
      <c r="I75" s="52"/>
      <c r="J75" s="51"/>
      <c r="K75" s="43"/>
      <c r="L75" s="51">
        <f>IF($C75="Per Employee",$L$175*$D75,IF($C75="% of Salaries",$E75*$L$176,IF($C75="Fixed Per Year",$D75,0)))</f>
        <v>106702.5</v>
      </c>
      <c r="M75" s="322"/>
      <c r="N75" s="51">
        <f>IF($C75="Per Employee",$N$175*$D75,IF($C75="% of Salaries",$E75*$N$176,IF($C75="Fixed Per Year",$D75)))*(1+$F75)^1</f>
        <v>145987.05</v>
      </c>
      <c r="O75" s="322"/>
      <c r="P75" s="51">
        <f>IF($C75="Per Employee",$P$175*$D75,IF($C75="% of Salaries",$E75*$P$176,IF($C75="Fixed Per Year",$D75)))*(1+$F75)^2</f>
        <v>179607.71774999998</v>
      </c>
      <c r="Q75" s="337"/>
      <c r="R75" s="51">
        <f>IF($C75="Per Employee",$R$175*$D75,IF($C75="% of Salaries",$E75*$R$176,IF($C75="Fixed Per Year",$D75)))*(1+$F75)^3</f>
        <v>184995.9492825</v>
      </c>
      <c r="S75" s="346"/>
      <c r="T75" s="51">
        <f>IF($C75="Per Employee",$T$175*$D75,IF($C75="% of Salaries",$E75*$T$176,IF($C75="Fixed Per Year",$D75)))*(1+$F75)^4</f>
        <v>190545.82776097505</v>
      </c>
      <c r="U75"/>
      <c r="V75"/>
      <c r="W75"/>
      <c r="X75"/>
      <c r="Y75"/>
      <c r="Z75"/>
      <c r="AA75"/>
      <c r="AB75"/>
      <c r="AC75"/>
      <c r="AD75"/>
      <c r="AE75"/>
      <c r="AF75"/>
      <c r="AG75"/>
      <c r="AH75"/>
      <c r="AI75"/>
      <c r="AJ75"/>
      <c r="AK75"/>
    </row>
    <row r="76" spans="1:37" ht="16.5" thickBot="1">
      <c r="A76" s="455" t="s">
        <v>168</v>
      </c>
      <c r="B76" s="52"/>
      <c r="C76" s="697" t="s">
        <v>181</v>
      </c>
      <c r="D76" s="348"/>
      <c r="E76" s="351">
        <v>0.0075</v>
      </c>
      <c r="F76" s="778"/>
      <c r="G76" s="52"/>
      <c r="H76" s="350"/>
      <c r="I76" s="52"/>
      <c r="J76" s="51"/>
      <c r="K76" s="43"/>
      <c r="L76" s="51">
        <f aca="true" t="shared" si="5" ref="L76:L81">IF($C76="Per Employee",$L$175*$D76,IF($C76="% of Salaries",$E76*$L$176,IF($C76="Fixed Per Year",$D76,0)))</f>
        <v>5335.125</v>
      </c>
      <c r="M76" s="43"/>
      <c r="N76" s="51">
        <f aca="true" t="shared" si="6" ref="N76:N90">IF($C76="Per Employee",$N$175*$D76,IF($C76="% of Salaries",$E76*$N$176,IF($C76="Fixed Per Year",$D76)))*(1+$F76)^1</f>
        <v>7299.3525</v>
      </c>
      <c r="O76" s="322"/>
      <c r="P76" s="51">
        <f aca="true" t="shared" si="7" ref="P76:P90">IF($C76="Per Employee",$P$175*$D76,IF($C76="% of Salaries",$E76*$P$176,IF($C76="Fixed Per Year",$D76)))*(1+$F76)^2</f>
        <v>8980.385887499999</v>
      </c>
      <c r="Q76" s="337"/>
      <c r="R76" s="51">
        <f aca="true" t="shared" si="8" ref="R76:R90">IF($C76="Per Employee",$R$175*$D76,IF($C76="% of Salaries",$E76*$R$176,IF($C76="Fixed Per Year",$D76)))*(1+$F76)^3</f>
        <v>9249.797464125</v>
      </c>
      <c r="S76" s="346"/>
      <c r="T76" s="51">
        <f aca="true" t="shared" si="9" ref="T76:T90">IF($C76="Per Employee",$T$175*$D76,IF($C76="% of Salaries",$E76*$T$176,IF($C76="Fixed Per Year",$D76)))*(1+$F76)^4</f>
        <v>9527.291388048752</v>
      </c>
      <c r="U76"/>
      <c r="V76"/>
      <c r="W76"/>
      <c r="X76"/>
      <c r="Y76"/>
      <c r="Z76"/>
      <c r="AA76"/>
      <c r="AB76"/>
      <c r="AC76"/>
      <c r="AD76"/>
      <c r="AE76"/>
      <c r="AF76"/>
      <c r="AG76"/>
      <c r="AH76"/>
      <c r="AI76"/>
      <c r="AJ76"/>
      <c r="AK76"/>
    </row>
    <row r="77" spans="1:37" ht="16.5" thickBot="1">
      <c r="A77" s="455" t="s">
        <v>178</v>
      </c>
      <c r="B77" s="52"/>
      <c r="C77" s="697" t="s">
        <v>181</v>
      </c>
      <c r="D77" s="348"/>
      <c r="E77" s="351">
        <v>0.0815</v>
      </c>
      <c r="F77" s="778"/>
      <c r="G77" s="52"/>
      <c r="H77" s="350" t="s">
        <v>622</v>
      </c>
      <c r="I77" s="52"/>
      <c r="J77" s="51"/>
      <c r="K77" s="43"/>
      <c r="L77" s="51">
        <f t="shared" si="5"/>
        <v>57975.025</v>
      </c>
      <c r="M77" s="43"/>
      <c r="N77" s="51">
        <f t="shared" si="6"/>
        <v>79319.6305</v>
      </c>
      <c r="O77" s="43"/>
      <c r="P77" s="51">
        <f t="shared" si="7"/>
        <v>97586.8599775</v>
      </c>
      <c r="Q77" s="337"/>
      <c r="R77" s="51">
        <f t="shared" si="8"/>
        <v>100514.465776825</v>
      </c>
      <c r="S77" s="345"/>
      <c r="T77" s="51">
        <f t="shared" si="9"/>
        <v>103529.89975012979</v>
      </c>
      <c r="U77"/>
      <c r="V77"/>
      <c r="W77"/>
      <c r="X77"/>
      <c r="Y77"/>
      <c r="Z77"/>
      <c r="AA77"/>
      <c r="AB77"/>
      <c r="AC77"/>
      <c r="AD77"/>
      <c r="AE77"/>
      <c r="AF77"/>
      <c r="AG77"/>
      <c r="AH77"/>
      <c r="AI77"/>
      <c r="AJ77"/>
      <c r="AK77"/>
    </row>
    <row r="78" spans="1:37" ht="16.5" thickBot="1">
      <c r="A78" s="367"/>
      <c r="B78" s="52"/>
      <c r="C78" s="697"/>
      <c r="D78" s="348"/>
      <c r="E78" s="351"/>
      <c r="F78" s="778"/>
      <c r="G78" s="52"/>
      <c r="H78" s="350"/>
      <c r="I78" s="52"/>
      <c r="J78" s="51"/>
      <c r="K78" s="43"/>
      <c r="L78" s="51">
        <f t="shared" si="5"/>
        <v>0</v>
      </c>
      <c r="M78" s="43"/>
      <c r="N78" s="51">
        <f t="shared" si="6"/>
        <v>0</v>
      </c>
      <c r="O78" s="43"/>
      <c r="P78" s="51">
        <f t="shared" si="7"/>
        <v>0</v>
      </c>
      <c r="Q78" s="337"/>
      <c r="R78" s="51">
        <f t="shared" si="8"/>
        <v>0</v>
      </c>
      <c r="S78" s="345"/>
      <c r="T78" s="51">
        <f t="shared" si="9"/>
        <v>0</v>
      </c>
      <c r="U78"/>
      <c r="V78"/>
      <c r="W78"/>
      <c r="X78"/>
      <c r="Y78"/>
      <c r="Z78"/>
      <c r="AA78"/>
      <c r="AB78"/>
      <c r="AC78"/>
      <c r="AD78"/>
      <c r="AE78"/>
      <c r="AF78"/>
      <c r="AG78"/>
      <c r="AH78"/>
      <c r="AI78"/>
      <c r="AJ78"/>
      <c r="AK78"/>
    </row>
    <row r="79" spans="1:37" ht="16.5" thickBot="1">
      <c r="A79" s="367"/>
      <c r="B79" s="52"/>
      <c r="C79" s="697"/>
      <c r="D79" s="348"/>
      <c r="E79" s="351"/>
      <c r="F79" s="778"/>
      <c r="G79" s="52"/>
      <c r="H79" s="350"/>
      <c r="I79" s="52"/>
      <c r="J79" s="51"/>
      <c r="K79" s="43"/>
      <c r="L79" s="51">
        <f t="shared" si="5"/>
        <v>0</v>
      </c>
      <c r="M79" s="43"/>
      <c r="N79" s="51">
        <f t="shared" si="6"/>
        <v>0</v>
      </c>
      <c r="O79" s="43"/>
      <c r="P79" s="51">
        <f t="shared" si="7"/>
        <v>0</v>
      </c>
      <c r="Q79" s="337"/>
      <c r="R79" s="51">
        <f t="shared" si="8"/>
        <v>0</v>
      </c>
      <c r="S79" s="345"/>
      <c r="T79" s="51">
        <f t="shared" si="9"/>
        <v>0</v>
      </c>
      <c r="U79"/>
      <c r="V79"/>
      <c r="W79"/>
      <c r="X79"/>
      <c r="Y79"/>
      <c r="Z79"/>
      <c r="AA79"/>
      <c r="AB79"/>
      <c r="AC79"/>
      <c r="AD79"/>
      <c r="AE79"/>
      <c r="AF79"/>
      <c r="AG79"/>
      <c r="AH79"/>
      <c r="AI79"/>
      <c r="AJ79"/>
      <c r="AK79"/>
    </row>
    <row r="80" spans="1:37" ht="16.5" thickBot="1">
      <c r="A80" s="367"/>
      <c r="B80" s="52"/>
      <c r="C80" s="697"/>
      <c r="D80" s="348"/>
      <c r="E80" s="351"/>
      <c r="F80" s="778"/>
      <c r="G80" s="52"/>
      <c r="H80" s="350"/>
      <c r="I80" s="52"/>
      <c r="J80" s="51"/>
      <c r="K80" s="43"/>
      <c r="L80" s="51">
        <f t="shared" si="5"/>
        <v>0</v>
      </c>
      <c r="M80" s="43"/>
      <c r="N80" s="51">
        <f t="shared" si="6"/>
        <v>0</v>
      </c>
      <c r="O80" s="43"/>
      <c r="P80" s="51">
        <f t="shared" si="7"/>
        <v>0</v>
      </c>
      <c r="Q80" s="337"/>
      <c r="R80" s="51">
        <f t="shared" si="8"/>
        <v>0</v>
      </c>
      <c r="S80" s="345"/>
      <c r="T80" s="51">
        <f t="shared" si="9"/>
        <v>0</v>
      </c>
      <c r="U80"/>
      <c r="V80"/>
      <c r="W80"/>
      <c r="X80"/>
      <c r="Y80"/>
      <c r="Z80"/>
      <c r="AA80"/>
      <c r="AB80"/>
      <c r="AC80"/>
      <c r="AD80"/>
      <c r="AE80"/>
      <c r="AF80"/>
      <c r="AG80"/>
      <c r="AH80"/>
      <c r="AI80"/>
      <c r="AJ80"/>
      <c r="AK80"/>
    </row>
    <row r="81" spans="1:20" ht="16.5" thickBot="1">
      <c r="A81" s="275"/>
      <c r="C81" s="697"/>
      <c r="D81" s="348"/>
      <c r="E81" s="351"/>
      <c r="F81" s="778"/>
      <c r="H81" s="350"/>
      <c r="J81" s="51"/>
      <c r="L81" s="51">
        <f t="shared" si="5"/>
        <v>0</v>
      </c>
      <c r="N81" s="51">
        <f t="shared" si="6"/>
        <v>0</v>
      </c>
      <c r="P81" s="51">
        <f t="shared" si="7"/>
        <v>0</v>
      </c>
      <c r="R81" s="51">
        <f t="shared" si="8"/>
        <v>0</v>
      </c>
      <c r="T81" s="51">
        <f t="shared" si="9"/>
        <v>0</v>
      </c>
    </row>
    <row r="82" spans="1:37" ht="16.5" thickBot="1">
      <c r="A82" s="871" t="s">
        <v>216</v>
      </c>
      <c r="B82" s="52"/>
      <c r="C82" s="491" t="s">
        <v>208</v>
      </c>
      <c r="D82" s="492" t="s">
        <v>208</v>
      </c>
      <c r="E82" s="492" t="s">
        <v>208</v>
      </c>
      <c r="F82" s="492" t="s">
        <v>208</v>
      </c>
      <c r="G82" s="52"/>
      <c r="H82" s="350"/>
      <c r="I82" s="52"/>
      <c r="J82" s="321">
        <v>0</v>
      </c>
      <c r="K82" s="43"/>
      <c r="L82" s="321">
        <v>0</v>
      </c>
      <c r="M82" s="43"/>
      <c r="N82" s="321">
        <v>0</v>
      </c>
      <c r="O82" s="43"/>
      <c r="P82" s="321">
        <v>0</v>
      </c>
      <c r="Q82" s="337"/>
      <c r="R82" s="321">
        <v>0</v>
      </c>
      <c r="S82" s="345"/>
      <c r="T82" s="321">
        <v>0</v>
      </c>
      <c r="U82"/>
      <c r="V82"/>
      <c r="W82"/>
      <c r="X82"/>
      <c r="Y82"/>
      <c r="Z82"/>
      <c r="AA82"/>
      <c r="AB82"/>
      <c r="AC82"/>
      <c r="AD82"/>
      <c r="AE82"/>
      <c r="AF82"/>
      <c r="AG82"/>
      <c r="AH82"/>
      <c r="AI82"/>
      <c r="AJ82"/>
      <c r="AK82"/>
    </row>
    <row r="83" spans="1:37" ht="16.5" thickBot="1">
      <c r="A83" s="713" t="s">
        <v>15</v>
      </c>
      <c r="B83" s="52"/>
      <c r="C83" s="697" t="s">
        <v>180</v>
      </c>
      <c r="D83" s="348">
        <v>125</v>
      </c>
      <c r="E83" s="351"/>
      <c r="F83" s="778"/>
      <c r="G83" s="52"/>
      <c r="H83" s="350"/>
      <c r="I83" s="52"/>
      <c r="J83" s="51"/>
      <c r="K83" s="43"/>
      <c r="L83" s="51">
        <f>IF($C83="Per Employee",$L$175*$D83,IF($C83="% of Salaries",$E83*$L$176,IF($C83="Fixed Per Year",$D83,0)))</f>
        <v>1812.5</v>
      </c>
      <c r="M83" s="43"/>
      <c r="N83" s="51">
        <f>(IF($C83="Per Employee",$N$175*$D83,IF($C83="% of Salaries",$E83*$N$176,IF($C83="Fixed Per Year",$D83)))*(1+$F83)^1)-L83</f>
        <v>677.5</v>
      </c>
      <c r="O83" s="43"/>
      <c r="P83" s="51">
        <f>(IF($C83="Per Employee",$P$175*$D83,IF($C83="% of Salaries",$E83*$P$176,IF($C83="Fixed Per Year",$D83)))*(1+$F83)^2)-N83-L83</f>
        <v>531.25</v>
      </c>
      <c r="Q83" s="337"/>
      <c r="R83" s="51">
        <v>0</v>
      </c>
      <c r="S83" s="345"/>
      <c r="T83" s="51">
        <v>0</v>
      </c>
      <c r="U83"/>
      <c r="V83"/>
      <c r="W83"/>
      <c r="X83"/>
      <c r="Y83"/>
      <c r="Z83"/>
      <c r="AA83"/>
      <c r="AB83"/>
      <c r="AC83"/>
      <c r="AD83"/>
      <c r="AE83"/>
      <c r="AF83"/>
      <c r="AG83"/>
      <c r="AH83"/>
      <c r="AI83"/>
      <c r="AJ83"/>
      <c r="AK83"/>
    </row>
    <row r="84" spans="1:37" ht="16.5" thickBot="1">
      <c r="A84" s="712" t="s">
        <v>16</v>
      </c>
      <c r="B84" s="52"/>
      <c r="C84" s="697" t="s">
        <v>180</v>
      </c>
      <c r="D84" s="348">
        <v>500</v>
      </c>
      <c r="E84" s="351"/>
      <c r="F84" s="778"/>
      <c r="G84" s="52"/>
      <c r="H84" s="350"/>
      <c r="I84" s="52"/>
      <c r="J84" s="51"/>
      <c r="K84" s="43"/>
      <c r="L84" s="51">
        <f aca="true" t="shared" si="10" ref="L84:L90">IF($C84="Per Employee",$L$175*$D84,IF($C84="% of Salaries",$E84*$L$176,IF($C84="Fixed Per Year",$D84,0)))</f>
        <v>7250</v>
      </c>
      <c r="M84" s="43"/>
      <c r="N84" s="51">
        <f t="shared" si="6"/>
        <v>9960</v>
      </c>
      <c r="O84" s="43"/>
      <c r="P84" s="51">
        <f t="shared" si="7"/>
        <v>12085</v>
      </c>
      <c r="Q84" s="337"/>
      <c r="R84" s="51">
        <f t="shared" si="8"/>
        <v>12085</v>
      </c>
      <c r="S84" s="345"/>
      <c r="T84" s="51">
        <f t="shared" si="9"/>
        <v>12085</v>
      </c>
      <c r="U84"/>
      <c r="V84"/>
      <c r="W84"/>
      <c r="X84"/>
      <c r="Y84"/>
      <c r="Z84"/>
      <c r="AA84"/>
      <c r="AB84"/>
      <c r="AC84"/>
      <c r="AD84"/>
      <c r="AE84"/>
      <c r="AF84"/>
      <c r="AG84"/>
      <c r="AH84"/>
      <c r="AI84"/>
      <c r="AJ84"/>
      <c r="AK84"/>
    </row>
    <row r="85" spans="1:37" ht="16.5" thickBot="1">
      <c r="A85" s="712" t="s">
        <v>217</v>
      </c>
      <c r="B85" s="52"/>
      <c r="C85" s="697" t="s">
        <v>180</v>
      </c>
      <c r="D85" s="348">
        <v>5</v>
      </c>
      <c r="E85" s="351"/>
      <c r="F85" s="778"/>
      <c r="G85" s="52"/>
      <c r="H85" s="350"/>
      <c r="I85" s="52"/>
      <c r="J85" s="51"/>
      <c r="K85" s="43"/>
      <c r="L85" s="51">
        <f t="shared" si="10"/>
        <v>72.5</v>
      </c>
      <c r="M85" s="43"/>
      <c r="N85" s="51">
        <f t="shared" si="6"/>
        <v>99.60000000000001</v>
      </c>
      <c r="O85" s="43"/>
      <c r="P85" s="51">
        <f t="shared" si="7"/>
        <v>120.85000000000001</v>
      </c>
      <c r="Q85" s="337"/>
      <c r="R85" s="51">
        <f t="shared" si="8"/>
        <v>120.85000000000001</v>
      </c>
      <c r="S85" s="345"/>
      <c r="T85" s="51">
        <f t="shared" si="9"/>
        <v>120.85000000000001</v>
      </c>
      <c r="U85"/>
      <c r="V85"/>
      <c r="W85"/>
      <c r="X85"/>
      <c r="Y85"/>
      <c r="Z85"/>
      <c r="AA85"/>
      <c r="AB85"/>
      <c r="AC85"/>
      <c r="AD85"/>
      <c r="AE85"/>
      <c r="AF85"/>
      <c r="AG85"/>
      <c r="AH85"/>
      <c r="AI85"/>
      <c r="AJ85"/>
      <c r="AK85"/>
    </row>
    <row r="86" spans="1:37" ht="16.5" thickBot="1">
      <c r="A86" s="712" t="s">
        <v>218</v>
      </c>
      <c r="B86" s="52"/>
      <c r="C86" s="697" t="s">
        <v>181</v>
      </c>
      <c r="D86" s="348"/>
      <c r="E86" s="351">
        <v>0.02</v>
      </c>
      <c r="F86" s="778"/>
      <c r="G86" s="52"/>
      <c r="H86" s="350"/>
      <c r="I86" s="52"/>
      <c r="J86" s="51"/>
      <c r="K86" s="43"/>
      <c r="L86" s="51">
        <f t="shared" si="10"/>
        <v>14227</v>
      </c>
      <c r="M86" s="43"/>
      <c r="N86" s="51">
        <f t="shared" si="6"/>
        <v>19464.94</v>
      </c>
      <c r="O86" s="43"/>
      <c r="P86" s="51">
        <f t="shared" si="7"/>
        <v>23947.6957</v>
      </c>
      <c r="Q86" s="337"/>
      <c r="R86" s="51">
        <f t="shared" si="8"/>
        <v>24666.126571</v>
      </c>
      <c r="S86" s="345"/>
      <c r="T86" s="51">
        <f t="shared" si="9"/>
        <v>25406.11036813001</v>
      </c>
      <c r="U86"/>
      <c r="V86"/>
      <c r="W86"/>
      <c r="X86"/>
      <c r="Y86"/>
      <c r="Z86"/>
      <c r="AA86"/>
      <c r="AB86"/>
      <c r="AC86"/>
      <c r="AD86"/>
      <c r="AE86"/>
      <c r="AF86"/>
      <c r="AG86"/>
      <c r="AH86"/>
      <c r="AI86"/>
      <c r="AJ86"/>
      <c r="AK86"/>
    </row>
    <row r="87" spans="1:37" ht="16.5" thickBot="1">
      <c r="A87" s="275"/>
      <c r="B87" s="52"/>
      <c r="C87" s="697"/>
      <c r="D87" s="348"/>
      <c r="E87" s="351"/>
      <c r="F87" s="778"/>
      <c r="G87" s="52"/>
      <c r="H87" s="350"/>
      <c r="I87" s="52"/>
      <c r="J87" s="51"/>
      <c r="K87" s="43"/>
      <c r="L87" s="51">
        <f t="shared" si="10"/>
        <v>0</v>
      </c>
      <c r="M87" s="43"/>
      <c r="N87" s="51">
        <f t="shared" si="6"/>
        <v>0</v>
      </c>
      <c r="O87" s="43"/>
      <c r="P87" s="51">
        <f t="shared" si="7"/>
        <v>0</v>
      </c>
      <c r="Q87" s="337"/>
      <c r="R87" s="51">
        <f t="shared" si="8"/>
        <v>0</v>
      </c>
      <c r="S87" s="345"/>
      <c r="T87" s="51">
        <f t="shared" si="9"/>
        <v>0</v>
      </c>
      <c r="U87"/>
      <c r="V87"/>
      <c r="W87"/>
      <c r="X87"/>
      <c r="Y87"/>
      <c r="Z87"/>
      <c r="AA87"/>
      <c r="AB87"/>
      <c r="AC87"/>
      <c r="AD87"/>
      <c r="AE87"/>
      <c r="AF87"/>
      <c r="AG87"/>
      <c r="AH87"/>
      <c r="AI87"/>
      <c r="AJ87"/>
      <c r="AK87"/>
    </row>
    <row r="88" spans="1:37" ht="16.5" thickBot="1">
      <c r="A88" s="275"/>
      <c r="B88" s="52"/>
      <c r="C88" s="697"/>
      <c r="D88" s="348"/>
      <c r="E88" s="351"/>
      <c r="F88" s="778"/>
      <c r="G88" s="52"/>
      <c r="H88" s="350"/>
      <c r="I88" s="52"/>
      <c r="J88" s="51"/>
      <c r="K88" s="43"/>
      <c r="L88" s="51">
        <f t="shared" si="10"/>
        <v>0</v>
      </c>
      <c r="M88" s="43"/>
      <c r="N88" s="51">
        <f t="shared" si="6"/>
        <v>0</v>
      </c>
      <c r="O88" s="43"/>
      <c r="P88" s="51">
        <f t="shared" si="7"/>
        <v>0</v>
      </c>
      <c r="Q88" s="337"/>
      <c r="R88" s="51">
        <f t="shared" si="8"/>
        <v>0</v>
      </c>
      <c r="S88" s="345"/>
      <c r="T88" s="51">
        <f t="shared" si="9"/>
        <v>0</v>
      </c>
      <c r="U88"/>
      <c r="V88"/>
      <c r="W88"/>
      <c r="X88"/>
      <c r="Y88"/>
      <c r="Z88"/>
      <c r="AA88"/>
      <c r="AB88"/>
      <c r="AC88"/>
      <c r="AD88"/>
      <c r="AE88"/>
      <c r="AF88"/>
      <c r="AG88"/>
      <c r="AH88"/>
      <c r="AI88"/>
      <c r="AJ88"/>
      <c r="AK88"/>
    </row>
    <row r="89" spans="1:37" ht="16.5" thickBot="1">
      <c r="A89" s="275"/>
      <c r="B89" s="52"/>
      <c r="C89" s="697"/>
      <c r="D89" s="348"/>
      <c r="E89" s="351"/>
      <c r="F89" s="778"/>
      <c r="G89" s="52"/>
      <c r="H89" s="350"/>
      <c r="I89" s="52"/>
      <c r="J89" s="51"/>
      <c r="K89" s="43"/>
      <c r="L89" s="51">
        <f t="shared" si="10"/>
        <v>0</v>
      </c>
      <c r="M89" s="43"/>
      <c r="N89" s="51">
        <f t="shared" si="6"/>
        <v>0</v>
      </c>
      <c r="O89" s="43"/>
      <c r="P89" s="51">
        <f t="shared" si="7"/>
        <v>0</v>
      </c>
      <c r="Q89" s="337"/>
      <c r="R89" s="51">
        <f t="shared" si="8"/>
        <v>0</v>
      </c>
      <c r="S89" s="345"/>
      <c r="T89" s="51">
        <f t="shared" si="9"/>
        <v>0</v>
      </c>
      <c r="U89"/>
      <c r="V89"/>
      <c r="W89"/>
      <c r="X89"/>
      <c r="Y89"/>
      <c r="Z89"/>
      <c r="AA89"/>
      <c r="AB89"/>
      <c r="AC89"/>
      <c r="AD89"/>
      <c r="AE89"/>
      <c r="AF89"/>
      <c r="AG89"/>
      <c r="AH89"/>
      <c r="AI89"/>
      <c r="AJ89"/>
      <c r="AK89"/>
    </row>
    <row r="90" spans="1:37" ht="16.5" thickBot="1">
      <c r="A90" s="275"/>
      <c r="B90" s="52"/>
      <c r="C90" s="697"/>
      <c r="D90" s="348"/>
      <c r="E90" s="351"/>
      <c r="F90" s="778"/>
      <c r="G90" s="52"/>
      <c r="H90" s="350"/>
      <c r="I90" s="52"/>
      <c r="J90" s="51"/>
      <c r="K90" s="43"/>
      <c r="L90" s="51">
        <f t="shared" si="10"/>
        <v>0</v>
      </c>
      <c r="M90" s="43"/>
      <c r="N90" s="51">
        <f t="shared" si="6"/>
        <v>0</v>
      </c>
      <c r="O90" s="43"/>
      <c r="P90" s="51">
        <f t="shared" si="7"/>
        <v>0</v>
      </c>
      <c r="Q90" s="337"/>
      <c r="R90" s="51">
        <f t="shared" si="8"/>
        <v>0</v>
      </c>
      <c r="S90" s="345"/>
      <c r="T90" s="51">
        <f t="shared" si="9"/>
        <v>0</v>
      </c>
      <c r="U90"/>
      <c r="V90"/>
      <c r="W90"/>
      <c r="X90"/>
      <c r="Y90"/>
      <c r="Z90"/>
      <c r="AA90"/>
      <c r="AB90"/>
      <c r="AC90"/>
      <c r="AD90"/>
      <c r="AE90"/>
      <c r="AF90"/>
      <c r="AG90"/>
      <c r="AH90"/>
      <c r="AI90"/>
      <c r="AJ90"/>
      <c r="AK90"/>
    </row>
    <row r="91" spans="1:37" ht="16.5" thickBot="1">
      <c r="A91" s="40"/>
      <c r="B91" s="42"/>
      <c r="C91" s="302"/>
      <c r="D91" s="302"/>
      <c r="E91" s="302"/>
      <c r="F91" s="302"/>
      <c r="G91" s="42"/>
      <c r="H91" s="288"/>
      <c r="I91" s="42"/>
      <c r="J91" s="47"/>
      <c r="K91" s="39"/>
      <c r="L91" s="47"/>
      <c r="M91" s="39"/>
      <c r="N91" s="47"/>
      <c r="O91" s="39"/>
      <c r="P91" s="47"/>
      <c r="Q91" s="336"/>
      <c r="R91" s="48"/>
      <c r="S91" s="345"/>
      <c r="T91" s="48"/>
      <c r="U91"/>
      <c r="V91"/>
      <c r="W91"/>
      <c r="X91"/>
      <c r="Y91"/>
      <c r="Z91"/>
      <c r="AA91"/>
      <c r="AB91"/>
      <c r="AC91"/>
      <c r="AD91"/>
      <c r="AE91"/>
      <c r="AF91"/>
      <c r="AG91"/>
      <c r="AH91"/>
      <c r="AI91"/>
      <c r="AJ91"/>
      <c r="AK91"/>
    </row>
    <row r="92" spans="2:37" ht="16.5" thickBot="1">
      <c r="B92" s="38"/>
      <c r="C92" s="301"/>
      <c r="D92" s="301"/>
      <c r="E92" s="301"/>
      <c r="F92" s="301"/>
      <c r="G92" s="38"/>
      <c r="H92" s="290" t="s">
        <v>174</v>
      </c>
      <c r="I92" s="38"/>
      <c r="J92" s="486">
        <f>SUM(J69:J90)</f>
        <v>48711.625</v>
      </c>
      <c r="K92" s="362"/>
      <c r="L92" s="486">
        <f>SUM(L69:L90)</f>
        <v>959142.9249999999</v>
      </c>
      <c r="M92" s="362"/>
      <c r="N92" s="486">
        <f>SUM(N69:N90)</f>
        <v>1310508.4685</v>
      </c>
      <c r="O92" s="362"/>
      <c r="P92" s="486">
        <f>SUM(P69:P90)</f>
        <v>1611844.4803674999</v>
      </c>
      <c r="Q92" s="363"/>
      <c r="R92" s="486">
        <f>SUM(R69:R90)</f>
        <v>1659286.4517785253</v>
      </c>
      <c r="S92" s="359"/>
      <c r="T92" s="486">
        <f>SUM(T69:T90)</f>
        <v>1708698.8698318815</v>
      </c>
      <c r="U92"/>
      <c r="V92"/>
      <c r="W92"/>
      <c r="X92"/>
      <c r="Y92"/>
      <c r="Z92"/>
      <c r="AA92"/>
      <c r="AB92"/>
      <c r="AC92"/>
      <c r="AD92"/>
      <c r="AE92"/>
      <c r="AF92"/>
      <c r="AG92"/>
      <c r="AH92"/>
      <c r="AI92"/>
      <c r="AJ92"/>
      <c r="AK92"/>
    </row>
    <row r="93" spans="1:37" ht="16.5" thickBot="1">
      <c r="A93" s="49"/>
      <c r="B93" s="50"/>
      <c r="C93" s="303"/>
      <c r="D93" s="303"/>
      <c r="E93" s="303"/>
      <c r="F93" s="303"/>
      <c r="G93" s="50"/>
      <c r="H93" s="288"/>
      <c r="I93" s="50"/>
      <c r="J93" s="44"/>
      <c r="K93" s="43"/>
      <c r="L93" s="44"/>
      <c r="M93" s="43"/>
      <c r="N93" s="44"/>
      <c r="O93" s="43"/>
      <c r="P93" s="44"/>
      <c r="Q93" s="337"/>
      <c r="R93" s="34"/>
      <c r="S93" s="346"/>
      <c r="T93" s="34"/>
      <c r="U93"/>
      <c r="V93"/>
      <c r="W93"/>
      <c r="X93"/>
      <c r="Y93"/>
      <c r="Z93"/>
      <c r="AA93"/>
      <c r="AB93"/>
      <c r="AC93"/>
      <c r="AD93"/>
      <c r="AE93"/>
      <c r="AF93"/>
      <c r="AG93"/>
      <c r="AH93"/>
      <c r="AI93"/>
      <c r="AJ93"/>
      <c r="AK93"/>
    </row>
    <row r="94" spans="1:37" ht="18.75" thickBot="1">
      <c r="A94" s="289" t="s">
        <v>175</v>
      </c>
      <c r="B94" s="38"/>
      <c r="C94" s="301"/>
      <c r="D94" s="301"/>
      <c r="E94" s="301"/>
      <c r="F94" s="301"/>
      <c r="G94" s="38"/>
      <c r="H94" s="288"/>
      <c r="I94" s="38"/>
      <c r="J94" s="37"/>
      <c r="K94" s="39"/>
      <c r="L94" s="37"/>
      <c r="M94" s="39"/>
      <c r="N94" s="37"/>
      <c r="O94" s="39"/>
      <c r="P94" s="37"/>
      <c r="Q94" s="336"/>
      <c r="R94" s="32"/>
      <c r="S94" s="345"/>
      <c r="T94" s="32"/>
      <c r="U94"/>
      <c r="V94"/>
      <c r="W94"/>
      <c r="X94"/>
      <c r="Y94"/>
      <c r="Z94"/>
      <c r="AA94"/>
      <c r="AB94"/>
      <c r="AC94"/>
      <c r="AD94"/>
      <c r="AE94"/>
      <c r="AF94"/>
      <c r="AG94"/>
      <c r="AH94"/>
      <c r="AI94"/>
      <c r="AJ94"/>
      <c r="AK94"/>
    </row>
    <row r="95" spans="1:37" ht="16.5" thickBot="1">
      <c r="A95" s="718" t="s">
        <v>230</v>
      </c>
      <c r="B95" s="42"/>
      <c r="C95" s="696" t="s">
        <v>210</v>
      </c>
      <c r="D95" s="348">
        <v>500</v>
      </c>
      <c r="E95" s="490" t="s">
        <v>208</v>
      </c>
      <c r="F95" s="351"/>
      <c r="G95" s="42"/>
      <c r="H95" s="350"/>
      <c r="I95" s="42"/>
      <c r="J95" s="51"/>
      <c r="K95" s="43"/>
      <c r="L95" s="51">
        <f>IF($C95="Per Employee",$L$175*$D95,IF($C95="Per Pupil",$D95*$L$177,IF($C95="Fixed Per Year",$D95,0)))</f>
        <v>500</v>
      </c>
      <c r="M95" s="43"/>
      <c r="N95" s="51">
        <f>IF($C95="Per Employee",$N$175*$D95,IF($C95="Per Pupil",$D95*$N$177,IF($C95="Fixed Per Year",$D95)))*(1+$F95)^1</f>
        <v>500</v>
      </c>
      <c r="O95" s="43"/>
      <c r="P95" s="51">
        <f>IF($C95="Per Employee",$P$175*$D95,IF($C95="Per Pupil",$D95*$P$177,IF($C95="Fixed Per Year",$D95)))*(1+$F95)^2</f>
        <v>500</v>
      </c>
      <c r="Q95" s="337"/>
      <c r="R95" s="51">
        <f>IF($C95="Per Employee",$R$175*$D95,IF($C95="Per Pupil",$D95*$R$177,IF($C95="Fixed Per Year",$D95)))*(1+$F95)^3</f>
        <v>500</v>
      </c>
      <c r="S95" s="345"/>
      <c r="T95" s="51">
        <f>IF($C95="Per Employee",$T$175*$D95,IF($C95="Per Pupil",$D95*$T$177,IF($C95="Fixed Per Year",$D95)))*(1+$F95)^4</f>
        <v>500</v>
      </c>
      <c r="U95"/>
      <c r="V95"/>
      <c r="W95"/>
      <c r="X95"/>
      <c r="Y95"/>
      <c r="Z95"/>
      <c r="AA95"/>
      <c r="AB95"/>
      <c r="AC95"/>
      <c r="AD95"/>
      <c r="AE95"/>
      <c r="AF95"/>
      <c r="AG95"/>
      <c r="AH95"/>
      <c r="AI95"/>
      <c r="AJ95"/>
      <c r="AK95"/>
    </row>
    <row r="96" spans="1:37" ht="16.5" thickBot="1">
      <c r="A96" s="719" t="s">
        <v>222</v>
      </c>
      <c r="B96" s="42"/>
      <c r="C96" s="696" t="s">
        <v>7</v>
      </c>
      <c r="D96" s="348"/>
      <c r="E96" s="490" t="s">
        <v>208</v>
      </c>
      <c r="F96" s="351"/>
      <c r="G96" s="42"/>
      <c r="H96" s="349" t="s">
        <v>620</v>
      </c>
      <c r="I96" s="42"/>
      <c r="J96" s="51">
        <v>5000</v>
      </c>
      <c r="K96" s="43"/>
      <c r="L96" s="51">
        <v>5000</v>
      </c>
      <c r="M96" s="43"/>
      <c r="N96" s="51">
        <f aca="true" t="shared" si="11" ref="N96:N114">IF($C96="Per Employee",$N$175*$D96,IF($C96="Per Pupil",$D96*$N$177,IF($C96="Fixed Per Year",$D96)))*(1+$F96)^1</f>
        <v>0</v>
      </c>
      <c r="O96" s="43"/>
      <c r="P96" s="51">
        <v>5000</v>
      </c>
      <c r="Q96" s="337"/>
      <c r="R96" s="51">
        <v>5000</v>
      </c>
      <c r="S96" s="345"/>
      <c r="T96" s="51">
        <f aca="true" t="shared" si="12" ref="T96:T114">IF($C96="Per Employee",$T$175*$D96,IF($C96="Per Pupil",$D96*$T$177,IF($C96="Fixed Per Year",$D96)))*(1+$F96)^4</f>
        <v>0</v>
      </c>
      <c r="U96"/>
      <c r="V96"/>
      <c r="W96"/>
      <c r="X96"/>
      <c r="Y96"/>
      <c r="Z96"/>
      <c r="AA96"/>
      <c r="AB96"/>
      <c r="AC96"/>
      <c r="AD96"/>
      <c r="AE96"/>
      <c r="AF96"/>
      <c r="AG96"/>
      <c r="AH96"/>
      <c r="AI96"/>
      <c r="AJ96"/>
      <c r="AK96"/>
    </row>
    <row r="97" spans="1:37" ht="16.5" thickBot="1">
      <c r="A97" s="719" t="s">
        <v>228</v>
      </c>
      <c r="B97" s="42"/>
      <c r="C97" s="696" t="s">
        <v>210</v>
      </c>
      <c r="D97" s="348">
        <v>12000</v>
      </c>
      <c r="E97" s="490" t="s">
        <v>208</v>
      </c>
      <c r="F97" s="351"/>
      <c r="G97" s="42"/>
      <c r="H97" s="350"/>
      <c r="I97" s="42"/>
      <c r="J97" s="51">
        <f>+D97/12*3</f>
        <v>3000</v>
      </c>
      <c r="K97" s="43"/>
      <c r="L97" s="51">
        <f aca="true" t="shared" si="13" ref="L97:L114">IF($C97="Per Employee",$L$175*$D97,IF($C97="Per Pupil",$D97*$L$177,IF($C97="Fixed Per Year",$D97,0)))</f>
        <v>12000</v>
      </c>
      <c r="M97" s="43"/>
      <c r="N97" s="51">
        <f t="shared" si="11"/>
        <v>12000</v>
      </c>
      <c r="O97" s="43"/>
      <c r="P97" s="51">
        <f aca="true" t="shared" si="14" ref="P97:P114">IF($C97="Per Employee",$P$175*$D97,IF($C97="Per Pupil",$D97*$P$177,IF($C97="Fixed Per Year",$D97)))*(1+$F97)^2</f>
        <v>12000</v>
      </c>
      <c r="Q97" s="337"/>
      <c r="R97" s="51">
        <f aca="true" t="shared" si="15" ref="R97:R114">IF($C97="Per Employee",$R$175*$D97,IF($C97="Per Pupil",$D97*$R$177,IF($C97="Fixed Per Year",$D97)))*(1+$F97)^3</f>
        <v>12000</v>
      </c>
      <c r="S97" s="345"/>
      <c r="T97" s="51">
        <f t="shared" si="12"/>
        <v>12000</v>
      </c>
      <c r="U97"/>
      <c r="V97"/>
      <c r="W97"/>
      <c r="X97"/>
      <c r="Y97"/>
      <c r="Z97"/>
      <c r="AA97"/>
      <c r="AB97"/>
      <c r="AC97"/>
      <c r="AD97"/>
      <c r="AE97"/>
      <c r="AF97"/>
      <c r="AG97"/>
      <c r="AH97"/>
      <c r="AI97"/>
      <c r="AJ97"/>
      <c r="AK97"/>
    </row>
    <row r="98" spans="1:37" ht="16.5" thickBot="1">
      <c r="A98" s="719" t="s">
        <v>229</v>
      </c>
      <c r="B98" s="42"/>
      <c r="C98" s="696" t="s">
        <v>7</v>
      </c>
      <c r="D98" s="348"/>
      <c r="E98" s="490" t="s">
        <v>208</v>
      </c>
      <c r="F98" s="351"/>
      <c r="G98" s="42"/>
      <c r="H98" s="350"/>
      <c r="I98" s="42"/>
      <c r="J98" s="51"/>
      <c r="K98" s="43"/>
      <c r="L98" s="51">
        <v>10000</v>
      </c>
      <c r="M98" s="43"/>
      <c r="N98" s="51">
        <f t="shared" si="11"/>
        <v>0</v>
      </c>
      <c r="O98" s="43"/>
      <c r="P98" s="51">
        <v>5000</v>
      </c>
      <c r="Q98" s="337"/>
      <c r="R98" s="51">
        <v>10000</v>
      </c>
      <c r="S98" s="345"/>
      <c r="T98" s="51">
        <f t="shared" si="12"/>
        <v>0</v>
      </c>
      <c r="U98"/>
      <c r="V98"/>
      <c r="W98"/>
      <c r="X98"/>
      <c r="Y98"/>
      <c r="Z98"/>
      <c r="AA98"/>
      <c r="AB98"/>
      <c r="AC98"/>
      <c r="AD98"/>
      <c r="AE98"/>
      <c r="AF98"/>
      <c r="AG98"/>
      <c r="AH98"/>
      <c r="AI98"/>
      <c r="AJ98"/>
      <c r="AK98"/>
    </row>
    <row r="99" spans="1:37" ht="16.5" thickBot="1">
      <c r="A99" s="719" t="s">
        <v>231</v>
      </c>
      <c r="B99" s="42"/>
      <c r="C99" s="696" t="s">
        <v>210</v>
      </c>
      <c r="D99" s="348">
        <v>30000</v>
      </c>
      <c r="E99" s="490" t="s">
        <v>208</v>
      </c>
      <c r="F99" s="351">
        <v>0.03</v>
      </c>
      <c r="G99" s="42"/>
      <c r="H99" s="350" t="s">
        <v>621</v>
      </c>
      <c r="I99" s="42"/>
      <c r="J99" s="51"/>
      <c r="K99" s="43"/>
      <c r="L99" s="51">
        <f t="shared" si="13"/>
        <v>30000</v>
      </c>
      <c r="M99" s="43"/>
      <c r="N99" s="51">
        <f t="shared" si="11"/>
        <v>30900</v>
      </c>
      <c r="O99" s="43"/>
      <c r="P99" s="51">
        <f t="shared" si="14"/>
        <v>31827</v>
      </c>
      <c r="Q99" s="337"/>
      <c r="R99" s="51">
        <f t="shared" si="15"/>
        <v>32781.81</v>
      </c>
      <c r="S99" s="345"/>
      <c r="T99" s="51">
        <f t="shared" si="12"/>
        <v>33765.264299999995</v>
      </c>
      <c r="U99"/>
      <c r="V99"/>
      <c r="W99"/>
      <c r="X99"/>
      <c r="Y99"/>
      <c r="Z99"/>
      <c r="AA99"/>
      <c r="AB99"/>
      <c r="AC99"/>
      <c r="AD99"/>
      <c r="AE99"/>
      <c r="AF99"/>
      <c r="AG99"/>
      <c r="AH99"/>
      <c r="AI99"/>
      <c r="AJ99"/>
      <c r="AK99"/>
    </row>
    <row r="100" spans="1:37" ht="16.5" thickBot="1">
      <c r="A100" s="719" t="s">
        <v>233</v>
      </c>
      <c r="B100" s="42"/>
      <c r="C100" s="696" t="s">
        <v>210</v>
      </c>
      <c r="D100" s="348">
        <v>10000</v>
      </c>
      <c r="E100" s="490" t="s">
        <v>208</v>
      </c>
      <c r="F100" s="351">
        <v>0.03</v>
      </c>
      <c r="G100" s="42"/>
      <c r="H100" s="350" t="s">
        <v>621</v>
      </c>
      <c r="I100" s="42"/>
      <c r="J100" s="51"/>
      <c r="K100" s="43"/>
      <c r="L100" s="51">
        <f t="shared" si="13"/>
        <v>10000</v>
      </c>
      <c r="M100" s="43"/>
      <c r="N100" s="51">
        <f t="shared" si="11"/>
        <v>10300</v>
      </c>
      <c r="O100" s="43"/>
      <c r="P100" s="51">
        <f t="shared" si="14"/>
        <v>10609</v>
      </c>
      <c r="Q100" s="337"/>
      <c r="R100" s="51">
        <f t="shared" si="15"/>
        <v>10927.27</v>
      </c>
      <c r="S100" s="345"/>
      <c r="T100" s="51">
        <f t="shared" si="12"/>
        <v>11255.088099999999</v>
      </c>
      <c r="U100"/>
      <c r="V100"/>
      <c r="W100"/>
      <c r="X100"/>
      <c r="Y100"/>
      <c r="Z100"/>
      <c r="AA100"/>
      <c r="AB100"/>
      <c r="AC100"/>
      <c r="AD100"/>
      <c r="AE100"/>
      <c r="AF100"/>
      <c r="AG100"/>
      <c r="AH100"/>
      <c r="AI100"/>
      <c r="AJ100"/>
      <c r="AK100"/>
    </row>
    <row r="101" spans="1:37" ht="16.5" thickBot="1">
      <c r="A101" s="719" t="s">
        <v>232</v>
      </c>
      <c r="B101" s="42"/>
      <c r="C101" s="696" t="s">
        <v>180</v>
      </c>
      <c r="D101" s="348">
        <v>2000</v>
      </c>
      <c r="E101" s="490" t="s">
        <v>208</v>
      </c>
      <c r="F101" s="351">
        <v>0.03</v>
      </c>
      <c r="G101" s="42"/>
      <c r="H101" s="350" t="s">
        <v>621</v>
      </c>
      <c r="I101" s="42"/>
      <c r="J101" s="51"/>
      <c r="K101" s="43"/>
      <c r="L101" s="51">
        <f t="shared" si="13"/>
        <v>29000</v>
      </c>
      <c r="M101" s="43"/>
      <c r="N101" s="51">
        <f t="shared" si="11"/>
        <v>41035.200000000004</v>
      </c>
      <c r="O101" s="43"/>
      <c r="P101" s="51">
        <f t="shared" si="14"/>
        <v>51283.905999999995</v>
      </c>
      <c r="Q101" s="337"/>
      <c r="R101" s="51">
        <f t="shared" si="15"/>
        <v>52822.42318</v>
      </c>
      <c r="S101" s="345"/>
      <c r="T101" s="51">
        <f t="shared" si="12"/>
        <v>54407.095875399995</v>
      </c>
      <c r="U101"/>
      <c r="V101"/>
      <c r="W101"/>
      <c r="X101"/>
      <c r="Y101"/>
      <c r="Z101"/>
      <c r="AA101"/>
      <c r="AB101"/>
      <c r="AC101"/>
      <c r="AD101"/>
      <c r="AE101"/>
      <c r="AF101"/>
      <c r="AG101"/>
      <c r="AH101"/>
      <c r="AI101"/>
      <c r="AJ101"/>
      <c r="AK101"/>
    </row>
    <row r="102" spans="1:37" ht="16.5" thickBot="1">
      <c r="A102" s="719" t="s">
        <v>18</v>
      </c>
      <c r="B102" s="42"/>
      <c r="C102" s="696" t="s">
        <v>210</v>
      </c>
      <c r="D102" s="348">
        <v>10000</v>
      </c>
      <c r="E102" s="490" t="s">
        <v>208</v>
      </c>
      <c r="F102" s="351"/>
      <c r="G102" s="42"/>
      <c r="H102" s="350"/>
      <c r="I102" s="42"/>
      <c r="J102" s="51"/>
      <c r="K102" s="43"/>
      <c r="L102" s="51">
        <f t="shared" si="13"/>
        <v>10000</v>
      </c>
      <c r="M102" s="43"/>
      <c r="N102" s="51">
        <f t="shared" si="11"/>
        <v>10000</v>
      </c>
      <c r="O102" s="43"/>
      <c r="P102" s="51">
        <f t="shared" si="14"/>
        <v>10000</v>
      </c>
      <c r="Q102" s="337"/>
      <c r="R102" s="51">
        <f t="shared" si="15"/>
        <v>10000</v>
      </c>
      <c r="S102" s="345"/>
      <c r="T102" s="51">
        <f t="shared" si="12"/>
        <v>10000</v>
      </c>
      <c r="U102"/>
      <c r="V102"/>
      <c r="W102"/>
      <c r="X102"/>
      <c r="Y102"/>
      <c r="Z102"/>
      <c r="AA102"/>
      <c r="AB102"/>
      <c r="AC102"/>
      <c r="AD102"/>
      <c r="AE102"/>
      <c r="AF102"/>
      <c r="AG102"/>
      <c r="AH102"/>
      <c r="AI102"/>
      <c r="AJ102"/>
      <c r="AK102"/>
    </row>
    <row r="103" spans="1:37" ht="16.5" thickBot="1">
      <c r="A103" s="719" t="s">
        <v>234</v>
      </c>
      <c r="B103" s="42"/>
      <c r="C103" s="696" t="s">
        <v>210</v>
      </c>
      <c r="D103" s="348">
        <v>5000</v>
      </c>
      <c r="E103" s="490" t="s">
        <v>208</v>
      </c>
      <c r="F103" s="351"/>
      <c r="G103" s="42"/>
      <c r="H103" s="350"/>
      <c r="I103" s="42"/>
      <c r="J103" s="51"/>
      <c r="K103" s="43"/>
      <c r="L103" s="51">
        <f t="shared" si="13"/>
        <v>5000</v>
      </c>
      <c r="M103" s="43"/>
      <c r="N103" s="51">
        <f t="shared" si="11"/>
        <v>5000</v>
      </c>
      <c r="O103" s="43"/>
      <c r="P103" s="51">
        <f t="shared" si="14"/>
        <v>5000</v>
      </c>
      <c r="Q103" s="337"/>
      <c r="R103" s="51">
        <f t="shared" si="15"/>
        <v>5000</v>
      </c>
      <c r="S103" s="345"/>
      <c r="T103" s="51">
        <f t="shared" si="12"/>
        <v>5000</v>
      </c>
      <c r="U103"/>
      <c r="V103"/>
      <c r="W103"/>
      <c r="X103"/>
      <c r="Y103"/>
      <c r="Z103"/>
      <c r="AA103"/>
      <c r="AB103"/>
      <c r="AC103"/>
      <c r="AD103"/>
      <c r="AE103"/>
      <c r="AF103"/>
      <c r="AG103"/>
      <c r="AH103"/>
      <c r="AI103"/>
      <c r="AJ103"/>
      <c r="AK103"/>
    </row>
    <row r="104" spans="1:37" ht="16.5" thickBot="1">
      <c r="A104" s="719" t="s">
        <v>235</v>
      </c>
      <c r="B104" s="42"/>
      <c r="C104" s="696" t="s">
        <v>210</v>
      </c>
      <c r="D104" s="348">
        <v>5000</v>
      </c>
      <c r="E104" s="490" t="s">
        <v>208</v>
      </c>
      <c r="F104" s="351">
        <v>0.03</v>
      </c>
      <c r="G104" s="42"/>
      <c r="H104" s="350"/>
      <c r="I104" s="42"/>
      <c r="J104" s="51"/>
      <c r="K104" s="43"/>
      <c r="L104" s="51">
        <f t="shared" si="13"/>
        <v>5000</v>
      </c>
      <c r="M104" s="43"/>
      <c r="N104" s="51">
        <f t="shared" si="11"/>
        <v>5150</v>
      </c>
      <c r="O104" s="43"/>
      <c r="P104" s="51">
        <f t="shared" si="14"/>
        <v>5304.5</v>
      </c>
      <c r="Q104" s="337"/>
      <c r="R104" s="51">
        <f t="shared" si="15"/>
        <v>5463.635</v>
      </c>
      <c r="S104" s="345"/>
      <c r="T104" s="51">
        <f t="shared" si="12"/>
        <v>5627.5440499999995</v>
      </c>
      <c r="U104"/>
      <c r="V104"/>
      <c r="W104"/>
      <c r="X104"/>
      <c r="Y104"/>
      <c r="Z104"/>
      <c r="AA104"/>
      <c r="AB104"/>
      <c r="AC104"/>
      <c r="AD104"/>
      <c r="AE104"/>
      <c r="AF104"/>
      <c r="AG104"/>
      <c r="AH104"/>
      <c r="AI104"/>
      <c r="AJ104"/>
      <c r="AK104"/>
    </row>
    <row r="105" spans="1:37" ht="16.5" thickBot="1">
      <c r="A105" s="719" t="s">
        <v>236</v>
      </c>
      <c r="B105" s="42"/>
      <c r="C105" s="696" t="s">
        <v>210</v>
      </c>
      <c r="D105" s="348">
        <v>5000</v>
      </c>
      <c r="E105" s="490" t="s">
        <v>208</v>
      </c>
      <c r="F105" s="351"/>
      <c r="G105" s="42"/>
      <c r="H105" s="350"/>
      <c r="I105" s="42"/>
      <c r="J105" s="51"/>
      <c r="K105" s="43"/>
      <c r="L105" s="51">
        <f t="shared" si="13"/>
        <v>5000</v>
      </c>
      <c r="M105" s="43"/>
      <c r="N105" s="51">
        <f t="shared" si="11"/>
        <v>5000</v>
      </c>
      <c r="O105" s="43"/>
      <c r="P105" s="51">
        <f t="shared" si="14"/>
        <v>5000</v>
      </c>
      <c r="Q105" s="337"/>
      <c r="R105" s="51">
        <f t="shared" si="15"/>
        <v>5000</v>
      </c>
      <c r="S105" s="345"/>
      <c r="T105" s="51">
        <f t="shared" si="12"/>
        <v>5000</v>
      </c>
      <c r="U105"/>
      <c r="V105"/>
      <c r="W105"/>
      <c r="X105"/>
      <c r="Y105"/>
      <c r="Z105"/>
      <c r="AA105"/>
      <c r="AB105"/>
      <c r="AC105"/>
      <c r="AD105"/>
      <c r="AE105"/>
      <c r="AF105"/>
      <c r="AG105"/>
      <c r="AH105"/>
      <c r="AI105"/>
      <c r="AJ105"/>
      <c r="AK105"/>
    </row>
    <row r="106" spans="1:37" ht="48" thickBot="1">
      <c r="A106" s="719" t="s">
        <v>473</v>
      </c>
      <c r="B106" s="42"/>
      <c r="C106" s="940" t="s">
        <v>7</v>
      </c>
      <c r="D106" s="941" t="s">
        <v>208</v>
      </c>
      <c r="E106" s="490" t="s">
        <v>208</v>
      </c>
      <c r="F106" s="942" t="s">
        <v>208</v>
      </c>
      <c r="G106" s="42"/>
      <c r="H106" s="1003" t="s">
        <v>539</v>
      </c>
      <c r="I106" s="42"/>
      <c r="J106" s="943">
        <v>0</v>
      </c>
      <c r="K106" s="43"/>
      <c r="L106" s="321">
        <f>((L10+L11+L12+L13+L17+L21)*0.03)+(L20*0.0267)</f>
        <v>30703.41018</v>
      </c>
      <c r="M106" s="43"/>
      <c r="N106" s="321">
        <f>((N10+N11+N12+N13+N17+N21)*0.03)+(N20*0.0267)</f>
        <v>54439.078695</v>
      </c>
      <c r="O106" s="43"/>
      <c r="P106" s="321">
        <f>((P10+P11+P12+P13+P17+P21)*0.03)+(P20*0.0267)</f>
        <v>77746.4288325</v>
      </c>
      <c r="Q106" s="337"/>
      <c r="R106" s="321">
        <f>((R10+R11+R12+R13+R17+R21)*0.03)+(R20*0.0267)</f>
        <v>77923.51251277498</v>
      </c>
      <c r="S106" s="345"/>
      <c r="T106" s="321">
        <f>((T10+T11+T12+T13+T17+T21)*0.03)+(T20*0.0267)</f>
        <v>78092.98873365825</v>
      </c>
      <c r="U106" s="882"/>
      <c r="V106"/>
      <c r="W106"/>
      <c r="X106"/>
      <c r="Y106"/>
      <c r="Z106"/>
      <c r="AA106"/>
      <c r="AB106"/>
      <c r="AC106"/>
      <c r="AD106"/>
      <c r="AE106"/>
      <c r="AF106"/>
      <c r="AG106"/>
      <c r="AH106"/>
      <c r="AI106"/>
      <c r="AJ106"/>
      <c r="AK106"/>
    </row>
    <row r="107" spans="1:37" ht="16.5" thickBot="1">
      <c r="A107" s="287" t="s">
        <v>609</v>
      </c>
      <c r="B107" s="46"/>
      <c r="C107" s="696" t="s">
        <v>210</v>
      </c>
      <c r="D107" s="348">
        <v>23000</v>
      </c>
      <c r="E107" s="490" t="s">
        <v>208</v>
      </c>
      <c r="F107" s="351">
        <v>0.03</v>
      </c>
      <c r="G107" s="46"/>
      <c r="H107" s="350" t="s">
        <v>619</v>
      </c>
      <c r="I107" s="46"/>
      <c r="J107" s="51"/>
      <c r="K107" s="43"/>
      <c r="L107" s="51">
        <f t="shared" si="13"/>
        <v>23000</v>
      </c>
      <c r="M107" s="43"/>
      <c r="N107" s="51">
        <f t="shared" si="11"/>
        <v>23690</v>
      </c>
      <c r="O107" s="43"/>
      <c r="P107" s="51">
        <f t="shared" si="14"/>
        <v>24400.7</v>
      </c>
      <c r="Q107" s="337"/>
      <c r="R107" s="51">
        <f t="shared" si="15"/>
        <v>25132.721</v>
      </c>
      <c r="S107" s="345"/>
      <c r="T107" s="51">
        <f t="shared" si="12"/>
        <v>25886.70263</v>
      </c>
      <c r="U107"/>
      <c r="V107"/>
      <c r="W107"/>
      <c r="X107"/>
      <c r="Y107"/>
      <c r="Z107"/>
      <c r="AA107"/>
      <c r="AB107"/>
      <c r="AC107"/>
      <c r="AD107"/>
      <c r="AE107"/>
      <c r="AF107"/>
      <c r="AG107"/>
      <c r="AH107"/>
      <c r="AI107"/>
      <c r="AJ107"/>
      <c r="AK107"/>
    </row>
    <row r="108" spans="1:37" ht="16.5" thickBot="1">
      <c r="A108" s="287"/>
      <c r="B108" s="46"/>
      <c r="C108" s="696"/>
      <c r="D108" s="348"/>
      <c r="E108" s="490" t="s">
        <v>208</v>
      </c>
      <c r="F108" s="351"/>
      <c r="G108" s="46"/>
      <c r="H108" s="350"/>
      <c r="I108" s="46"/>
      <c r="J108" s="51"/>
      <c r="K108" s="43"/>
      <c r="L108" s="51">
        <f t="shared" si="13"/>
        <v>0</v>
      </c>
      <c r="M108" s="43"/>
      <c r="N108" s="51">
        <f t="shared" si="11"/>
        <v>0</v>
      </c>
      <c r="O108" s="43"/>
      <c r="P108" s="51">
        <f t="shared" si="14"/>
        <v>0</v>
      </c>
      <c r="Q108" s="337"/>
      <c r="R108" s="51">
        <f t="shared" si="15"/>
        <v>0</v>
      </c>
      <c r="S108" s="345"/>
      <c r="T108" s="51">
        <f t="shared" si="12"/>
        <v>0</v>
      </c>
      <c r="U108"/>
      <c r="V108"/>
      <c r="W108"/>
      <c r="X108"/>
      <c r="Y108"/>
      <c r="Z108"/>
      <c r="AA108"/>
      <c r="AB108"/>
      <c r="AC108"/>
      <c r="AD108"/>
      <c r="AE108"/>
      <c r="AF108"/>
      <c r="AG108"/>
      <c r="AH108"/>
      <c r="AI108"/>
      <c r="AJ108"/>
      <c r="AK108"/>
    </row>
    <row r="109" spans="1:37" ht="16.5" thickBot="1">
      <c r="A109" s="287"/>
      <c r="B109" s="46"/>
      <c r="C109" s="696"/>
      <c r="D109" s="348"/>
      <c r="E109" s="490" t="s">
        <v>208</v>
      </c>
      <c r="F109" s="351"/>
      <c r="G109" s="46"/>
      <c r="H109" s="350"/>
      <c r="I109" s="46"/>
      <c r="J109" s="51"/>
      <c r="K109" s="43"/>
      <c r="L109" s="51">
        <f t="shared" si="13"/>
        <v>0</v>
      </c>
      <c r="M109" s="43"/>
      <c r="N109" s="51">
        <f t="shared" si="11"/>
        <v>0</v>
      </c>
      <c r="O109" s="43"/>
      <c r="P109" s="51">
        <f t="shared" si="14"/>
        <v>0</v>
      </c>
      <c r="Q109" s="337"/>
      <c r="R109" s="51">
        <f t="shared" si="15"/>
        <v>0</v>
      </c>
      <c r="S109" s="345"/>
      <c r="T109" s="51">
        <f t="shared" si="12"/>
        <v>0</v>
      </c>
      <c r="U109"/>
      <c r="V109"/>
      <c r="W109"/>
      <c r="X109"/>
      <c r="Y109"/>
      <c r="Z109"/>
      <c r="AA109"/>
      <c r="AB109"/>
      <c r="AC109"/>
      <c r="AD109"/>
      <c r="AE109"/>
      <c r="AF109"/>
      <c r="AG109"/>
      <c r="AH109"/>
      <c r="AI109"/>
      <c r="AJ109"/>
      <c r="AK109"/>
    </row>
    <row r="110" spans="1:37" ht="16.5" thickBot="1">
      <c r="A110" s="287"/>
      <c r="B110" s="46"/>
      <c r="C110" s="696"/>
      <c r="D110" s="348"/>
      <c r="E110" s="490" t="s">
        <v>208</v>
      </c>
      <c r="F110" s="351"/>
      <c r="G110" s="46"/>
      <c r="H110" s="350"/>
      <c r="I110" s="46"/>
      <c r="J110" s="51"/>
      <c r="K110" s="43"/>
      <c r="L110" s="51">
        <f t="shared" si="13"/>
        <v>0</v>
      </c>
      <c r="M110" s="43"/>
      <c r="N110" s="51">
        <f t="shared" si="11"/>
        <v>0</v>
      </c>
      <c r="O110" s="43"/>
      <c r="P110" s="51">
        <f t="shared" si="14"/>
        <v>0</v>
      </c>
      <c r="Q110" s="337"/>
      <c r="R110" s="51">
        <f t="shared" si="15"/>
        <v>0</v>
      </c>
      <c r="S110" s="345"/>
      <c r="T110" s="51">
        <f t="shared" si="12"/>
        <v>0</v>
      </c>
      <c r="U110"/>
      <c r="V110"/>
      <c r="W110"/>
      <c r="X110"/>
      <c r="Y110"/>
      <c r="Z110"/>
      <c r="AA110"/>
      <c r="AB110"/>
      <c r="AC110"/>
      <c r="AD110"/>
      <c r="AE110"/>
      <c r="AF110"/>
      <c r="AG110"/>
      <c r="AH110"/>
      <c r="AI110"/>
      <c r="AJ110"/>
      <c r="AK110"/>
    </row>
    <row r="111" spans="1:37" ht="16.5" thickBot="1">
      <c r="A111" s="287"/>
      <c r="B111" s="46"/>
      <c r="C111" s="696"/>
      <c r="D111" s="348"/>
      <c r="E111" s="490" t="s">
        <v>208</v>
      </c>
      <c r="F111" s="351"/>
      <c r="G111" s="46"/>
      <c r="H111" s="350"/>
      <c r="I111" s="46"/>
      <c r="J111" s="51"/>
      <c r="K111" s="43"/>
      <c r="L111" s="51">
        <f t="shared" si="13"/>
        <v>0</v>
      </c>
      <c r="M111" s="43"/>
      <c r="N111" s="51">
        <f t="shared" si="11"/>
        <v>0</v>
      </c>
      <c r="O111" s="43"/>
      <c r="P111" s="51">
        <f t="shared" si="14"/>
        <v>0</v>
      </c>
      <c r="Q111" s="337"/>
      <c r="R111" s="51">
        <f t="shared" si="15"/>
        <v>0</v>
      </c>
      <c r="S111" s="345"/>
      <c r="T111" s="51">
        <f t="shared" si="12"/>
        <v>0</v>
      </c>
      <c r="U111"/>
      <c r="V111"/>
      <c r="W111"/>
      <c r="X111"/>
      <c r="Y111"/>
      <c r="Z111"/>
      <c r="AA111"/>
      <c r="AB111"/>
      <c r="AC111"/>
      <c r="AD111"/>
      <c r="AE111"/>
      <c r="AF111"/>
      <c r="AG111"/>
      <c r="AH111"/>
      <c r="AI111"/>
      <c r="AJ111"/>
      <c r="AK111"/>
    </row>
    <row r="112" spans="1:37" ht="16.5" thickBot="1">
      <c r="A112" s="287"/>
      <c r="B112" s="46"/>
      <c r="C112" s="696"/>
      <c r="D112" s="348"/>
      <c r="E112" s="490" t="s">
        <v>208</v>
      </c>
      <c r="F112" s="351"/>
      <c r="G112" s="46"/>
      <c r="H112" s="350"/>
      <c r="I112" s="46"/>
      <c r="J112" s="51"/>
      <c r="K112" s="43"/>
      <c r="L112" s="51">
        <f t="shared" si="13"/>
        <v>0</v>
      </c>
      <c r="M112" s="43"/>
      <c r="N112" s="51">
        <f t="shared" si="11"/>
        <v>0</v>
      </c>
      <c r="O112" s="43"/>
      <c r="P112" s="51">
        <f t="shared" si="14"/>
        <v>0</v>
      </c>
      <c r="Q112" s="337"/>
      <c r="R112" s="51">
        <f t="shared" si="15"/>
        <v>0</v>
      </c>
      <c r="S112" s="345"/>
      <c r="T112" s="51">
        <f t="shared" si="12"/>
        <v>0</v>
      </c>
      <c r="U112"/>
      <c r="V112"/>
      <c r="W112"/>
      <c r="X112"/>
      <c r="Y112"/>
      <c r="Z112"/>
      <c r="AA112"/>
      <c r="AB112"/>
      <c r="AC112"/>
      <c r="AD112"/>
      <c r="AE112"/>
      <c r="AF112"/>
      <c r="AG112"/>
      <c r="AH112"/>
      <c r="AI112"/>
      <c r="AJ112"/>
      <c r="AK112"/>
    </row>
    <row r="113" spans="1:37" ht="16.5" thickBot="1">
      <c r="A113" s="287"/>
      <c r="B113" s="46"/>
      <c r="C113" s="696"/>
      <c r="D113" s="348"/>
      <c r="E113" s="490" t="s">
        <v>208</v>
      </c>
      <c r="F113" s="351"/>
      <c r="G113" s="46"/>
      <c r="H113" s="350"/>
      <c r="I113" s="46"/>
      <c r="J113" s="51"/>
      <c r="K113" s="43"/>
      <c r="L113" s="51">
        <f t="shared" si="13"/>
        <v>0</v>
      </c>
      <c r="M113" s="43"/>
      <c r="N113" s="51">
        <f t="shared" si="11"/>
        <v>0</v>
      </c>
      <c r="O113" s="43"/>
      <c r="P113" s="51">
        <f t="shared" si="14"/>
        <v>0</v>
      </c>
      <c r="Q113" s="337"/>
      <c r="R113" s="51">
        <f t="shared" si="15"/>
        <v>0</v>
      </c>
      <c r="S113" s="345"/>
      <c r="T113" s="51">
        <f t="shared" si="12"/>
        <v>0</v>
      </c>
      <c r="U113"/>
      <c r="V113"/>
      <c r="W113"/>
      <c r="X113"/>
      <c r="Y113"/>
      <c r="Z113"/>
      <c r="AA113"/>
      <c r="AB113"/>
      <c r="AC113"/>
      <c r="AD113"/>
      <c r="AE113"/>
      <c r="AF113"/>
      <c r="AG113"/>
      <c r="AH113"/>
      <c r="AI113"/>
      <c r="AJ113"/>
      <c r="AK113"/>
    </row>
    <row r="114" spans="1:37" ht="16.5" thickBot="1">
      <c r="A114" s="287"/>
      <c r="B114" s="46"/>
      <c r="C114" s="696"/>
      <c r="D114" s="348"/>
      <c r="E114" s="490" t="s">
        <v>208</v>
      </c>
      <c r="F114" s="351"/>
      <c r="G114" s="46"/>
      <c r="H114" s="350"/>
      <c r="I114" s="46"/>
      <c r="J114" s="51"/>
      <c r="K114" s="43"/>
      <c r="L114" s="51">
        <f t="shared" si="13"/>
        <v>0</v>
      </c>
      <c r="M114" s="43"/>
      <c r="N114" s="51">
        <f t="shared" si="11"/>
        <v>0</v>
      </c>
      <c r="O114" s="43"/>
      <c r="P114" s="51">
        <f t="shared" si="14"/>
        <v>0</v>
      </c>
      <c r="Q114" s="337"/>
      <c r="R114" s="51">
        <f t="shared" si="15"/>
        <v>0</v>
      </c>
      <c r="S114" s="345"/>
      <c r="T114" s="51">
        <f t="shared" si="12"/>
        <v>0</v>
      </c>
      <c r="U114"/>
      <c r="V114"/>
      <c r="W114"/>
      <c r="X114"/>
      <c r="Y114"/>
      <c r="Z114"/>
      <c r="AA114"/>
      <c r="AB114"/>
      <c r="AC114"/>
      <c r="AD114"/>
      <c r="AE114"/>
      <c r="AF114"/>
      <c r="AG114"/>
      <c r="AH114"/>
      <c r="AI114"/>
      <c r="AJ114"/>
      <c r="AK114"/>
    </row>
    <row r="115" spans="1:37" ht="16.5" thickBot="1">
      <c r="A115" s="40"/>
      <c r="B115" s="42"/>
      <c r="C115" s="302"/>
      <c r="D115" s="302"/>
      <c r="E115" s="302"/>
      <c r="F115" s="302"/>
      <c r="G115" s="42"/>
      <c r="H115" s="288"/>
      <c r="I115" s="42"/>
      <c r="J115" s="47"/>
      <c r="K115" s="39"/>
      <c r="L115" s="47"/>
      <c r="M115" s="39"/>
      <c r="N115" s="47"/>
      <c r="O115" s="39"/>
      <c r="P115" s="47"/>
      <c r="Q115" s="336"/>
      <c r="R115" s="48"/>
      <c r="S115" s="345"/>
      <c r="T115" s="48"/>
      <c r="U115"/>
      <c r="V115"/>
      <c r="W115"/>
      <c r="X115"/>
      <c r="Y115"/>
      <c r="Z115"/>
      <c r="AA115"/>
      <c r="AB115"/>
      <c r="AC115"/>
      <c r="AD115"/>
      <c r="AE115"/>
      <c r="AF115"/>
      <c r="AG115"/>
      <c r="AH115"/>
      <c r="AI115"/>
      <c r="AJ115"/>
      <c r="AK115"/>
    </row>
    <row r="116" spans="2:37" ht="16.5" thickBot="1">
      <c r="B116" s="38"/>
      <c r="C116" s="301"/>
      <c r="D116" s="301"/>
      <c r="E116" s="301"/>
      <c r="F116" s="301"/>
      <c r="G116" s="38"/>
      <c r="H116" s="290" t="s">
        <v>19</v>
      </c>
      <c r="I116" s="38"/>
      <c r="J116" s="486">
        <f>SUM(J95:J114)</f>
        <v>8000</v>
      </c>
      <c r="K116" s="362"/>
      <c r="L116" s="486">
        <f>SUM(L95:L114)</f>
        <v>175203.41018</v>
      </c>
      <c r="M116" s="362"/>
      <c r="N116" s="486">
        <f>SUM(N95:N114)</f>
        <v>198014.27869500002</v>
      </c>
      <c r="O116" s="362"/>
      <c r="P116" s="486">
        <f>SUM(P95:P114)</f>
        <v>243671.53483249998</v>
      </c>
      <c r="Q116" s="363"/>
      <c r="R116" s="486">
        <f>SUM(R95:R114)</f>
        <v>252551.37169277496</v>
      </c>
      <c r="S116" s="359"/>
      <c r="T116" s="486">
        <f>SUM(T95:T114)</f>
        <v>241534.68368905823</v>
      </c>
      <c r="U116"/>
      <c r="V116"/>
      <c r="W116"/>
      <c r="X116"/>
      <c r="Y116"/>
      <c r="Z116"/>
      <c r="AA116"/>
      <c r="AB116"/>
      <c r="AC116"/>
      <c r="AD116"/>
      <c r="AE116"/>
      <c r="AF116"/>
      <c r="AG116"/>
      <c r="AH116"/>
      <c r="AI116"/>
      <c r="AJ116"/>
      <c r="AK116"/>
    </row>
    <row r="117" spans="1:37" ht="16.5" thickBot="1">
      <c r="A117" s="53"/>
      <c r="B117" s="55"/>
      <c r="C117" s="305"/>
      <c r="D117" s="305"/>
      <c r="E117" s="305"/>
      <c r="F117" s="305"/>
      <c r="G117" s="55"/>
      <c r="H117" s="288"/>
      <c r="I117" s="55"/>
      <c r="J117" s="54"/>
      <c r="K117" s="43"/>
      <c r="L117" s="54"/>
      <c r="M117" s="43"/>
      <c r="N117" s="54"/>
      <c r="O117" s="43"/>
      <c r="P117" s="54"/>
      <c r="Q117" s="337"/>
      <c r="R117" s="54"/>
      <c r="S117" s="346"/>
      <c r="T117" s="54"/>
      <c r="U117"/>
      <c r="V117"/>
      <c r="W117"/>
      <c r="X117"/>
      <c r="Y117"/>
      <c r="Z117"/>
      <c r="AA117"/>
      <c r="AB117"/>
      <c r="AC117"/>
      <c r="AD117"/>
      <c r="AE117"/>
      <c r="AF117"/>
      <c r="AG117"/>
      <c r="AH117"/>
      <c r="AI117"/>
      <c r="AJ117"/>
      <c r="AK117"/>
    </row>
    <row r="118" spans="1:37" ht="18.75" customHeight="1" thickBot="1">
      <c r="A118" s="290" t="s">
        <v>242</v>
      </c>
      <c r="B118" s="38"/>
      <c r="C118" s="301"/>
      <c r="D118" s="301"/>
      <c r="E118" s="301"/>
      <c r="F118" s="301"/>
      <c r="G118" s="38"/>
      <c r="H118" s="288"/>
      <c r="I118" s="38"/>
      <c r="J118" s="37"/>
      <c r="K118" s="39"/>
      <c r="L118" s="37"/>
      <c r="M118" s="39"/>
      <c r="N118" s="37"/>
      <c r="O118" s="39"/>
      <c r="P118" s="37"/>
      <c r="Q118" s="336"/>
      <c r="R118" s="32"/>
      <c r="S118" s="345"/>
      <c r="T118" s="32"/>
      <c r="U118"/>
      <c r="V118"/>
      <c r="W118"/>
      <c r="X118"/>
      <c r="Y118"/>
      <c r="Z118"/>
      <c r="AA118"/>
      <c r="AB118"/>
      <c r="AC118"/>
      <c r="AD118"/>
      <c r="AE118"/>
      <c r="AF118"/>
      <c r="AG118"/>
      <c r="AH118"/>
      <c r="AI118"/>
      <c r="AJ118"/>
      <c r="AK118"/>
    </row>
    <row r="119" spans="1:37" ht="16.5" thickBot="1">
      <c r="A119" s="713" t="s">
        <v>417</v>
      </c>
      <c r="B119" s="42"/>
      <c r="C119" s="696" t="s">
        <v>210</v>
      </c>
      <c r="D119" s="348">
        <v>120000</v>
      </c>
      <c r="E119" s="493" t="s">
        <v>208</v>
      </c>
      <c r="F119" s="351">
        <v>0.03</v>
      </c>
      <c r="G119" s="42"/>
      <c r="H119" s="350" t="s">
        <v>618</v>
      </c>
      <c r="I119" s="42"/>
      <c r="J119" s="41">
        <f>+D119/12*3</f>
        <v>30000</v>
      </c>
      <c r="K119" s="43"/>
      <c r="L119" s="51">
        <f>IF($C119="Per Employee",$L$175*$D119,IF($C119="Per Pupil",$D119*$L$177,IF($C119="Fixed Per Year",$D119,0)))</f>
        <v>120000</v>
      </c>
      <c r="M119" s="43"/>
      <c r="N119" s="51">
        <f>IF($C119="Per Employee",$N$175*$D119,IF($C119="Per Pupil",$D119*$N$177,IF($C119="Fixed Per Year",$D119)))*(1+$F119)^1</f>
        <v>123600</v>
      </c>
      <c r="O119" s="43"/>
      <c r="P119" s="51">
        <f>IF($C119="Per Employee",$P$175*$D119,IF($C119="Per Pupil",$D119*$P$177,IF($C119="Fixed Per Year",$D119)))*(1+$F119)^2</f>
        <v>127308</v>
      </c>
      <c r="Q119" s="337"/>
      <c r="R119" s="51">
        <f>IF($C119="Per Employee",$R$175*$D119,IF($C119="Per Pupil",$D119*$R$177,IF($C119="Fixed Per Year",$D119)))*(1+$F119)^3</f>
        <v>131127.24</v>
      </c>
      <c r="S119" s="345"/>
      <c r="T119" s="51">
        <f>IF($C119="Per Employee",$T$175*$D119,IF($C119="Per Pupil",$D119*$T$177,IF($C119="Fixed Per Year",$D119)))*(1+$F119)^4</f>
        <v>135061.05719999998</v>
      </c>
      <c r="U119"/>
      <c r="V119"/>
      <c r="W119"/>
      <c r="X119"/>
      <c r="Y119"/>
      <c r="Z119"/>
      <c r="AA119"/>
      <c r="AB119"/>
      <c r="AC119"/>
      <c r="AD119"/>
      <c r="AE119"/>
      <c r="AF119"/>
      <c r="AG119"/>
      <c r="AH119"/>
      <c r="AI119"/>
      <c r="AJ119"/>
      <c r="AK119"/>
    </row>
    <row r="120" spans="1:37" ht="16.5" thickBot="1">
      <c r="A120" s="712" t="s">
        <v>21</v>
      </c>
      <c r="B120" s="42"/>
      <c r="C120" s="696" t="s">
        <v>210</v>
      </c>
      <c r="D120" s="348">
        <v>6000</v>
      </c>
      <c r="E120" s="493" t="s">
        <v>208</v>
      </c>
      <c r="F120" s="351"/>
      <c r="G120" s="42"/>
      <c r="H120" s="350"/>
      <c r="I120" s="42"/>
      <c r="J120" s="41">
        <f>+D120/12*3</f>
        <v>1500</v>
      </c>
      <c r="K120" s="43"/>
      <c r="L120" s="51">
        <f aca="true" t="shared" si="16" ref="L120:L136">IF($C120="Per Employee",$L$175*$D120,IF($C120="Per Pupil",$D120*$L$177,IF($C120="Fixed Per Year",$D120,0)))</f>
        <v>6000</v>
      </c>
      <c r="M120" s="43"/>
      <c r="N120" s="51">
        <f aca="true" t="shared" si="17" ref="N120:N136">IF($C120="Per Employee",$N$175*$D120,IF($C120="Per Pupil",$D120*$N$177,IF($C120="Fixed Per Year",$D120)))*(1+$F120)^1</f>
        <v>6000</v>
      </c>
      <c r="O120" s="43"/>
      <c r="P120" s="51">
        <f aca="true" t="shared" si="18" ref="P120:P136">IF($C120="Per Employee",$P$175*$D120,IF($C120="Per Pupil",$D120*$P$177,IF($C120="Fixed Per Year",$D120)))*(1+$F120)^2</f>
        <v>6000</v>
      </c>
      <c r="Q120" s="337"/>
      <c r="R120" s="51">
        <f aca="true" t="shared" si="19" ref="R120:R136">IF($C120="Per Employee",$R$175*$D120,IF($C120="Per Pupil",$D120*$R$177,IF($C120="Fixed Per Year",$D120)))*(1+$F120)^3</f>
        <v>6000</v>
      </c>
      <c r="S120" s="345"/>
      <c r="T120" s="51">
        <f aca="true" t="shared" si="20" ref="T120:T136">IF($C120="Per Employee",$T$175*$D120,IF($C120="Per Pupil",$D120*$T$177,IF($C120="Fixed Per Year",$D120)))*(1+$F120)^4</f>
        <v>6000</v>
      </c>
      <c r="U120"/>
      <c r="V120"/>
      <c r="W120"/>
      <c r="X120"/>
      <c r="Y120"/>
      <c r="Z120"/>
      <c r="AA120"/>
      <c r="AB120"/>
      <c r="AC120"/>
      <c r="AD120"/>
      <c r="AE120"/>
      <c r="AF120"/>
      <c r="AG120"/>
      <c r="AH120"/>
      <c r="AI120"/>
      <c r="AJ120"/>
      <c r="AK120"/>
    </row>
    <row r="121" spans="1:37" ht="16.5" thickBot="1">
      <c r="A121" s="712" t="s">
        <v>238</v>
      </c>
      <c r="B121" s="42"/>
      <c r="C121" s="696" t="s">
        <v>210</v>
      </c>
      <c r="D121" s="348">
        <v>9000</v>
      </c>
      <c r="E121" s="493" t="s">
        <v>208</v>
      </c>
      <c r="F121" s="351"/>
      <c r="G121" s="42"/>
      <c r="H121" s="350"/>
      <c r="I121" s="42"/>
      <c r="J121" s="41">
        <f>+D121/12*3</f>
        <v>2250</v>
      </c>
      <c r="K121" s="43"/>
      <c r="L121" s="51">
        <f t="shared" si="16"/>
        <v>9000</v>
      </c>
      <c r="M121" s="43"/>
      <c r="N121" s="51">
        <f t="shared" si="17"/>
        <v>9000</v>
      </c>
      <c r="O121" s="43"/>
      <c r="P121" s="51">
        <f t="shared" si="18"/>
        <v>9000</v>
      </c>
      <c r="Q121" s="337"/>
      <c r="R121" s="51">
        <f t="shared" si="19"/>
        <v>9000</v>
      </c>
      <c r="S121" s="345"/>
      <c r="T121" s="51">
        <f t="shared" si="20"/>
        <v>9000</v>
      </c>
      <c r="U121"/>
      <c r="V121"/>
      <c r="W121"/>
      <c r="X121"/>
      <c r="Y121"/>
      <c r="Z121"/>
      <c r="AA121"/>
      <c r="AB121"/>
      <c r="AC121"/>
      <c r="AD121"/>
      <c r="AE121"/>
      <c r="AF121"/>
      <c r="AG121"/>
      <c r="AH121"/>
      <c r="AI121"/>
      <c r="AJ121"/>
      <c r="AK121"/>
    </row>
    <row r="122" spans="1:37" ht="16.5" thickBot="1">
      <c r="A122" s="712" t="s">
        <v>17</v>
      </c>
      <c r="B122" s="42"/>
      <c r="C122" s="696" t="s">
        <v>210</v>
      </c>
      <c r="D122" s="348">
        <v>1000</v>
      </c>
      <c r="E122" s="493" t="s">
        <v>208</v>
      </c>
      <c r="F122" s="351"/>
      <c r="G122" s="42"/>
      <c r="H122" s="350"/>
      <c r="I122" s="42"/>
      <c r="J122" s="41"/>
      <c r="K122" s="43"/>
      <c r="L122" s="51">
        <f t="shared" si="16"/>
        <v>1000</v>
      </c>
      <c r="M122" s="43"/>
      <c r="N122" s="51">
        <f t="shared" si="17"/>
        <v>1000</v>
      </c>
      <c r="O122" s="43"/>
      <c r="P122" s="51">
        <f t="shared" si="18"/>
        <v>1000</v>
      </c>
      <c r="Q122" s="337"/>
      <c r="R122" s="51">
        <f t="shared" si="19"/>
        <v>1000</v>
      </c>
      <c r="S122" s="345"/>
      <c r="T122" s="51">
        <f t="shared" si="20"/>
        <v>1000</v>
      </c>
      <c r="U122"/>
      <c r="V122"/>
      <c r="W122"/>
      <c r="X122"/>
      <c r="Y122"/>
      <c r="Z122"/>
      <c r="AA122"/>
      <c r="AB122"/>
      <c r="AC122"/>
      <c r="AD122"/>
      <c r="AE122"/>
      <c r="AF122"/>
      <c r="AG122"/>
      <c r="AH122"/>
      <c r="AI122"/>
      <c r="AJ122"/>
      <c r="AK122"/>
    </row>
    <row r="123" spans="1:37" ht="16.5" thickBot="1">
      <c r="A123" s="712" t="s">
        <v>169</v>
      </c>
      <c r="B123" s="42"/>
      <c r="C123" s="696"/>
      <c r="D123" s="348"/>
      <c r="E123" s="493" t="s">
        <v>208</v>
      </c>
      <c r="F123" s="351"/>
      <c r="G123" s="42"/>
      <c r="H123" s="350"/>
      <c r="I123" s="42"/>
      <c r="J123" s="41"/>
      <c r="K123" s="43"/>
      <c r="L123" s="51">
        <f t="shared" si="16"/>
        <v>0</v>
      </c>
      <c r="M123" s="43"/>
      <c r="N123" s="51">
        <f t="shared" si="17"/>
        <v>0</v>
      </c>
      <c r="O123" s="43"/>
      <c r="P123" s="51">
        <f t="shared" si="18"/>
        <v>0</v>
      </c>
      <c r="Q123" s="337"/>
      <c r="R123" s="51">
        <f t="shared" si="19"/>
        <v>0</v>
      </c>
      <c r="S123" s="345"/>
      <c r="T123" s="51">
        <f t="shared" si="20"/>
        <v>0</v>
      </c>
      <c r="U123"/>
      <c r="V123"/>
      <c r="W123"/>
      <c r="X123"/>
      <c r="Y123"/>
      <c r="Z123"/>
      <c r="AA123"/>
      <c r="AB123"/>
      <c r="AC123"/>
      <c r="AD123"/>
      <c r="AE123"/>
      <c r="AF123"/>
      <c r="AG123"/>
      <c r="AH123"/>
      <c r="AI123"/>
      <c r="AJ123"/>
      <c r="AK123"/>
    </row>
    <row r="124" spans="1:37" ht="16.5" thickBot="1">
      <c r="A124" s="712" t="s">
        <v>170</v>
      </c>
      <c r="B124" s="42"/>
      <c r="C124" s="696"/>
      <c r="D124" s="348"/>
      <c r="E124" s="493" t="s">
        <v>208</v>
      </c>
      <c r="F124" s="351"/>
      <c r="G124" s="42"/>
      <c r="H124" s="350"/>
      <c r="I124" s="42"/>
      <c r="J124" s="41"/>
      <c r="K124" s="43"/>
      <c r="L124" s="51">
        <f t="shared" si="16"/>
        <v>0</v>
      </c>
      <c r="M124" s="43"/>
      <c r="N124" s="51">
        <f t="shared" si="17"/>
        <v>0</v>
      </c>
      <c r="O124" s="43"/>
      <c r="P124" s="51">
        <f t="shared" si="18"/>
        <v>0</v>
      </c>
      <c r="Q124" s="337"/>
      <c r="R124" s="51">
        <f t="shared" si="19"/>
        <v>0</v>
      </c>
      <c r="S124" s="345"/>
      <c r="T124" s="51">
        <f t="shared" si="20"/>
        <v>0</v>
      </c>
      <c r="U124"/>
      <c r="V124"/>
      <c r="W124"/>
      <c r="X124"/>
      <c r="Y124"/>
      <c r="Z124"/>
      <c r="AA124"/>
      <c r="AB124"/>
      <c r="AC124"/>
      <c r="AD124"/>
      <c r="AE124"/>
      <c r="AF124"/>
      <c r="AG124"/>
      <c r="AH124"/>
      <c r="AI124"/>
      <c r="AJ124"/>
      <c r="AK124"/>
    </row>
    <row r="125" spans="1:37" ht="16.5" thickBot="1">
      <c r="A125" s="712" t="s">
        <v>240</v>
      </c>
      <c r="B125" s="42"/>
      <c r="C125" s="696" t="s">
        <v>210</v>
      </c>
      <c r="D125" s="348">
        <v>6000</v>
      </c>
      <c r="E125" s="493" t="s">
        <v>208</v>
      </c>
      <c r="F125" s="351"/>
      <c r="G125" s="42"/>
      <c r="H125" s="350"/>
      <c r="I125" s="42"/>
      <c r="J125" s="41"/>
      <c r="K125" s="43"/>
      <c r="L125" s="51">
        <f t="shared" si="16"/>
        <v>6000</v>
      </c>
      <c r="M125" s="43"/>
      <c r="N125" s="51">
        <f t="shared" si="17"/>
        <v>6000</v>
      </c>
      <c r="O125" s="43"/>
      <c r="P125" s="51">
        <f t="shared" si="18"/>
        <v>6000</v>
      </c>
      <c r="Q125" s="337"/>
      <c r="R125" s="51">
        <f t="shared" si="19"/>
        <v>6000</v>
      </c>
      <c r="S125" s="345"/>
      <c r="T125" s="51">
        <f t="shared" si="20"/>
        <v>6000</v>
      </c>
      <c r="U125"/>
      <c r="V125"/>
      <c r="W125"/>
      <c r="X125"/>
      <c r="Y125"/>
      <c r="Z125"/>
      <c r="AA125"/>
      <c r="AB125"/>
      <c r="AC125"/>
      <c r="AD125"/>
      <c r="AE125"/>
      <c r="AF125"/>
      <c r="AG125"/>
      <c r="AH125"/>
      <c r="AI125"/>
      <c r="AJ125"/>
      <c r="AK125"/>
    </row>
    <row r="126" spans="1:37" ht="16.5" thickBot="1">
      <c r="A126" s="712" t="s">
        <v>241</v>
      </c>
      <c r="B126" s="46"/>
      <c r="C126" s="696"/>
      <c r="D126" s="348"/>
      <c r="E126" s="493" t="s">
        <v>208</v>
      </c>
      <c r="F126" s="351"/>
      <c r="G126" s="46"/>
      <c r="H126" s="4"/>
      <c r="I126" s="46"/>
      <c r="J126" s="41"/>
      <c r="K126" s="43"/>
      <c r="L126" s="51">
        <f t="shared" si="16"/>
        <v>0</v>
      </c>
      <c r="M126" s="43"/>
      <c r="N126" s="51">
        <f t="shared" si="17"/>
        <v>0</v>
      </c>
      <c r="O126" s="43"/>
      <c r="P126" s="51">
        <f t="shared" si="18"/>
        <v>0</v>
      </c>
      <c r="Q126" s="337"/>
      <c r="R126" s="51">
        <f t="shared" si="19"/>
        <v>0</v>
      </c>
      <c r="S126" s="345"/>
      <c r="T126" s="51">
        <f t="shared" si="20"/>
        <v>0</v>
      </c>
      <c r="U126"/>
      <c r="V126"/>
      <c r="W126"/>
      <c r="X126"/>
      <c r="Y126"/>
      <c r="Z126"/>
      <c r="AA126"/>
      <c r="AB126"/>
      <c r="AC126"/>
      <c r="AD126"/>
      <c r="AE126"/>
      <c r="AF126"/>
      <c r="AG126"/>
      <c r="AH126"/>
      <c r="AI126"/>
      <c r="AJ126"/>
      <c r="AK126"/>
    </row>
    <row r="127" spans="1:37" ht="16.5" thickBot="1">
      <c r="A127" s="720" t="s">
        <v>22</v>
      </c>
      <c r="B127" s="46"/>
      <c r="C127" s="696" t="s">
        <v>7</v>
      </c>
      <c r="D127" s="348"/>
      <c r="E127" s="493" t="s">
        <v>208</v>
      </c>
      <c r="F127" s="351"/>
      <c r="G127" s="46"/>
      <c r="H127" s="350"/>
      <c r="I127" s="46"/>
      <c r="J127" s="41"/>
      <c r="K127" s="43"/>
      <c r="L127" s="51">
        <f>18000-L76</f>
        <v>12664.875</v>
      </c>
      <c r="M127" s="43"/>
      <c r="N127" s="51">
        <f>(18000*1.03)-N76</f>
        <v>11240.6475</v>
      </c>
      <c r="O127" s="43"/>
      <c r="P127" s="51">
        <f>(18000*1.06)-P76</f>
        <v>10099.614112500001</v>
      </c>
      <c r="Q127" s="337"/>
      <c r="R127" s="51">
        <f>(18000*1.09)-R76</f>
        <v>10370.202535875</v>
      </c>
      <c r="S127" s="345"/>
      <c r="T127" s="51">
        <f>(18000*1.12)-T76</f>
        <v>10632.708611951251</v>
      </c>
      <c r="U127"/>
      <c r="V127"/>
      <c r="W127"/>
      <c r="X127"/>
      <c r="Y127"/>
      <c r="Z127"/>
      <c r="AA127"/>
      <c r="AB127"/>
      <c r="AC127"/>
      <c r="AD127"/>
      <c r="AE127"/>
      <c r="AF127"/>
      <c r="AG127"/>
      <c r="AH127"/>
      <c r="AI127"/>
      <c r="AJ127"/>
      <c r="AK127"/>
    </row>
    <row r="128" spans="1:37" ht="16.5" thickBot="1">
      <c r="A128" s="712" t="s">
        <v>239</v>
      </c>
      <c r="B128" s="46"/>
      <c r="C128" s="696"/>
      <c r="D128" s="348"/>
      <c r="E128" s="493" t="s">
        <v>208</v>
      </c>
      <c r="F128" s="351"/>
      <c r="G128" s="46"/>
      <c r="H128" s="350"/>
      <c r="I128" s="46"/>
      <c r="J128" s="41"/>
      <c r="K128" s="43"/>
      <c r="L128" s="51">
        <f t="shared" si="16"/>
        <v>0</v>
      </c>
      <c r="M128" s="43"/>
      <c r="N128" s="51">
        <f t="shared" si="17"/>
        <v>0</v>
      </c>
      <c r="O128" s="43"/>
      <c r="P128" s="51">
        <f t="shared" si="18"/>
        <v>0</v>
      </c>
      <c r="Q128" s="337"/>
      <c r="R128" s="51">
        <f t="shared" si="19"/>
        <v>0</v>
      </c>
      <c r="S128" s="345"/>
      <c r="T128" s="51">
        <f t="shared" si="20"/>
        <v>0</v>
      </c>
      <c r="U128"/>
      <c r="V128"/>
      <c r="W128"/>
      <c r="X128"/>
      <c r="Y128"/>
      <c r="Z128"/>
      <c r="AA128"/>
      <c r="AB128"/>
      <c r="AC128"/>
      <c r="AD128"/>
      <c r="AE128"/>
      <c r="AF128"/>
      <c r="AG128"/>
      <c r="AH128"/>
      <c r="AI128"/>
      <c r="AJ128"/>
      <c r="AK128"/>
    </row>
    <row r="129" spans="1:37" ht="16.5" thickBot="1">
      <c r="A129" s="275"/>
      <c r="B129" s="46"/>
      <c r="C129" s="696"/>
      <c r="D129" s="348"/>
      <c r="E129" s="493" t="s">
        <v>208</v>
      </c>
      <c r="F129" s="351"/>
      <c r="G129" s="46"/>
      <c r="H129" s="350"/>
      <c r="I129" s="46"/>
      <c r="J129" s="41"/>
      <c r="K129" s="43"/>
      <c r="L129" s="51">
        <f t="shared" si="16"/>
        <v>0</v>
      </c>
      <c r="M129" s="43"/>
      <c r="N129" s="51">
        <f t="shared" si="17"/>
        <v>0</v>
      </c>
      <c r="O129" s="43"/>
      <c r="P129" s="51">
        <f t="shared" si="18"/>
        <v>0</v>
      </c>
      <c r="Q129" s="337"/>
      <c r="R129" s="51">
        <f t="shared" si="19"/>
        <v>0</v>
      </c>
      <c r="S129" s="345"/>
      <c r="T129" s="51">
        <f t="shared" si="20"/>
        <v>0</v>
      </c>
      <c r="U129"/>
      <c r="V129"/>
      <c r="W129"/>
      <c r="X129"/>
      <c r="Y129"/>
      <c r="Z129"/>
      <c r="AA129"/>
      <c r="AB129"/>
      <c r="AC129"/>
      <c r="AD129"/>
      <c r="AE129"/>
      <c r="AF129"/>
      <c r="AG129"/>
      <c r="AH129"/>
      <c r="AI129"/>
      <c r="AJ129"/>
      <c r="AK129"/>
    </row>
    <row r="130" spans="1:37" ht="16.5" thickBot="1">
      <c r="A130" s="275"/>
      <c r="B130" s="46"/>
      <c r="C130" s="696"/>
      <c r="D130" s="348"/>
      <c r="E130" s="493" t="s">
        <v>208</v>
      </c>
      <c r="F130" s="351"/>
      <c r="G130" s="46"/>
      <c r="H130" s="350"/>
      <c r="I130" s="46"/>
      <c r="J130" s="41"/>
      <c r="K130" s="43"/>
      <c r="L130" s="51">
        <f t="shared" si="16"/>
        <v>0</v>
      </c>
      <c r="M130" s="43"/>
      <c r="N130" s="51">
        <f t="shared" si="17"/>
        <v>0</v>
      </c>
      <c r="O130" s="43"/>
      <c r="P130" s="51">
        <f t="shared" si="18"/>
        <v>0</v>
      </c>
      <c r="Q130" s="337"/>
      <c r="R130" s="51">
        <f t="shared" si="19"/>
        <v>0</v>
      </c>
      <c r="S130" s="345"/>
      <c r="T130" s="51">
        <f t="shared" si="20"/>
        <v>0</v>
      </c>
      <c r="U130"/>
      <c r="V130"/>
      <c r="W130"/>
      <c r="X130"/>
      <c r="Y130"/>
      <c r="Z130"/>
      <c r="AA130"/>
      <c r="AB130"/>
      <c r="AC130"/>
      <c r="AD130"/>
      <c r="AE130"/>
      <c r="AF130"/>
      <c r="AG130"/>
      <c r="AH130"/>
      <c r="AI130"/>
      <c r="AJ130"/>
      <c r="AK130"/>
    </row>
    <row r="131" spans="1:37" ht="16.5" thickBot="1">
      <c r="A131" s="275"/>
      <c r="B131" s="46"/>
      <c r="C131" s="696"/>
      <c r="D131" s="348"/>
      <c r="E131" s="493" t="s">
        <v>208</v>
      </c>
      <c r="F131" s="351"/>
      <c r="G131" s="46"/>
      <c r="H131" s="350"/>
      <c r="I131" s="46"/>
      <c r="J131" s="41"/>
      <c r="K131" s="43"/>
      <c r="L131" s="51">
        <f t="shared" si="16"/>
        <v>0</v>
      </c>
      <c r="M131" s="43"/>
      <c r="N131" s="51">
        <f t="shared" si="17"/>
        <v>0</v>
      </c>
      <c r="O131" s="43"/>
      <c r="P131" s="51">
        <f t="shared" si="18"/>
        <v>0</v>
      </c>
      <c r="Q131" s="337"/>
      <c r="R131" s="51">
        <f t="shared" si="19"/>
        <v>0</v>
      </c>
      <c r="S131" s="345"/>
      <c r="T131" s="51">
        <f t="shared" si="20"/>
        <v>0</v>
      </c>
      <c r="U131"/>
      <c r="V131"/>
      <c r="W131"/>
      <c r="X131"/>
      <c r="Y131"/>
      <c r="Z131"/>
      <c r="AA131"/>
      <c r="AB131"/>
      <c r="AC131"/>
      <c r="AD131"/>
      <c r="AE131"/>
      <c r="AF131"/>
      <c r="AG131"/>
      <c r="AH131"/>
      <c r="AI131"/>
      <c r="AJ131"/>
      <c r="AK131"/>
    </row>
    <row r="132" spans="1:37" ht="16.5" thickBot="1">
      <c r="A132" s="275"/>
      <c r="B132" s="46"/>
      <c r="C132" s="696"/>
      <c r="D132" s="348"/>
      <c r="E132" s="493" t="s">
        <v>208</v>
      </c>
      <c r="F132" s="351"/>
      <c r="G132" s="46"/>
      <c r="H132" s="350"/>
      <c r="I132" s="46"/>
      <c r="J132" s="41"/>
      <c r="K132" s="43"/>
      <c r="L132" s="51">
        <f t="shared" si="16"/>
        <v>0</v>
      </c>
      <c r="M132" s="43"/>
      <c r="N132" s="51">
        <f t="shared" si="17"/>
        <v>0</v>
      </c>
      <c r="O132" s="43"/>
      <c r="P132" s="51">
        <f t="shared" si="18"/>
        <v>0</v>
      </c>
      <c r="Q132" s="337"/>
      <c r="R132" s="51">
        <f t="shared" si="19"/>
        <v>0</v>
      </c>
      <c r="S132" s="345"/>
      <c r="T132" s="51">
        <f t="shared" si="20"/>
        <v>0</v>
      </c>
      <c r="U132"/>
      <c r="V132"/>
      <c r="W132"/>
      <c r="X132"/>
      <c r="Y132"/>
      <c r="Z132"/>
      <c r="AA132"/>
      <c r="AB132"/>
      <c r="AC132"/>
      <c r="AD132"/>
      <c r="AE132"/>
      <c r="AF132"/>
      <c r="AG132"/>
      <c r="AH132"/>
      <c r="AI132"/>
      <c r="AJ132"/>
      <c r="AK132"/>
    </row>
    <row r="133" spans="1:37" ht="16.5" thickBot="1">
      <c r="A133" s="275"/>
      <c r="B133" s="46"/>
      <c r="C133" s="696"/>
      <c r="D133" s="348"/>
      <c r="E133" s="493" t="s">
        <v>208</v>
      </c>
      <c r="F133" s="351"/>
      <c r="G133" s="46"/>
      <c r="H133" s="350"/>
      <c r="I133" s="46"/>
      <c r="J133" s="41"/>
      <c r="K133" s="43"/>
      <c r="L133" s="51">
        <f t="shared" si="16"/>
        <v>0</v>
      </c>
      <c r="M133" s="43"/>
      <c r="N133" s="51">
        <f t="shared" si="17"/>
        <v>0</v>
      </c>
      <c r="O133" s="43"/>
      <c r="P133" s="51">
        <f t="shared" si="18"/>
        <v>0</v>
      </c>
      <c r="Q133" s="337"/>
      <c r="R133" s="51">
        <f t="shared" si="19"/>
        <v>0</v>
      </c>
      <c r="S133" s="345"/>
      <c r="T133" s="51">
        <f t="shared" si="20"/>
        <v>0</v>
      </c>
      <c r="U133"/>
      <c r="V133"/>
      <c r="W133"/>
      <c r="X133"/>
      <c r="Y133"/>
      <c r="Z133"/>
      <c r="AA133"/>
      <c r="AB133"/>
      <c r="AC133"/>
      <c r="AD133"/>
      <c r="AE133"/>
      <c r="AF133"/>
      <c r="AG133"/>
      <c r="AH133"/>
      <c r="AI133"/>
      <c r="AJ133"/>
      <c r="AK133"/>
    </row>
    <row r="134" spans="1:37" ht="16.5" thickBot="1">
      <c r="A134" s="275"/>
      <c r="B134" s="46"/>
      <c r="C134" s="696"/>
      <c r="D134" s="348"/>
      <c r="E134" s="493" t="s">
        <v>208</v>
      </c>
      <c r="F134" s="351"/>
      <c r="G134" s="46"/>
      <c r="H134" s="350"/>
      <c r="I134" s="46"/>
      <c r="J134" s="41"/>
      <c r="K134" s="43"/>
      <c r="L134" s="51">
        <f t="shared" si="16"/>
        <v>0</v>
      </c>
      <c r="M134" s="43"/>
      <c r="N134" s="51">
        <f t="shared" si="17"/>
        <v>0</v>
      </c>
      <c r="O134" s="43"/>
      <c r="P134" s="51">
        <f t="shared" si="18"/>
        <v>0</v>
      </c>
      <c r="Q134" s="337"/>
      <c r="R134" s="51">
        <f t="shared" si="19"/>
        <v>0</v>
      </c>
      <c r="S134" s="345"/>
      <c r="T134" s="51">
        <f t="shared" si="20"/>
        <v>0</v>
      </c>
      <c r="U134"/>
      <c r="V134"/>
      <c r="W134"/>
      <c r="X134"/>
      <c r="Y134"/>
      <c r="Z134"/>
      <c r="AA134"/>
      <c r="AB134"/>
      <c r="AC134"/>
      <c r="AD134"/>
      <c r="AE134"/>
      <c r="AF134"/>
      <c r="AG134"/>
      <c r="AH134"/>
      <c r="AI134"/>
      <c r="AJ134"/>
      <c r="AK134"/>
    </row>
    <row r="135" spans="1:37" ht="16.5" thickBot="1">
      <c r="A135" s="275"/>
      <c r="B135" s="46"/>
      <c r="C135" s="696"/>
      <c r="D135" s="348"/>
      <c r="E135" s="493" t="s">
        <v>208</v>
      </c>
      <c r="F135" s="351"/>
      <c r="G135" s="46"/>
      <c r="H135" s="350"/>
      <c r="I135" s="46"/>
      <c r="J135" s="41"/>
      <c r="K135" s="43"/>
      <c r="L135" s="51">
        <f t="shared" si="16"/>
        <v>0</v>
      </c>
      <c r="M135" s="43"/>
      <c r="N135" s="51">
        <f t="shared" si="17"/>
        <v>0</v>
      </c>
      <c r="O135" s="43"/>
      <c r="P135" s="51">
        <f t="shared" si="18"/>
        <v>0</v>
      </c>
      <c r="Q135" s="337"/>
      <c r="R135" s="51">
        <f t="shared" si="19"/>
        <v>0</v>
      </c>
      <c r="S135" s="345"/>
      <c r="T135" s="51">
        <f t="shared" si="20"/>
        <v>0</v>
      </c>
      <c r="U135"/>
      <c r="V135"/>
      <c r="W135"/>
      <c r="X135"/>
      <c r="Y135"/>
      <c r="Z135"/>
      <c r="AA135"/>
      <c r="AB135"/>
      <c r="AC135"/>
      <c r="AD135"/>
      <c r="AE135"/>
      <c r="AF135"/>
      <c r="AG135"/>
      <c r="AH135"/>
      <c r="AI135"/>
      <c r="AJ135"/>
      <c r="AK135"/>
    </row>
    <row r="136" spans="1:37" ht="16.5" thickBot="1">
      <c r="A136" s="275"/>
      <c r="B136" s="46"/>
      <c r="C136" s="696"/>
      <c r="D136" s="348"/>
      <c r="E136" s="493" t="s">
        <v>208</v>
      </c>
      <c r="F136" s="351"/>
      <c r="G136" s="46"/>
      <c r="H136" s="350"/>
      <c r="I136" s="46"/>
      <c r="J136" s="41"/>
      <c r="K136" s="43"/>
      <c r="L136" s="51">
        <f t="shared" si="16"/>
        <v>0</v>
      </c>
      <c r="M136" s="43"/>
      <c r="N136" s="51">
        <f t="shared" si="17"/>
        <v>0</v>
      </c>
      <c r="O136" s="43"/>
      <c r="P136" s="51">
        <f t="shared" si="18"/>
        <v>0</v>
      </c>
      <c r="Q136" s="337"/>
      <c r="R136" s="51">
        <f t="shared" si="19"/>
        <v>0</v>
      </c>
      <c r="S136" s="345"/>
      <c r="T136" s="51">
        <f t="shared" si="20"/>
        <v>0</v>
      </c>
      <c r="U136"/>
      <c r="V136"/>
      <c r="W136"/>
      <c r="X136"/>
      <c r="Y136"/>
      <c r="Z136"/>
      <c r="AA136"/>
      <c r="AB136"/>
      <c r="AC136"/>
      <c r="AD136"/>
      <c r="AE136"/>
      <c r="AF136"/>
      <c r="AG136"/>
      <c r="AH136"/>
      <c r="AI136"/>
      <c r="AJ136"/>
      <c r="AK136"/>
    </row>
    <row r="137" spans="1:37" ht="16.5" thickBot="1">
      <c r="A137" s="45"/>
      <c r="B137" s="46"/>
      <c r="C137" s="304"/>
      <c r="D137" s="304"/>
      <c r="E137" s="304"/>
      <c r="F137" s="304"/>
      <c r="G137" s="46"/>
      <c r="H137" s="288"/>
      <c r="I137" s="46"/>
      <c r="J137" s="54"/>
      <c r="K137" s="43"/>
      <c r="L137" s="54"/>
      <c r="M137" s="43"/>
      <c r="N137" s="54"/>
      <c r="O137" s="43"/>
      <c r="P137" s="54"/>
      <c r="Q137" s="337"/>
      <c r="R137" s="56"/>
      <c r="S137" s="346"/>
      <c r="T137" s="56"/>
      <c r="U137"/>
      <c r="V137"/>
      <c r="W137"/>
      <c r="X137"/>
      <c r="Y137"/>
      <c r="Z137"/>
      <c r="AA137"/>
      <c r="AB137"/>
      <c r="AC137"/>
      <c r="AD137"/>
      <c r="AE137"/>
      <c r="AF137"/>
      <c r="AG137"/>
      <c r="AH137"/>
      <c r="AI137"/>
      <c r="AJ137"/>
      <c r="AK137"/>
    </row>
    <row r="138" spans="2:37" ht="16.5" thickBot="1">
      <c r="B138" s="38"/>
      <c r="C138" s="301"/>
      <c r="D138" s="301"/>
      <c r="E138" s="301"/>
      <c r="F138" s="301"/>
      <c r="G138" s="38"/>
      <c r="H138" s="290" t="s">
        <v>20</v>
      </c>
      <c r="I138" s="38"/>
      <c r="J138" s="486">
        <f>SUM(J119:J136)</f>
        <v>33750</v>
      </c>
      <c r="K138" s="362"/>
      <c r="L138" s="486">
        <f>SUM(L119:L136)</f>
        <v>154664.875</v>
      </c>
      <c r="M138" s="362"/>
      <c r="N138" s="486">
        <f>SUM(N119:N136)</f>
        <v>156840.6475</v>
      </c>
      <c r="O138" s="362"/>
      <c r="P138" s="486">
        <f>SUM(P119:P136)</f>
        <v>159407.6141125</v>
      </c>
      <c r="Q138" s="363"/>
      <c r="R138" s="486">
        <f>SUM(R119:R136)</f>
        <v>163497.442535875</v>
      </c>
      <c r="S138" s="359"/>
      <c r="T138" s="486">
        <f>SUM(T119:T136)</f>
        <v>167693.76581195122</v>
      </c>
      <c r="U138"/>
      <c r="V138"/>
      <c r="W138"/>
      <c r="X138"/>
      <c r="Y138"/>
      <c r="Z138"/>
      <c r="AA138"/>
      <c r="AB138"/>
      <c r="AC138"/>
      <c r="AD138"/>
      <c r="AE138"/>
      <c r="AF138"/>
      <c r="AG138"/>
      <c r="AH138"/>
      <c r="AI138"/>
      <c r="AJ138"/>
      <c r="AK138"/>
    </row>
    <row r="139" spans="1:37" ht="16.5" thickBot="1">
      <c r="A139" s="57"/>
      <c r="B139" s="58"/>
      <c r="C139" s="306"/>
      <c r="D139" s="306"/>
      <c r="E139" s="306"/>
      <c r="F139" s="306"/>
      <c r="G139" s="58"/>
      <c r="H139" s="288"/>
      <c r="I139" s="58"/>
      <c r="J139" s="54"/>
      <c r="K139" s="59"/>
      <c r="L139" s="54"/>
      <c r="M139" s="59"/>
      <c r="N139" s="54"/>
      <c r="O139" s="59"/>
      <c r="P139" s="54"/>
      <c r="Q139" s="339"/>
      <c r="R139" s="56"/>
      <c r="S139" s="347"/>
      <c r="T139" s="56"/>
      <c r="U139"/>
      <c r="V139"/>
      <c r="W139"/>
      <c r="X139"/>
      <c r="Y139"/>
      <c r="Z139"/>
      <c r="AA139"/>
      <c r="AB139"/>
      <c r="AC139"/>
      <c r="AD139"/>
      <c r="AE139"/>
      <c r="AF139"/>
      <c r="AG139"/>
      <c r="AH139"/>
      <c r="AI139"/>
      <c r="AJ139"/>
      <c r="AK139"/>
    </row>
    <row r="140" spans="1:37" ht="18.75" customHeight="1" thickBot="1">
      <c r="A140" s="290" t="s">
        <v>237</v>
      </c>
      <c r="B140" s="38"/>
      <c r="C140" s="696"/>
      <c r="D140" s="348"/>
      <c r="E140" s="493" t="s">
        <v>208</v>
      </c>
      <c r="F140" s="351"/>
      <c r="G140" s="38"/>
      <c r="H140" s="370" t="str">
        <f>A140</f>
        <v>Education Management Organization Fee</v>
      </c>
      <c r="I140" s="38"/>
      <c r="J140" s="457"/>
      <c r="K140" s="364"/>
      <c r="L140" s="352">
        <f>IF($C140="Per Employee",$L$175*$D140,IF($C140="Per Pupil",$D140*$L$177,IF($C140="Fixed Per Year",$D140,0)))</f>
        <v>0</v>
      </c>
      <c r="M140" s="43"/>
      <c r="N140" s="352">
        <f>IF($C140="Per Employee",$N$175*$D140,IF($C140="Per Pupil",$D140*$N$177,IF($C140="Fixed Per Year",$D140)))*(1+$F140)^1</f>
        <v>0</v>
      </c>
      <c r="O140" s="43"/>
      <c r="P140" s="352">
        <f>IF($C140="Per Employee",$P$175*$D140,IF($C140="Per Pupil",$D140*$P$177,IF($C140="Fixed Per Year",$D140)))*(1+$F140)^2</f>
        <v>0</v>
      </c>
      <c r="Q140" s="337"/>
      <c r="R140" s="352">
        <f>IF($C140="Per Employee",$R$175*$D140,IF($C140="Per Pupil",$D140*$R$177,IF($C140="Fixed Per Year",$D140)))*(1+$F140)^3</f>
        <v>0</v>
      </c>
      <c r="S140" s="345"/>
      <c r="T140" s="352">
        <f>IF($C140="Per Employee",$T$175*$D140,IF($C140="Per Pupil",$D140*$T$177,IF($C140="Fixed Per Year",$D140)))*(1+$F140)^4</f>
        <v>0</v>
      </c>
      <c r="U140"/>
      <c r="V140"/>
      <c r="W140"/>
      <c r="X140"/>
      <c r="Y140"/>
      <c r="Z140"/>
      <c r="AA140"/>
      <c r="AB140"/>
      <c r="AC140"/>
      <c r="AD140"/>
      <c r="AE140"/>
      <c r="AF140"/>
      <c r="AG140"/>
      <c r="AH140"/>
      <c r="AI140"/>
      <c r="AJ140"/>
      <c r="AK140"/>
    </row>
    <row r="141" spans="1:37" ht="16.5" thickBot="1">
      <c r="A141" s="57"/>
      <c r="B141" s="58"/>
      <c r="C141" s="306"/>
      <c r="D141" s="306"/>
      <c r="E141" s="306"/>
      <c r="F141" s="306"/>
      <c r="G141" s="58"/>
      <c r="H141" s="288"/>
      <c r="I141" s="58"/>
      <c r="J141" s="54"/>
      <c r="K141" s="59"/>
      <c r="L141" s="54"/>
      <c r="M141" s="59"/>
      <c r="N141" s="54"/>
      <c r="O141" s="59"/>
      <c r="P141" s="54"/>
      <c r="Q141" s="339"/>
      <c r="R141" s="56"/>
      <c r="S141" s="347"/>
      <c r="T141" s="56"/>
      <c r="U141"/>
      <c r="V141"/>
      <c r="W141"/>
      <c r="X141"/>
      <c r="Y141"/>
      <c r="Z141"/>
      <c r="AA141"/>
      <c r="AB141"/>
      <c r="AC141"/>
      <c r="AD141"/>
      <c r="AE141"/>
      <c r="AF141"/>
      <c r="AG141"/>
      <c r="AH141"/>
      <c r="AI141"/>
      <c r="AJ141"/>
      <c r="AK141"/>
    </row>
    <row r="142" spans="1:37" ht="18.75" customHeight="1" thickBot="1">
      <c r="A142" s="368" t="s">
        <v>243</v>
      </c>
      <c r="B142" s="55"/>
      <c r="C142" s="305"/>
      <c r="D142" s="305"/>
      <c r="E142" s="305"/>
      <c r="F142" s="305"/>
      <c r="G142" s="55"/>
      <c r="H142" s="288"/>
      <c r="I142" s="55"/>
      <c r="J142" s="44"/>
      <c r="K142" s="43"/>
      <c r="L142" s="44"/>
      <c r="M142" s="43"/>
      <c r="N142" s="44"/>
      <c r="O142" s="43"/>
      <c r="P142" s="44"/>
      <c r="Q142" s="337"/>
      <c r="R142" s="34"/>
      <c r="S142" s="346"/>
      <c r="T142" s="34"/>
      <c r="U142"/>
      <c r="V142"/>
      <c r="W142"/>
      <c r="X142"/>
      <c r="Y142"/>
      <c r="Z142"/>
      <c r="AA142"/>
      <c r="AB142"/>
      <c r="AC142"/>
      <c r="AD142"/>
      <c r="AE142"/>
      <c r="AF142"/>
      <c r="AG142"/>
      <c r="AH142"/>
      <c r="AI142"/>
      <c r="AJ142"/>
      <c r="AK142"/>
    </row>
    <row r="143" spans="1:37" ht="16.5" thickBot="1">
      <c r="A143" s="718" t="s">
        <v>22</v>
      </c>
      <c r="B143" s="42"/>
      <c r="C143" s="696"/>
      <c r="D143" s="348"/>
      <c r="E143" s="493" t="s">
        <v>208</v>
      </c>
      <c r="F143" s="351"/>
      <c r="G143" s="42"/>
      <c r="H143" s="350"/>
      <c r="I143" s="42"/>
      <c r="J143" s="41"/>
      <c r="K143" s="43"/>
      <c r="L143" s="51">
        <f>IF($C143="Per Employee",$L$175*$D143,IF($C143="Per Pupil",$D143*$L$177,IF($C143="Fixed Per Year",$D143,0)))</f>
        <v>0</v>
      </c>
      <c r="M143" s="43"/>
      <c r="N143" s="51">
        <f>IF($C143="Per Employee",$N$175*$D143,IF($C143="Per Pupil",$D143*$N$177,IF($C143="Fixed Per Year",$D143)))*(1+$F143)^1</f>
        <v>0</v>
      </c>
      <c r="O143" s="43"/>
      <c r="P143" s="51">
        <f>IF($C143="Per Employee",$P$175*$D143,IF($C143="Per Pupil",$D143*$P$177,IF($C143="Fixed Per Year",$D143)))*(1+$F143)^2</f>
        <v>0</v>
      </c>
      <c r="Q143" s="337"/>
      <c r="R143" s="51">
        <f>IF($C143="Per Employee",$R$175*$D143,IF($C143="Per Pupil",$D143*$R$177,IF($C143="Fixed Per Year",$D143)))*(1+$F143)^3</f>
        <v>0</v>
      </c>
      <c r="S143" s="345"/>
      <c r="T143" s="51">
        <f>IF($C143="Per Employee",$T$175*$D143,IF($C143="Per Pupil",$D143*$T$177,IF($C143="Fixed Per Year",$D143)))*(1+$F143)^4</f>
        <v>0</v>
      </c>
      <c r="U143"/>
      <c r="V143"/>
      <c r="W143"/>
      <c r="X143"/>
      <c r="Y143"/>
      <c r="Z143"/>
      <c r="AA143"/>
      <c r="AB143"/>
      <c r="AC143"/>
      <c r="AD143"/>
      <c r="AE143"/>
      <c r="AF143"/>
      <c r="AG143"/>
      <c r="AH143"/>
      <c r="AI143"/>
      <c r="AJ143"/>
      <c r="AK143"/>
    </row>
    <row r="144" spans="1:37" ht="16.5" thickBot="1">
      <c r="A144" s="719" t="s">
        <v>244</v>
      </c>
      <c r="B144" s="42"/>
      <c r="C144" s="696"/>
      <c r="D144" s="348"/>
      <c r="E144" s="493" t="s">
        <v>208</v>
      </c>
      <c r="F144" s="351"/>
      <c r="G144" s="42"/>
      <c r="H144" s="350"/>
      <c r="I144" s="42"/>
      <c r="J144" s="41"/>
      <c r="K144" s="43"/>
      <c r="L144" s="51">
        <f aca="true" t="shared" si="21" ref="L144:L155">IF($C144="Per Employee",$L$175*$D144,IF($C144="Per Pupil",$D144*$L$177,IF($C144="Fixed Per Year",$D144,0)))</f>
        <v>0</v>
      </c>
      <c r="M144" s="43"/>
      <c r="N144" s="51">
        <f aca="true" t="shared" si="22" ref="N144:N155">IF($C144="Per Employee",$N$175*$D144,IF($C144="Per Pupil",$D144*$N$177,IF($C144="Fixed Per Year",$D144)))*(1+$F144)^1</f>
        <v>0</v>
      </c>
      <c r="O144" s="43"/>
      <c r="P144" s="51">
        <f aca="true" t="shared" si="23" ref="P144:P155">IF($C144="Per Employee",$P$175*$D144,IF($C144="Per Pupil",$D144*$P$177,IF($C144="Fixed Per Year",$D144)))*(1+$F144)^2</f>
        <v>0</v>
      </c>
      <c r="Q144" s="337"/>
      <c r="R144" s="51">
        <f aca="true" t="shared" si="24" ref="R144:R155">IF($C144="Per Employee",$R$175*$D144,IF($C144="Per Pupil",$D144*$R$177,IF($C144="Fixed Per Year",$D144)))*(1+$F144)^3</f>
        <v>0</v>
      </c>
      <c r="S144" s="345"/>
      <c r="T144" s="51">
        <f aca="true" t="shared" si="25" ref="T144:T155">IF($C144="Per Employee",$T$175*$D144,IF($C144="Per Pupil",$D144*$T$177,IF($C144="Fixed Per Year",$D144)))*(1+$F144)^4</f>
        <v>0</v>
      </c>
      <c r="U144"/>
      <c r="V144"/>
      <c r="W144"/>
      <c r="X144"/>
      <c r="Y144"/>
      <c r="Z144"/>
      <c r="AA144"/>
      <c r="AB144"/>
      <c r="AC144"/>
      <c r="AD144"/>
      <c r="AE144"/>
      <c r="AF144"/>
      <c r="AG144"/>
      <c r="AH144"/>
      <c r="AI144"/>
      <c r="AJ144"/>
      <c r="AK144"/>
    </row>
    <row r="145" spans="1:37" ht="16.5" thickBot="1">
      <c r="A145" s="719" t="s">
        <v>56</v>
      </c>
      <c r="B145" s="42"/>
      <c r="C145" s="696"/>
      <c r="D145" s="348"/>
      <c r="E145" s="493" t="s">
        <v>208</v>
      </c>
      <c r="F145" s="351"/>
      <c r="G145" s="42"/>
      <c r="H145" s="350"/>
      <c r="I145" s="42"/>
      <c r="J145" s="41"/>
      <c r="K145" s="43"/>
      <c r="L145" s="51">
        <f t="shared" si="21"/>
        <v>0</v>
      </c>
      <c r="M145" s="43"/>
      <c r="N145" s="51">
        <f t="shared" si="22"/>
        <v>0</v>
      </c>
      <c r="O145" s="43"/>
      <c r="P145" s="51">
        <f t="shared" si="23"/>
        <v>0</v>
      </c>
      <c r="Q145" s="337"/>
      <c r="R145" s="51">
        <f t="shared" si="24"/>
        <v>0</v>
      </c>
      <c r="S145" s="345"/>
      <c r="T145" s="51">
        <f t="shared" si="25"/>
        <v>0</v>
      </c>
      <c r="V145"/>
      <c r="W145"/>
      <c r="X145"/>
      <c r="Y145"/>
      <c r="Z145"/>
      <c r="AA145"/>
      <c r="AB145"/>
      <c r="AC145"/>
      <c r="AD145"/>
      <c r="AE145"/>
      <c r="AF145"/>
      <c r="AG145"/>
      <c r="AH145"/>
      <c r="AI145"/>
      <c r="AJ145"/>
      <c r="AK145"/>
    </row>
    <row r="146" spans="1:37" ht="16.5" thickBot="1">
      <c r="A146" s="719" t="s">
        <v>245</v>
      </c>
      <c r="B146" s="42"/>
      <c r="C146" s="696"/>
      <c r="D146" s="348"/>
      <c r="E146" s="493" t="s">
        <v>208</v>
      </c>
      <c r="F146" s="351"/>
      <c r="G146" s="42"/>
      <c r="H146" s="350"/>
      <c r="I146" s="42"/>
      <c r="J146" s="41"/>
      <c r="K146" s="43"/>
      <c r="L146" s="51">
        <f t="shared" si="21"/>
        <v>0</v>
      </c>
      <c r="M146" s="43"/>
      <c r="N146" s="51">
        <f t="shared" si="22"/>
        <v>0</v>
      </c>
      <c r="O146" s="43"/>
      <c r="P146" s="51">
        <f t="shared" si="23"/>
        <v>0</v>
      </c>
      <c r="Q146" s="337"/>
      <c r="R146" s="51">
        <f t="shared" si="24"/>
        <v>0</v>
      </c>
      <c r="S146" s="345"/>
      <c r="T146" s="51">
        <f t="shared" si="25"/>
        <v>0</v>
      </c>
      <c r="V146"/>
      <c r="W146"/>
      <c r="X146"/>
      <c r="Y146"/>
      <c r="Z146"/>
      <c r="AA146"/>
      <c r="AB146"/>
      <c r="AC146"/>
      <c r="AD146"/>
      <c r="AE146"/>
      <c r="AF146"/>
      <c r="AG146"/>
      <c r="AH146"/>
      <c r="AI146"/>
      <c r="AJ146"/>
      <c r="AK146"/>
    </row>
    <row r="147" spans="1:37" ht="16.5" thickBot="1">
      <c r="A147" s="719" t="s">
        <v>23</v>
      </c>
      <c r="B147" s="42"/>
      <c r="C147" s="696"/>
      <c r="D147" s="348"/>
      <c r="E147" s="493" t="s">
        <v>208</v>
      </c>
      <c r="F147" s="351"/>
      <c r="G147" s="42"/>
      <c r="H147" s="350"/>
      <c r="I147" s="42"/>
      <c r="J147" s="41"/>
      <c r="K147" s="43"/>
      <c r="L147" s="51">
        <f t="shared" si="21"/>
        <v>0</v>
      </c>
      <c r="M147" s="43"/>
      <c r="N147" s="51">
        <f t="shared" si="22"/>
        <v>0</v>
      </c>
      <c r="O147" s="43"/>
      <c r="P147" s="51">
        <f t="shared" si="23"/>
        <v>0</v>
      </c>
      <c r="Q147" s="337"/>
      <c r="R147" s="51">
        <f t="shared" si="24"/>
        <v>0</v>
      </c>
      <c r="S147" s="345"/>
      <c r="T147" s="51">
        <f t="shared" si="25"/>
        <v>0</v>
      </c>
      <c r="V147"/>
      <c r="W147"/>
      <c r="X147"/>
      <c r="Y147"/>
      <c r="Z147"/>
      <c r="AA147"/>
      <c r="AB147"/>
      <c r="AC147"/>
      <c r="AD147"/>
      <c r="AE147"/>
      <c r="AF147"/>
      <c r="AG147"/>
      <c r="AH147"/>
      <c r="AI147"/>
      <c r="AJ147"/>
      <c r="AK147"/>
    </row>
    <row r="148" spans="1:37" ht="16.5" thickBot="1">
      <c r="A148" s="287"/>
      <c r="B148" s="42"/>
      <c r="C148" s="696"/>
      <c r="D148" s="348"/>
      <c r="E148" s="493" t="s">
        <v>208</v>
      </c>
      <c r="F148" s="351"/>
      <c r="G148" s="42"/>
      <c r="H148" s="350"/>
      <c r="I148" s="42"/>
      <c r="J148" s="41"/>
      <c r="K148" s="43"/>
      <c r="L148" s="51">
        <f t="shared" si="21"/>
        <v>0</v>
      </c>
      <c r="M148" s="43"/>
      <c r="N148" s="51">
        <f t="shared" si="22"/>
        <v>0</v>
      </c>
      <c r="O148" s="43"/>
      <c r="P148" s="51">
        <f t="shared" si="23"/>
        <v>0</v>
      </c>
      <c r="Q148" s="337"/>
      <c r="R148" s="51">
        <f t="shared" si="24"/>
        <v>0</v>
      </c>
      <c r="S148" s="345"/>
      <c r="T148" s="51">
        <f t="shared" si="25"/>
        <v>0</v>
      </c>
      <c r="V148"/>
      <c r="W148"/>
      <c r="X148"/>
      <c r="Y148"/>
      <c r="Z148"/>
      <c r="AA148"/>
      <c r="AB148"/>
      <c r="AC148"/>
      <c r="AD148"/>
      <c r="AE148"/>
      <c r="AF148"/>
      <c r="AG148"/>
      <c r="AH148"/>
      <c r="AI148"/>
      <c r="AJ148"/>
      <c r="AK148"/>
    </row>
    <row r="149" spans="1:37" ht="16.5" thickBot="1">
      <c r="A149" s="287"/>
      <c r="B149" s="42"/>
      <c r="C149" s="696"/>
      <c r="D149" s="348"/>
      <c r="E149" s="493" t="s">
        <v>208</v>
      </c>
      <c r="F149" s="351"/>
      <c r="G149" s="42"/>
      <c r="H149" s="350"/>
      <c r="I149" s="42"/>
      <c r="J149" s="41"/>
      <c r="K149" s="43"/>
      <c r="L149" s="51">
        <f t="shared" si="21"/>
        <v>0</v>
      </c>
      <c r="M149" s="43"/>
      <c r="N149" s="51">
        <f t="shared" si="22"/>
        <v>0</v>
      </c>
      <c r="O149" s="43"/>
      <c r="P149" s="51">
        <f t="shared" si="23"/>
        <v>0</v>
      </c>
      <c r="Q149" s="337"/>
      <c r="R149" s="51">
        <f t="shared" si="24"/>
        <v>0</v>
      </c>
      <c r="S149" s="345"/>
      <c r="T149" s="51">
        <f t="shared" si="25"/>
        <v>0</v>
      </c>
      <c r="V149"/>
      <c r="W149"/>
      <c r="X149"/>
      <c r="Y149"/>
      <c r="Z149"/>
      <c r="AA149"/>
      <c r="AB149"/>
      <c r="AC149"/>
      <c r="AD149"/>
      <c r="AE149"/>
      <c r="AF149"/>
      <c r="AG149"/>
      <c r="AH149"/>
      <c r="AI149"/>
      <c r="AJ149"/>
      <c r="AK149"/>
    </row>
    <row r="150" spans="1:37" ht="16.5" thickBot="1">
      <c r="A150" s="287"/>
      <c r="B150" s="42"/>
      <c r="C150" s="696"/>
      <c r="D150" s="348"/>
      <c r="E150" s="493" t="s">
        <v>208</v>
      </c>
      <c r="F150" s="351"/>
      <c r="G150" s="42"/>
      <c r="H150" s="350"/>
      <c r="I150" s="42"/>
      <c r="J150" s="41"/>
      <c r="K150" s="43"/>
      <c r="L150" s="51">
        <f t="shared" si="21"/>
        <v>0</v>
      </c>
      <c r="M150" s="43"/>
      <c r="N150" s="51">
        <f t="shared" si="22"/>
        <v>0</v>
      </c>
      <c r="O150" s="43"/>
      <c r="P150" s="51">
        <f t="shared" si="23"/>
        <v>0</v>
      </c>
      <c r="Q150" s="337"/>
      <c r="R150" s="51">
        <f t="shared" si="24"/>
        <v>0</v>
      </c>
      <c r="S150" s="345"/>
      <c r="T150" s="51">
        <f t="shared" si="25"/>
        <v>0</v>
      </c>
      <c r="V150"/>
      <c r="W150"/>
      <c r="X150"/>
      <c r="Y150"/>
      <c r="Z150"/>
      <c r="AA150"/>
      <c r="AB150"/>
      <c r="AC150"/>
      <c r="AD150"/>
      <c r="AE150"/>
      <c r="AF150"/>
      <c r="AG150"/>
      <c r="AH150"/>
      <c r="AI150"/>
      <c r="AJ150"/>
      <c r="AK150"/>
    </row>
    <row r="151" spans="1:37" ht="16.5" thickBot="1">
      <c r="A151" s="287"/>
      <c r="B151" s="42"/>
      <c r="C151" s="696"/>
      <c r="D151" s="348"/>
      <c r="E151" s="493" t="s">
        <v>208</v>
      </c>
      <c r="F151" s="351"/>
      <c r="G151" s="42"/>
      <c r="H151" s="350"/>
      <c r="I151" s="42"/>
      <c r="J151" s="41"/>
      <c r="K151" s="43"/>
      <c r="L151" s="51">
        <f t="shared" si="21"/>
        <v>0</v>
      </c>
      <c r="M151" s="43"/>
      <c r="N151" s="51">
        <f t="shared" si="22"/>
        <v>0</v>
      </c>
      <c r="O151" s="43"/>
      <c r="P151" s="51">
        <f t="shared" si="23"/>
        <v>0</v>
      </c>
      <c r="Q151" s="337"/>
      <c r="R151" s="51">
        <f t="shared" si="24"/>
        <v>0</v>
      </c>
      <c r="S151" s="345"/>
      <c r="T151" s="51">
        <f t="shared" si="25"/>
        <v>0</v>
      </c>
      <c r="V151"/>
      <c r="W151"/>
      <c r="X151"/>
      <c r="Y151"/>
      <c r="Z151"/>
      <c r="AA151"/>
      <c r="AB151"/>
      <c r="AC151"/>
      <c r="AD151"/>
      <c r="AE151"/>
      <c r="AF151"/>
      <c r="AG151"/>
      <c r="AH151"/>
      <c r="AI151"/>
      <c r="AJ151"/>
      <c r="AK151"/>
    </row>
    <row r="152" spans="1:37" ht="16.5" thickBot="1">
      <c r="A152" s="287"/>
      <c r="B152" s="42"/>
      <c r="C152" s="696"/>
      <c r="D152" s="348"/>
      <c r="E152" s="493" t="s">
        <v>208</v>
      </c>
      <c r="F152" s="351"/>
      <c r="G152" s="42"/>
      <c r="H152" s="350"/>
      <c r="I152" s="42"/>
      <c r="J152" s="41"/>
      <c r="K152" s="43"/>
      <c r="L152" s="51">
        <f t="shared" si="21"/>
        <v>0</v>
      </c>
      <c r="M152" s="43"/>
      <c r="N152" s="51">
        <f t="shared" si="22"/>
        <v>0</v>
      </c>
      <c r="O152" s="43"/>
      <c r="P152" s="51">
        <f t="shared" si="23"/>
        <v>0</v>
      </c>
      <c r="Q152" s="337"/>
      <c r="R152" s="51">
        <f t="shared" si="24"/>
        <v>0</v>
      </c>
      <c r="S152" s="345"/>
      <c r="T152" s="51">
        <f t="shared" si="25"/>
        <v>0</v>
      </c>
      <c r="V152"/>
      <c r="W152"/>
      <c r="X152"/>
      <c r="Y152"/>
      <c r="Z152"/>
      <c r="AA152"/>
      <c r="AB152"/>
      <c r="AC152"/>
      <c r="AD152"/>
      <c r="AE152"/>
      <c r="AF152"/>
      <c r="AG152"/>
      <c r="AH152"/>
      <c r="AI152"/>
      <c r="AJ152"/>
      <c r="AK152"/>
    </row>
    <row r="153" spans="1:37" ht="16.5" thickBot="1">
      <c r="A153" s="287"/>
      <c r="B153" s="46"/>
      <c r="C153" s="696"/>
      <c r="D153" s="348"/>
      <c r="E153" s="493" t="s">
        <v>208</v>
      </c>
      <c r="F153" s="351"/>
      <c r="G153" s="46"/>
      <c r="H153" s="350"/>
      <c r="I153" s="46"/>
      <c r="J153" s="41"/>
      <c r="K153" s="43"/>
      <c r="L153" s="51">
        <f t="shared" si="21"/>
        <v>0</v>
      </c>
      <c r="M153" s="43"/>
      <c r="N153" s="51">
        <f t="shared" si="22"/>
        <v>0</v>
      </c>
      <c r="O153" s="43"/>
      <c r="P153" s="51">
        <f t="shared" si="23"/>
        <v>0</v>
      </c>
      <c r="Q153" s="337"/>
      <c r="R153" s="51">
        <f t="shared" si="24"/>
        <v>0</v>
      </c>
      <c r="S153" s="345"/>
      <c r="T153" s="51">
        <f t="shared" si="25"/>
        <v>0</v>
      </c>
      <c r="V153"/>
      <c r="W153"/>
      <c r="X153"/>
      <c r="Y153"/>
      <c r="Z153"/>
      <c r="AA153"/>
      <c r="AB153"/>
      <c r="AC153"/>
      <c r="AD153"/>
      <c r="AE153"/>
      <c r="AF153"/>
      <c r="AG153"/>
      <c r="AH153"/>
      <c r="AI153"/>
      <c r="AJ153"/>
      <c r="AK153"/>
    </row>
    <row r="154" spans="1:37" ht="16.5" thickBot="1">
      <c r="A154" s="287"/>
      <c r="B154" s="46"/>
      <c r="C154" s="696"/>
      <c r="D154" s="348"/>
      <c r="E154" s="493" t="s">
        <v>208</v>
      </c>
      <c r="F154" s="351"/>
      <c r="G154" s="46"/>
      <c r="H154" s="350"/>
      <c r="I154" s="46"/>
      <c r="J154" s="41"/>
      <c r="K154" s="43"/>
      <c r="L154" s="51">
        <f t="shared" si="21"/>
        <v>0</v>
      </c>
      <c r="M154" s="43"/>
      <c r="N154" s="51">
        <f t="shared" si="22"/>
        <v>0</v>
      </c>
      <c r="O154" s="43"/>
      <c r="P154" s="51">
        <f t="shared" si="23"/>
        <v>0</v>
      </c>
      <c r="Q154" s="337"/>
      <c r="R154" s="51">
        <f t="shared" si="24"/>
        <v>0</v>
      </c>
      <c r="S154" s="345"/>
      <c r="T154" s="51">
        <f t="shared" si="25"/>
        <v>0</v>
      </c>
      <c r="V154"/>
      <c r="W154"/>
      <c r="X154"/>
      <c r="Y154"/>
      <c r="Z154"/>
      <c r="AA154"/>
      <c r="AB154"/>
      <c r="AC154"/>
      <c r="AD154"/>
      <c r="AE154"/>
      <c r="AF154"/>
      <c r="AG154"/>
      <c r="AH154"/>
      <c r="AI154"/>
      <c r="AJ154"/>
      <c r="AK154"/>
    </row>
    <row r="155" spans="1:37" ht="16.5" thickBot="1">
      <c r="A155" s="287"/>
      <c r="B155" s="46"/>
      <c r="C155" s="696"/>
      <c r="D155" s="348"/>
      <c r="E155" s="493" t="s">
        <v>208</v>
      </c>
      <c r="F155" s="351"/>
      <c r="G155" s="46"/>
      <c r="H155" s="350"/>
      <c r="I155" s="46"/>
      <c r="J155" s="41"/>
      <c r="K155" s="43"/>
      <c r="L155" s="51">
        <f t="shared" si="21"/>
        <v>0</v>
      </c>
      <c r="M155" s="43"/>
      <c r="N155" s="51">
        <f t="shared" si="22"/>
        <v>0</v>
      </c>
      <c r="O155" s="43"/>
      <c r="P155" s="51">
        <f t="shared" si="23"/>
        <v>0</v>
      </c>
      <c r="Q155" s="337"/>
      <c r="R155" s="51">
        <f t="shared" si="24"/>
        <v>0</v>
      </c>
      <c r="S155" s="345"/>
      <c r="T155" s="51">
        <f t="shared" si="25"/>
        <v>0</v>
      </c>
      <c r="V155"/>
      <c r="W155"/>
      <c r="X155"/>
      <c r="Y155"/>
      <c r="Z155"/>
      <c r="AA155"/>
      <c r="AB155"/>
      <c r="AC155"/>
      <c r="AD155"/>
      <c r="AE155"/>
      <c r="AF155"/>
      <c r="AG155"/>
      <c r="AH155"/>
      <c r="AI155"/>
      <c r="AJ155"/>
      <c r="AK155"/>
    </row>
    <row r="156" spans="1:37" ht="16.5" thickBot="1">
      <c r="A156" s="40"/>
      <c r="B156" s="42"/>
      <c r="C156" s="302"/>
      <c r="D156" s="302"/>
      <c r="E156" s="302"/>
      <c r="F156" s="302"/>
      <c r="G156" s="42"/>
      <c r="H156" s="288"/>
      <c r="I156" s="42"/>
      <c r="J156" s="47"/>
      <c r="K156" s="39"/>
      <c r="L156" s="47"/>
      <c r="M156" s="39"/>
      <c r="N156" s="47"/>
      <c r="O156" s="39"/>
      <c r="P156" s="47"/>
      <c r="Q156" s="336"/>
      <c r="R156" s="48"/>
      <c r="S156" s="345"/>
      <c r="T156" s="48"/>
      <c r="V156"/>
      <c r="W156"/>
      <c r="X156"/>
      <c r="Y156"/>
      <c r="Z156"/>
      <c r="AA156"/>
      <c r="AB156"/>
      <c r="AC156"/>
      <c r="AD156"/>
      <c r="AE156"/>
      <c r="AF156"/>
      <c r="AG156"/>
      <c r="AH156"/>
      <c r="AI156"/>
      <c r="AJ156"/>
      <c r="AK156"/>
    </row>
    <row r="157" spans="2:37" ht="16.5" thickBot="1">
      <c r="B157" s="38"/>
      <c r="C157" s="301"/>
      <c r="D157" s="301"/>
      <c r="E157" s="301"/>
      <c r="F157" s="301"/>
      <c r="G157" s="38"/>
      <c r="H157" s="290" t="s">
        <v>24</v>
      </c>
      <c r="I157" s="38"/>
      <c r="J157" s="485">
        <f>SUM(J143:J155)</f>
        <v>0</v>
      </c>
      <c r="K157" s="360"/>
      <c r="L157" s="485">
        <f>SUM(L143:L155)</f>
        <v>0</v>
      </c>
      <c r="M157" s="360"/>
      <c r="N157" s="485">
        <f>SUM(N143:N155)</f>
        <v>0</v>
      </c>
      <c r="O157" s="360"/>
      <c r="P157" s="485">
        <f>SUM(P143:P155)</f>
        <v>0</v>
      </c>
      <c r="Q157" s="361"/>
      <c r="R157" s="485">
        <f>SUM(R143:R155)</f>
        <v>0</v>
      </c>
      <c r="S157" s="359"/>
      <c r="T157" s="485">
        <f>SUM(T143:T155)</f>
        <v>0</v>
      </c>
      <c r="U157" s="113"/>
      <c r="V157"/>
      <c r="W157"/>
      <c r="X157"/>
      <c r="Y157"/>
      <c r="Z157"/>
      <c r="AA157"/>
      <c r="AB157"/>
      <c r="AC157"/>
      <c r="AD157"/>
      <c r="AE157"/>
      <c r="AF157"/>
      <c r="AG157"/>
      <c r="AH157"/>
      <c r="AI157"/>
      <c r="AJ157"/>
      <c r="AK157"/>
    </row>
    <row r="158" spans="2:37" ht="16.5" thickBot="1">
      <c r="B158" s="62"/>
      <c r="C158" s="307"/>
      <c r="D158" s="307"/>
      <c r="E158" s="307"/>
      <c r="F158" s="307"/>
      <c r="G158" s="62"/>
      <c r="H158" s="61"/>
      <c r="I158" s="62"/>
      <c r="J158" s="29"/>
      <c r="K158" s="63"/>
      <c r="L158" s="29"/>
      <c r="M158" s="63"/>
      <c r="N158" s="29"/>
      <c r="O158" s="63"/>
      <c r="P158" s="29"/>
      <c r="Q158" s="332"/>
      <c r="R158" s="56"/>
      <c r="S158" s="347"/>
      <c r="T158" s="56"/>
      <c r="V158"/>
      <c r="W158"/>
      <c r="X158"/>
      <c r="Y158"/>
      <c r="Z158"/>
      <c r="AA158"/>
      <c r="AB158"/>
      <c r="AC158"/>
      <c r="AD158"/>
      <c r="AE158"/>
      <c r="AF158"/>
      <c r="AG158"/>
      <c r="AH158"/>
      <c r="AI158"/>
      <c r="AJ158"/>
      <c r="AK158"/>
    </row>
    <row r="159" spans="2:37" ht="16.5" thickBot="1">
      <c r="B159" s="64"/>
      <c r="C159" s="308"/>
      <c r="D159" s="308"/>
      <c r="E159" s="308"/>
      <c r="F159" s="308"/>
      <c r="G159" s="64"/>
      <c r="H159" s="293" t="s">
        <v>25</v>
      </c>
      <c r="I159" s="64"/>
      <c r="J159" s="485">
        <f>J64+J92+J116+J138+J140+J157</f>
        <v>145461.625</v>
      </c>
      <c r="K159" s="354"/>
      <c r="L159" s="485">
        <f>L64+L92+L116+L138+L140+L157</f>
        <v>1606511.21018</v>
      </c>
      <c r="M159" s="354"/>
      <c r="N159" s="485">
        <f>N64+N92+N116+N138+N140+N157</f>
        <v>2084738.394695</v>
      </c>
      <c r="O159" s="354"/>
      <c r="P159" s="485">
        <f>P64+P92+P116+P138+P140+P157</f>
        <v>2597973.6293125</v>
      </c>
      <c r="Q159" s="355"/>
      <c r="R159" s="485">
        <f>R64+R92+R116+R138+R140+R157</f>
        <v>2638385.266007175</v>
      </c>
      <c r="S159" s="356"/>
      <c r="T159" s="485">
        <f>T64+T92+T116+T138+T140+T157</f>
        <v>2680977.319332891</v>
      </c>
      <c r="V159"/>
      <c r="W159"/>
      <c r="X159"/>
      <c r="Y159"/>
      <c r="Z159"/>
      <c r="AA159"/>
      <c r="AB159"/>
      <c r="AC159"/>
      <c r="AD159"/>
      <c r="AE159"/>
      <c r="AF159"/>
      <c r="AG159"/>
      <c r="AH159"/>
      <c r="AI159"/>
      <c r="AJ159"/>
      <c r="AK159"/>
    </row>
    <row r="160" spans="1:37" ht="16.5" thickBot="1">
      <c r="A160" s="61"/>
      <c r="B160" s="62"/>
      <c r="C160" s="307"/>
      <c r="D160" s="307"/>
      <c r="E160" s="307"/>
      <c r="F160" s="307"/>
      <c r="G160" s="62"/>
      <c r="H160" s="288"/>
      <c r="I160" s="62"/>
      <c r="J160" s="29"/>
      <c r="K160" s="63"/>
      <c r="L160" s="29"/>
      <c r="M160" s="63"/>
      <c r="N160" s="29"/>
      <c r="O160" s="63"/>
      <c r="P160" s="29"/>
      <c r="Q160" s="332"/>
      <c r="R160" s="56"/>
      <c r="S160" s="347"/>
      <c r="T160" s="56"/>
      <c r="V160"/>
      <c r="W160"/>
      <c r="X160"/>
      <c r="Y160"/>
      <c r="Z160"/>
      <c r="AA160"/>
      <c r="AB160"/>
      <c r="AC160"/>
      <c r="AD160"/>
      <c r="AE160"/>
      <c r="AF160"/>
      <c r="AG160"/>
      <c r="AH160"/>
      <c r="AI160"/>
      <c r="AJ160"/>
      <c r="AK160"/>
    </row>
    <row r="161" spans="2:37" ht="16.5" thickBot="1">
      <c r="B161" s="375"/>
      <c r="C161" s="375"/>
      <c r="D161" s="375"/>
      <c r="E161" s="375"/>
      <c r="F161" s="375"/>
      <c r="G161" s="375"/>
      <c r="H161" s="376" t="s">
        <v>30</v>
      </c>
      <c r="I161" s="369"/>
      <c r="J161" s="487">
        <f>J35-J159</f>
        <v>6538.375</v>
      </c>
      <c r="K161" s="353"/>
      <c r="L161" s="487">
        <f>L35-L159</f>
        <v>-245289.20417999988</v>
      </c>
      <c r="M161" s="353"/>
      <c r="N161" s="487">
        <f>N35-N159</f>
        <v>18066.465804999927</v>
      </c>
      <c r="O161" s="354"/>
      <c r="P161" s="487">
        <f>P35-P159</f>
        <v>374619.58043750003</v>
      </c>
      <c r="Q161" s="355"/>
      <c r="R161" s="487">
        <f>R35-R159</f>
        <v>268912.41108532436</v>
      </c>
      <c r="S161" s="934"/>
      <c r="T161" s="487">
        <f>T35-T159</f>
        <v>231969.56512238365</v>
      </c>
      <c r="V161"/>
      <c r="W161"/>
      <c r="X161"/>
      <c r="Y161"/>
      <c r="Z161"/>
      <c r="AA161"/>
      <c r="AB161"/>
      <c r="AC161"/>
      <c r="AD161"/>
      <c r="AE161"/>
      <c r="AF161"/>
      <c r="AG161"/>
      <c r="AH161"/>
      <c r="AI161"/>
      <c r="AJ161"/>
      <c r="AK161"/>
    </row>
    <row r="162" spans="1:37" ht="16.5" thickBot="1">
      <c r="A162" s="60"/>
      <c r="B162" s="56"/>
      <c r="C162" s="307"/>
      <c r="D162" s="307"/>
      <c r="E162" s="307"/>
      <c r="F162" s="307"/>
      <c r="G162" s="56"/>
      <c r="H162" s="372"/>
      <c r="I162" s="56"/>
      <c r="J162" s="56"/>
      <c r="K162" s="56"/>
      <c r="L162" s="56"/>
      <c r="M162" s="56"/>
      <c r="N162" s="56"/>
      <c r="O162" s="56"/>
      <c r="P162" s="56"/>
      <c r="Q162" s="340"/>
      <c r="R162" s="56"/>
      <c r="S162" s="347"/>
      <c r="T162" s="56"/>
      <c r="V162"/>
      <c r="W162"/>
      <c r="X162"/>
      <c r="Y162"/>
      <c r="Z162"/>
      <c r="AA162"/>
      <c r="AB162"/>
      <c r="AC162"/>
      <c r="AD162"/>
      <c r="AE162"/>
      <c r="AF162"/>
      <c r="AG162"/>
      <c r="AH162"/>
      <c r="AI162"/>
      <c r="AJ162"/>
      <c r="AK162"/>
    </row>
    <row r="163" spans="1:37" ht="16.5" thickBot="1">
      <c r="A163" s="60"/>
      <c r="B163" s="56"/>
      <c r="C163" s="307"/>
      <c r="D163" s="307"/>
      <c r="E163" s="307"/>
      <c r="F163" s="307"/>
      <c r="G163" s="56"/>
      <c r="H163" s="373" t="s">
        <v>452</v>
      </c>
      <c r="I163" s="56"/>
      <c r="J163" s="484">
        <f>0</f>
        <v>0</v>
      </c>
      <c r="K163" s="56"/>
      <c r="L163" s="488">
        <f>J165</f>
        <v>6538.375</v>
      </c>
      <c r="M163" s="652"/>
      <c r="N163" s="488">
        <f>L165</f>
        <v>-238750.82917999988</v>
      </c>
      <c r="O163" s="652"/>
      <c r="P163" s="488">
        <f>N165</f>
        <v>-220684.36337499996</v>
      </c>
      <c r="Q163" s="653"/>
      <c r="R163" s="488">
        <f>P165</f>
        <v>153935.21706250007</v>
      </c>
      <c r="S163" s="653"/>
      <c r="T163" s="488">
        <f>R165</f>
        <v>422847.62814782443</v>
      </c>
      <c r="U163"/>
      <c r="V163"/>
      <c r="W163"/>
      <c r="X163"/>
      <c r="Y163"/>
      <c r="Z163"/>
      <c r="AA163"/>
      <c r="AB163"/>
      <c r="AC163"/>
      <c r="AD163"/>
      <c r="AE163"/>
      <c r="AF163"/>
      <c r="AG163"/>
      <c r="AH163"/>
      <c r="AI163"/>
      <c r="AJ163"/>
      <c r="AK163"/>
    </row>
    <row r="164" spans="1:37" ht="16.5" thickBot="1">
      <c r="A164" s="66"/>
      <c r="B164" s="67"/>
      <c r="D164" s="310"/>
      <c r="E164" s="310"/>
      <c r="F164" s="310"/>
      <c r="G164" s="67"/>
      <c r="H164" s="374" t="s">
        <v>453</v>
      </c>
      <c r="I164" s="67"/>
      <c r="J164" s="488">
        <f>J161</f>
        <v>6538.375</v>
      </c>
      <c r="K164" s="68"/>
      <c r="L164" s="488">
        <f>L161</f>
        <v>-245289.20417999988</v>
      </c>
      <c r="M164" s="654"/>
      <c r="N164" s="488">
        <f>N161</f>
        <v>18066.465804999927</v>
      </c>
      <c r="O164" s="654"/>
      <c r="P164" s="488">
        <f>P161</f>
        <v>374619.58043750003</v>
      </c>
      <c r="Q164" s="655"/>
      <c r="R164" s="488">
        <f>R161</f>
        <v>268912.41108532436</v>
      </c>
      <c r="S164" s="655"/>
      <c r="T164" s="488">
        <f>T161</f>
        <v>231969.56512238365</v>
      </c>
      <c r="U164"/>
      <c r="V164"/>
      <c r="W164"/>
      <c r="X164"/>
      <c r="Y164"/>
      <c r="Z164"/>
      <c r="AA164"/>
      <c r="AB164"/>
      <c r="AC164"/>
      <c r="AD164"/>
      <c r="AE164"/>
      <c r="AF164"/>
      <c r="AG164"/>
      <c r="AH164"/>
      <c r="AI164"/>
      <c r="AJ164"/>
      <c r="AK164"/>
    </row>
    <row r="165" spans="1:37" ht="16.5" thickBot="1">
      <c r="A165" s="35"/>
      <c r="B165" s="65"/>
      <c r="D165" s="309"/>
      <c r="E165" s="309"/>
      <c r="F165" s="309"/>
      <c r="G165" s="65"/>
      <c r="H165" s="451" t="s">
        <v>454</v>
      </c>
      <c r="I165" s="65"/>
      <c r="J165" s="488">
        <f>J163+J164</f>
        <v>6538.375</v>
      </c>
      <c r="K165" s="65"/>
      <c r="L165" s="488">
        <f>L163+L164</f>
        <v>-238750.82917999988</v>
      </c>
      <c r="M165" s="656"/>
      <c r="N165" s="488">
        <f>N163+N164</f>
        <v>-220684.36337499996</v>
      </c>
      <c r="O165" s="656"/>
      <c r="P165" s="488">
        <f>P163+P164</f>
        <v>153935.21706250007</v>
      </c>
      <c r="Q165" s="657"/>
      <c r="R165" s="488">
        <f>R163+R164</f>
        <v>422847.62814782443</v>
      </c>
      <c r="S165" s="658"/>
      <c r="T165" s="488">
        <f>T163+T164</f>
        <v>654817.1932702081</v>
      </c>
      <c r="U165"/>
      <c r="V165"/>
      <c r="W165"/>
      <c r="X165"/>
      <c r="Y165"/>
      <c r="Z165"/>
      <c r="AA165"/>
      <c r="AB165"/>
      <c r="AC165"/>
      <c r="AD165"/>
      <c r="AE165"/>
      <c r="AF165"/>
      <c r="AG165"/>
      <c r="AH165"/>
      <c r="AI165"/>
      <c r="AJ165"/>
      <c r="AK165"/>
    </row>
    <row r="166" spans="1:37" ht="15.75">
      <c r="A166" s="35"/>
      <c r="B166" s="35"/>
      <c r="D166" s="311"/>
      <c r="E166" s="311"/>
      <c r="F166" s="311"/>
      <c r="G166" s="35"/>
      <c r="H166" s="35"/>
      <c r="I166" s="35"/>
      <c r="J166" s="69"/>
      <c r="K166" s="35"/>
      <c r="L166" s="69"/>
      <c r="M166" s="35"/>
      <c r="N166" s="69"/>
      <c r="O166" s="35"/>
      <c r="P166" s="69"/>
      <c r="Q166" s="341"/>
      <c r="R166" s="69"/>
      <c r="S166" s="346"/>
      <c r="U166"/>
      <c r="V166"/>
      <c r="W166"/>
      <c r="X166"/>
      <c r="Y166"/>
      <c r="Z166"/>
      <c r="AA166"/>
      <c r="AB166"/>
      <c r="AC166"/>
      <c r="AD166"/>
      <c r="AE166"/>
      <c r="AF166"/>
      <c r="AG166"/>
      <c r="AH166"/>
      <c r="AI166"/>
      <c r="AJ166"/>
      <c r="AK166"/>
    </row>
    <row r="167" spans="1:37" ht="15.75">
      <c r="A167" s="35"/>
      <c r="B167" s="35"/>
      <c r="D167" s="311"/>
      <c r="E167" s="311"/>
      <c r="F167" s="311"/>
      <c r="G167" s="35"/>
      <c r="H167" s="35"/>
      <c r="I167" s="35"/>
      <c r="J167" s="69"/>
      <c r="K167" s="35"/>
      <c r="L167" s="69"/>
      <c r="M167" s="35"/>
      <c r="N167" s="69"/>
      <c r="O167" s="35"/>
      <c r="P167" s="69"/>
      <c r="Q167" s="341"/>
      <c r="R167" s="69"/>
      <c r="S167" s="346"/>
      <c r="U167"/>
      <c r="V167"/>
      <c r="W167"/>
      <c r="X167"/>
      <c r="Y167"/>
      <c r="Z167"/>
      <c r="AA167"/>
      <c r="AB167"/>
      <c r="AC167"/>
      <c r="AD167"/>
      <c r="AE167"/>
      <c r="AF167"/>
      <c r="AG167"/>
      <c r="AH167"/>
      <c r="AI167"/>
      <c r="AJ167"/>
      <c r="AK167"/>
    </row>
    <row r="168" spans="1:37" ht="15.75">
      <c r="A168" s="35"/>
      <c r="B168" s="35"/>
      <c r="D168" s="311"/>
      <c r="E168" s="311"/>
      <c r="F168" s="311"/>
      <c r="G168" s="35"/>
      <c r="H168" s="35"/>
      <c r="I168" s="35"/>
      <c r="J168" s="69"/>
      <c r="K168" s="35"/>
      <c r="L168" s="69"/>
      <c r="M168" s="35"/>
      <c r="N168" s="69"/>
      <c r="O168" s="35"/>
      <c r="P168" s="69"/>
      <c r="Q168" s="341"/>
      <c r="R168" s="69"/>
      <c r="S168" s="346"/>
      <c r="U168"/>
      <c r="V168"/>
      <c r="W168"/>
      <c r="X168"/>
      <c r="Y168"/>
      <c r="Z168"/>
      <c r="AA168"/>
      <c r="AB168"/>
      <c r="AC168"/>
      <c r="AD168"/>
      <c r="AE168"/>
      <c r="AF168"/>
      <c r="AG168"/>
      <c r="AH168"/>
      <c r="AI168"/>
      <c r="AJ168"/>
      <c r="AK168"/>
    </row>
    <row r="169" spans="4:6" ht="12.75">
      <c r="D169" s="5"/>
      <c r="E169" s="5"/>
      <c r="F169" s="5"/>
    </row>
    <row r="171" spans="8:9" ht="12.75">
      <c r="H171" s="165"/>
      <c r="I171" s="165"/>
    </row>
    <row r="172" spans="8:9" ht="13.5" thickBot="1">
      <c r="H172" s="165"/>
      <c r="I172" s="165"/>
    </row>
    <row r="173" spans="8:20" ht="13.5" thickBot="1">
      <c r="H173" s="320"/>
      <c r="I173" s="320"/>
      <c r="J173" s="1075" t="s">
        <v>379</v>
      </c>
      <c r="K173" s="1076"/>
      <c r="L173" s="1076"/>
      <c r="M173" s="1076"/>
      <c r="N173" s="1076"/>
      <c r="O173" s="1076"/>
      <c r="P173" s="1076"/>
      <c r="Q173" s="1076"/>
      <c r="R173" s="1076"/>
      <c r="S173" s="1076"/>
      <c r="T173" s="1077"/>
    </row>
    <row r="174" spans="8:20" ht="16.5" customHeight="1" thickBot="1">
      <c r="H174" s="165"/>
      <c r="I174" s="165"/>
      <c r="J174" s="319" t="s">
        <v>172</v>
      </c>
      <c r="K174" s="789"/>
      <c r="L174" s="316">
        <f>L9</f>
        <v>17</v>
      </c>
      <c r="M174" s="458"/>
      <c r="N174" s="316">
        <f>N9</f>
        <v>18</v>
      </c>
      <c r="O174" s="458"/>
      <c r="P174" s="316">
        <f>P9</f>
        <v>19</v>
      </c>
      <c r="Q174" s="458"/>
      <c r="R174" s="316">
        <f>R9</f>
        <v>20</v>
      </c>
      <c r="S174" s="458"/>
      <c r="T174" s="316">
        <f>T9</f>
        <v>21</v>
      </c>
    </row>
    <row r="175" spans="8:20" ht="40.5" customHeight="1" thickBot="1">
      <c r="H175" s="97"/>
      <c r="I175" s="97"/>
      <c r="J175" s="319" t="s">
        <v>183</v>
      </c>
      <c r="K175" s="789"/>
      <c r="L175" s="489">
        <f>Personnel!G191</f>
        <v>14.5</v>
      </c>
      <c r="M175" s="789"/>
      <c r="N175" s="489">
        <f>Personnel!I191</f>
        <v>19.92</v>
      </c>
      <c r="O175" s="789"/>
      <c r="P175" s="489">
        <f>Personnel!K191</f>
        <v>24.17</v>
      </c>
      <c r="Q175" s="789"/>
      <c r="R175" s="489">
        <f>Personnel!M191</f>
        <v>24.17</v>
      </c>
      <c r="S175" s="789"/>
      <c r="T175" s="489">
        <f>Personnel!O191</f>
        <v>24.17</v>
      </c>
    </row>
    <row r="176" spans="8:20" ht="40.5" customHeight="1" thickBot="1">
      <c r="H176" s="97"/>
      <c r="I176" s="97"/>
      <c r="J176" s="319" t="s">
        <v>184</v>
      </c>
      <c r="K176" s="789"/>
      <c r="L176" s="391">
        <f>Personnel!G189</f>
        <v>711350</v>
      </c>
      <c r="M176" s="789"/>
      <c r="N176" s="391">
        <f>Personnel!I189</f>
        <v>973247</v>
      </c>
      <c r="O176" s="789"/>
      <c r="P176" s="391">
        <f>Personnel!K189</f>
        <v>1197384.785</v>
      </c>
      <c r="Q176" s="789"/>
      <c r="R176" s="391">
        <f>Personnel!M189</f>
        <v>1233306.32855</v>
      </c>
      <c r="S176" s="789"/>
      <c r="T176" s="391">
        <f>Personnel!O189</f>
        <v>1270305.5184065003</v>
      </c>
    </row>
    <row r="177" spans="8:20" ht="40.5" customHeight="1" thickBot="1">
      <c r="H177" s="97"/>
      <c r="I177" s="97"/>
      <c r="J177" s="319" t="s">
        <v>248</v>
      </c>
      <c r="K177" s="459"/>
      <c r="L177" s="489">
        <f>'Revenues-Fed, State, &amp; Expan. '!E97</f>
        <v>100</v>
      </c>
      <c r="M177" s="459"/>
      <c r="N177" s="489">
        <f>'Revenues-Fed, State, &amp; Expan. '!G97</f>
        <v>175</v>
      </c>
      <c r="O177" s="459"/>
      <c r="P177" s="489">
        <f>'Revenues-Fed, State, &amp; Expan. '!I97</f>
        <v>250</v>
      </c>
      <c r="Q177" s="459"/>
      <c r="R177" s="489">
        <f>'Revenues-Fed, State, &amp; Expan. '!K97</f>
        <v>250</v>
      </c>
      <c r="S177" s="459"/>
      <c r="T177" s="489">
        <f>'Revenues-Fed, State, &amp; Expan. '!M97</f>
        <v>250</v>
      </c>
    </row>
    <row r="178" spans="8:9" ht="12.75">
      <c r="H178" s="97"/>
      <c r="I178" s="97"/>
    </row>
    <row r="208" ht="12.75" hidden="1" outlineLevel="1"/>
    <row r="209" ht="12.75" hidden="1" outlineLevel="1">
      <c r="C209" s="5">
        <v>15</v>
      </c>
    </row>
    <row r="210" ht="12.75" hidden="1" outlineLevel="1">
      <c r="C210" s="5">
        <v>16</v>
      </c>
    </row>
    <row r="211" ht="12.75" hidden="1" outlineLevel="1">
      <c r="C211" s="5">
        <v>17</v>
      </c>
    </row>
    <row r="212" ht="12.75" hidden="1" outlineLevel="1"/>
    <row r="213" ht="15.75" hidden="1" outlineLevel="1">
      <c r="C213" s="300" t="s">
        <v>179</v>
      </c>
    </row>
    <row r="214" ht="15.75" hidden="1" outlineLevel="1">
      <c r="C214" s="310" t="s">
        <v>182</v>
      </c>
    </row>
    <row r="215" ht="15.75" hidden="1" outlineLevel="1">
      <c r="C215" s="300"/>
    </row>
    <row r="216" ht="15.75" hidden="1" outlineLevel="1">
      <c r="C216" s="309"/>
    </row>
    <row r="217" ht="15.75" hidden="1" outlineLevel="1">
      <c r="C217" s="311"/>
    </row>
    <row r="218" ht="15.75" hidden="1" outlineLevel="1">
      <c r="C218" s="311" t="s">
        <v>210</v>
      </c>
    </row>
    <row r="219" ht="15.75" hidden="1" outlineLevel="1">
      <c r="C219" s="311" t="s">
        <v>181</v>
      </c>
    </row>
    <row r="220" ht="12.75" hidden="1" outlineLevel="1">
      <c r="C220" s="5" t="s">
        <v>180</v>
      </c>
    </row>
    <row r="221" ht="12.75" hidden="1" outlineLevel="1">
      <c r="C221" s="5" t="s">
        <v>7</v>
      </c>
    </row>
    <row r="222" ht="12.75" hidden="1" outlineLevel="1"/>
    <row r="223" ht="12.75" hidden="1" outlineLevel="1"/>
    <row r="224" ht="12.75" hidden="1" outlineLevel="1">
      <c r="C224" s="5" t="s">
        <v>210</v>
      </c>
    </row>
    <row r="225" ht="12.75" hidden="1" outlineLevel="1">
      <c r="C225" s="5" t="s">
        <v>182</v>
      </c>
    </row>
    <row r="226" ht="12.75" hidden="1" outlineLevel="1">
      <c r="C226" s="5" t="s">
        <v>180</v>
      </c>
    </row>
    <row r="227" ht="12.75" hidden="1" outlineLevel="1">
      <c r="C227" s="5" t="s">
        <v>7</v>
      </c>
    </row>
    <row r="228" ht="12.75" hidden="1" outlineLevel="1"/>
    <row r="229" ht="12.75" hidden="1" outlineLevel="1"/>
    <row r="230" ht="12.75" hidden="1" outlineLevel="1">
      <c r="C230" s="5" t="s">
        <v>0</v>
      </c>
    </row>
    <row r="231" ht="12.75" hidden="1" outlineLevel="1">
      <c r="C231" s="5" t="s">
        <v>451</v>
      </c>
    </row>
    <row r="232" ht="12.75" collapsed="1"/>
  </sheetData>
  <sheetProtection password="CC59" sheet="1" formatColumns="0" formatRows="0"/>
  <mergeCells count="13">
    <mergeCell ref="C37:C39"/>
    <mergeCell ref="D37:D39"/>
    <mergeCell ref="F37:F39"/>
    <mergeCell ref="H37:H39"/>
    <mergeCell ref="E37:E39"/>
    <mergeCell ref="H7:H9"/>
    <mergeCell ref="C7:C9"/>
    <mergeCell ref="D7:D9"/>
    <mergeCell ref="E7:E9"/>
    <mergeCell ref="F7:F9"/>
    <mergeCell ref="J173:T173"/>
    <mergeCell ref="L8:T8"/>
    <mergeCell ref="J7:J8"/>
  </mergeCells>
  <dataValidations count="4">
    <dataValidation type="list" allowBlank="1" showInputMessage="1" showErrorMessage="1" sqref="C40:C50 C143:C155 C140 C119:C136 C95:C114 C52:C62">
      <formula1>$C$224:$C$227</formula1>
    </dataValidation>
    <dataValidation type="list" allowBlank="1" showInputMessage="1" showErrorMessage="1" sqref="C75:C81 C83:C90">
      <formula1>$C$218:$C$221</formula1>
    </dataValidation>
    <dataValidation type="list" allowBlank="1" showInputMessage="1" showErrorMessage="1" sqref="J9">
      <formula1>$C$209:$C$211</formula1>
    </dataValidation>
    <dataValidation type="list" allowBlank="1" showInputMessage="1" showErrorMessage="1" sqref="A5">
      <formula1>$C$230:$C$231</formula1>
    </dataValidation>
  </dataValidations>
  <printOptions/>
  <pageMargins left="0" right="0" top="0" bottom="0" header="0.3" footer="0.3"/>
  <pageSetup horizontalDpi="600" verticalDpi="600" orientation="landscape" paperSize="5" scale="60" r:id="rId1"/>
</worksheet>
</file>

<file path=xl/worksheets/sheet7.xml><?xml version="1.0" encoding="utf-8"?>
<worksheet xmlns="http://schemas.openxmlformats.org/spreadsheetml/2006/main" xmlns:r="http://schemas.openxmlformats.org/officeDocument/2006/relationships">
  <dimension ref="A1:AE179"/>
  <sheetViews>
    <sheetView zoomScalePageLayoutView="0" workbookViewId="0" topLeftCell="A1">
      <selection activeCell="F3" sqref="F3"/>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338" customWidth="1"/>
    <col min="12" max="12" width="18.7109375" style="0" customWidth="1"/>
    <col min="13" max="13" width="3.421875" style="338" customWidth="1"/>
    <col min="14" max="14" width="18.7109375" style="0" customWidth="1"/>
    <col min="15" max="15" width="9.140625" style="4" customWidth="1"/>
    <col min="16" max="20" width="12.28125" style="700" customWidth="1"/>
    <col min="21" max="21" width="9.140625" style="4" customWidth="1"/>
    <col min="22" max="23" width="12.7109375" style="4" bestFit="1" customWidth="1"/>
    <col min="24" max="24" width="14.140625" style="4" bestFit="1" customWidth="1"/>
    <col min="25" max="26" width="12.7109375" style="4" bestFit="1" customWidth="1"/>
    <col min="27" max="31" width="9.140625" style="4" customWidth="1"/>
  </cols>
  <sheetData>
    <row r="1" spans="1:13" ht="22.5" customHeight="1" thickBot="1">
      <c r="A1" s="710" t="str">
        <f>'Budget with Assumptions'!A2</f>
        <v>Catapult Academy</v>
      </c>
      <c r="B1" s="15"/>
      <c r="C1" s="15"/>
      <c r="D1" s="16"/>
      <c r="E1" s="16"/>
      <c r="F1" s="16"/>
      <c r="G1" s="16"/>
      <c r="H1" s="16"/>
      <c r="I1" s="16"/>
      <c r="J1" s="16"/>
      <c r="K1" s="325"/>
      <c r="L1" s="14"/>
      <c r="M1" s="342"/>
    </row>
    <row r="2" spans="1:13" ht="23.25" customHeight="1" thickBot="1">
      <c r="A2" s="711" t="s">
        <v>370</v>
      </c>
      <c r="B2" s="15"/>
      <c r="C2" s="15"/>
      <c r="D2" s="17"/>
      <c r="E2" s="17"/>
      <c r="F2" s="17"/>
      <c r="G2" s="17"/>
      <c r="H2" s="17"/>
      <c r="I2" s="17"/>
      <c r="J2" s="17"/>
      <c r="K2" s="326"/>
      <c r="L2" s="18"/>
      <c r="M2" s="343"/>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33" t="s">
        <v>171</v>
      </c>
    </row>
    <row r="8" spans="1:20" ht="27.75" customHeight="1" thickBot="1">
      <c r="A8" s="2"/>
      <c r="B8" s="70"/>
      <c r="C8" s="70"/>
      <c r="D8" s="1134"/>
      <c r="E8" s="21"/>
      <c r="F8" s="1119" t="s">
        <v>521</v>
      </c>
      <c r="G8" s="1120"/>
      <c r="H8" s="1120"/>
      <c r="I8" s="1120"/>
      <c r="J8" s="1120"/>
      <c r="K8" s="1120"/>
      <c r="L8" s="1120"/>
      <c r="M8" s="1120"/>
      <c r="N8" s="1121"/>
      <c r="P8" s="1130" t="s">
        <v>367</v>
      </c>
      <c r="Q8" s="1131"/>
      <c r="R8" s="1131"/>
      <c r="S8" s="1131"/>
      <c r="T8" s="1132"/>
    </row>
    <row r="9" spans="1:20" ht="23.25" thickBot="1">
      <c r="A9" s="291" t="s">
        <v>177</v>
      </c>
      <c r="B9" s="2"/>
      <c r="C9" s="2"/>
      <c r="D9" s="1006">
        <f>'Budget with Assumptions'!J9</f>
        <v>16</v>
      </c>
      <c r="E9" s="70"/>
      <c r="F9" s="365">
        <f>'Budget with Assumptions'!L9</f>
        <v>17</v>
      </c>
      <c r="G9" s="330"/>
      <c r="H9" s="365">
        <f>'Budget with Assumptions'!N9</f>
        <v>18</v>
      </c>
      <c r="I9" s="330"/>
      <c r="J9" s="365">
        <f>'Budget with Assumptions'!P9</f>
        <v>19</v>
      </c>
      <c r="K9" s="330"/>
      <c r="L9" s="365">
        <f>'Budget with Assumptions'!R9</f>
        <v>20</v>
      </c>
      <c r="M9" s="344"/>
      <c r="N9" s="365">
        <f>'Budget with Assumptions'!T9</f>
        <v>21</v>
      </c>
      <c r="P9" s="914">
        <f>'Budget with Assumptions'!L9</f>
        <v>17</v>
      </c>
      <c r="Q9" s="914">
        <f>'Budget with Assumptions'!N9</f>
        <v>18</v>
      </c>
      <c r="R9" s="914">
        <f>'Budget with Assumptions'!P9</f>
        <v>19</v>
      </c>
      <c r="S9" s="914">
        <f>'Budget with Assumptions'!R9</f>
        <v>20</v>
      </c>
      <c r="T9" s="914">
        <f>'Budget with Assumptions'!T9</f>
        <v>21</v>
      </c>
    </row>
    <row r="10" spans="1:20" ht="18">
      <c r="A10" s="452" t="str">
        <f>'Budget with Assumptions'!A10</f>
        <v>SBB &amp; Non-SBB ( Grades K-3)</v>
      </c>
      <c r="B10" s="24"/>
      <c r="C10" s="24"/>
      <c r="D10" s="366">
        <f>'Budget with Assumptions'!J10</f>
        <v>0</v>
      </c>
      <c r="E10" s="891"/>
      <c r="F10" s="366">
        <f>'Budget with Assumptions'!L10</f>
        <v>0</v>
      </c>
      <c r="G10" s="741"/>
      <c r="H10" s="366">
        <f>'Budget with Assumptions'!N10</f>
        <v>0</v>
      </c>
      <c r="I10" s="741"/>
      <c r="J10" s="366">
        <f>'Budget with Assumptions'!P10</f>
        <v>0</v>
      </c>
      <c r="K10" s="876"/>
      <c r="L10" s="366">
        <f>'Budget with Assumptions'!R10</f>
        <v>0</v>
      </c>
      <c r="M10" s="876"/>
      <c r="N10" s="366">
        <f>'Budget with Assumptions'!T10</f>
        <v>0</v>
      </c>
      <c r="P10" s="915">
        <f>F10/$F$35</f>
        <v>0</v>
      </c>
      <c r="Q10" s="915">
        <f>H10/$H$35</f>
        <v>0</v>
      </c>
      <c r="R10" s="915">
        <f>J10/$J$35</f>
        <v>0</v>
      </c>
      <c r="S10" s="915">
        <f>L10/$L$35</f>
        <v>0</v>
      </c>
      <c r="T10" s="915">
        <f>N10/$N$35</f>
        <v>0</v>
      </c>
    </row>
    <row r="11" spans="1:20" ht="15.75">
      <c r="A11" s="452" t="str">
        <f>'Budget with Assumptions'!A11</f>
        <v>SBB &amp; Non-SBB (Grades 4-8)</v>
      </c>
      <c r="B11" s="24"/>
      <c r="C11" s="24"/>
      <c r="D11" s="366">
        <f>'Budget with Assumptions'!J11</f>
        <v>0</v>
      </c>
      <c r="E11" s="892"/>
      <c r="F11" s="366">
        <f>'Budget with Assumptions'!L11</f>
        <v>0</v>
      </c>
      <c r="G11" s="893"/>
      <c r="H11" s="366">
        <f>'Budget with Assumptions'!N11</f>
        <v>0</v>
      </c>
      <c r="I11" s="893"/>
      <c r="J11" s="366">
        <f>'Budget with Assumptions'!P11</f>
        <v>0</v>
      </c>
      <c r="K11" s="894"/>
      <c r="L11" s="366">
        <f>'Budget with Assumptions'!R11</f>
        <v>0</v>
      </c>
      <c r="M11" s="890"/>
      <c r="N11" s="366">
        <f>'Budget with Assumptions'!T11</f>
        <v>0</v>
      </c>
      <c r="P11" s="916">
        <f>F11/$F$35</f>
        <v>0</v>
      </c>
      <c r="Q11" s="916">
        <f>H11/$H$35</f>
        <v>0</v>
      </c>
      <c r="R11" s="915">
        <f aca="true" t="shared" si="0" ref="R11:R33">J11/$J$35</f>
        <v>0</v>
      </c>
      <c r="S11" s="915">
        <f aca="true" t="shared" si="1" ref="S11:S33">L11/$L$35</f>
        <v>0</v>
      </c>
      <c r="T11" s="915">
        <f aca="true" t="shared" si="2" ref="T11:T33">N11/$N$35</f>
        <v>0</v>
      </c>
    </row>
    <row r="12" spans="1:20" ht="31.5">
      <c r="A12" s="775" t="str">
        <f>'Budget with Assumptions'!A12</f>
        <v>SBB &amp; Non-SBB (Grades 6-8)-This only for schools that have HS grades with grades 6-8.</v>
      </c>
      <c r="B12" s="24"/>
      <c r="C12" s="24"/>
      <c r="D12" s="366">
        <f>'Budget with Assumptions'!J12</f>
        <v>0</v>
      </c>
      <c r="E12" s="892"/>
      <c r="F12" s="366">
        <f>'Budget with Assumptions'!L12</f>
        <v>0</v>
      </c>
      <c r="G12" s="893"/>
      <c r="H12" s="366">
        <f>'Budget with Assumptions'!N12</f>
        <v>0</v>
      </c>
      <c r="I12" s="893"/>
      <c r="J12" s="366">
        <f>'Budget with Assumptions'!P12</f>
        <v>0</v>
      </c>
      <c r="K12" s="894"/>
      <c r="L12" s="366">
        <f>'Budget with Assumptions'!R12</f>
        <v>0</v>
      </c>
      <c r="M12" s="890"/>
      <c r="N12" s="366">
        <f>'Budget with Assumptions'!T12</f>
        <v>0</v>
      </c>
      <c r="P12" s="916">
        <f aca="true" t="shared" si="3" ref="P12:P33">F12/$F$35</f>
        <v>0</v>
      </c>
      <c r="Q12" s="916">
        <f aca="true" t="shared" si="4" ref="Q12:Q33">H12/$H$35</f>
        <v>0</v>
      </c>
      <c r="R12" s="915">
        <f t="shared" si="0"/>
        <v>0</v>
      </c>
      <c r="S12" s="915">
        <f t="shared" si="1"/>
        <v>0</v>
      </c>
      <c r="T12" s="915">
        <f t="shared" si="2"/>
        <v>0</v>
      </c>
    </row>
    <row r="13" spans="1:20" ht="15.75">
      <c r="A13" s="452" t="str">
        <f>'Budget with Assumptions'!A13</f>
        <v>SBB &amp; Non-SBB (High School)</v>
      </c>
      <c r="B13" s="24"/>
      <c r="C13" s="24"/>
      <c r="D13" s="366">
        <f>'Budget with Assumptions'!J13</f>
        <v>0</v>
      </c>
      <c r="E13" s="892"/>
      <c r="F13" s="366">
        <f>'Budget with Assumptions'!L13</f>
        <v>855637.506</v>
      </c>
      <c r="G13" s="893"/>
      <c r="H13" s="366">
        <f>'Budget with Assumptions'!N13</f>
        <v>1497365.6354999999</v>
      </c>
      <c r="I13" s="893"/>
      <c r="J13" s="366">
        <f>'Budget with Assumptions'!P13</f>
        <v>2139093.7649999997</v>
      </c>
      <c r="K13" s="894"/>
      <c r="L13" s="366">
        <f>'Budget with Assumptions'!R13</f>
        <v>2139093.7649999997</v>
      </c>
      <c r="M13" s="890"/>
      <c r="N13" s="366">
        <f>'Budget with Assumptions'!T13</f>
        <v>2139093.7649999997</v>
      </c>
      <c r="P13" s="916">
        <f t="shared" si="3"/>
        <v>0.6285804242280226</v>
      </c>
      <c r="Q13" s="916">
        <f t="shared" si="4"/>
        <v>0.7120801666512983</v>
      </c>
      <c r="R13" s="915">
        <f t="shared" si="0"/>
        <v>0.7196052786448708</v>
      </c>
      <c r="S13" s="915">
        <f t="shared" si="1"/>
        <v>0.735767025803578</v>
      </c>
      <c r="T13" s="915">
        <f t="shared" si="2"/>
        <v>0.7343401201083051</v>
      </c>
    </row>
    <row r="14" spans="1:20" ht="15.75">
      <c r="A14" s="452" t="str">
        <f>'Budget with Assumptions'!A14</f>
        <v>CPS Start-up Funds</v>
      </c>
      <c r="B14" s="24"/>
      <c r="C14" s="24"/>
      <c r="D14" s="366">
        <f>'Budget with Assumptions'!J14</f>
        <v>0</v>
      </c>
      <c r="E14" s="892"/>
      <c r="F14" s="366">
        <f>'Budget with Assumptions'!L14</f>
        <v>118750</v>
      </c>
      <c r="G14" s="893"/>
      <c r="H14" s="366">
        <f>'Budget with Assumptions'!N14</f>
        <v>0</v>
      </c>
      <c r="I14" s="893"/>
      <c r="J14" s="366">
        <f>'Budget with Assumptions'!P14</f>
        <v>0</v>
      </c>
      <c r="K14" s="894"/>
      <c r="L14" s="366">
        <f>'Budget with Assumptions'!R14</f>
        <v>0</v>
      </c>
      <c r="M14" s="890"/>
      <c r="N14" s="366">
        <f>'Budget with Assumptions'!T14</f>
        <v>0</v>
      </c>
      <c r="P14" s="916">
        <f t="shared" si="3"/>
        <v>0.08723779036525509</v>
      </c>
      <c r="Q14" s="916">
        <f t="shared" si="4"/>
        <v>0</v>
      </c>
      <c r="R14" s="915">
        <f t="shared" si="0"/>
        <v>0</v>
      </c>
      <c r="S14" s="915">
        <f t="shared" si="1"/>
        <v>0</v>
      </c>
      <c r="T14" s="915">
        <f t="shared" si="2"/>
        <v>0</v>
      </c>
    </row>
    <row r="15" spans="1:20" ht="15.75">
      <c r="A15" s="452" t="str">
        <f>'Budget with Assumptions'!A15</f>
        <v>CPS Expansion Funds</v>
      </c>
      <c r="B15" s="24"/>
      <c r="C15" s="24"/>
      <c r="D15" s="366">
        <f>'Budget with Assumptions'!J15</f>
        <v>0</v>
      </c>
      <c r="E15" s="892"/>
      <c r="F15" s="366">
        <f>'Budget with Assumptions'!L15</f>
        <v>95000</v>
      </c>
      <c r="G15" s="895"/>
      <c r="H15" s="366">
        <f>'Budget with Assumptions'!N15</f>
        <v>71250</v>
      </c>
      <c r="I15" s="895"/>
      <c r="J15" s="366">
        <f>'Budget with Assumptions'!P15</f>
        <v>71250</v>
      </c>
      <c r="K15" s="896"/>
      <c r="L15" s="366">
        <f>'Budget with Assumptions'!R15</f>
        <v>0</v>
      </c>
      <c r="M15" s="655"/>
      <c r="N15" s="366">
        <f>'Budget with Assumptions'!T15</f>
        <v>0</v>
      </c>
      <c r="P15" s="916">
        <f t="shared" si="3"/>
        <v>0.06979023229220406</v>
      </c>
      <c r="Q15" s="916">
        <f t="shared" si="4"/>
        <v>0.033883315251163316</v>
      </c>
      <c r="R15" s="915">
        <f t="shared" si="0"/>
        <v>0.02396897085221837</v>
      </c>
      <c r="S15" s="915">
        <f t="shared" si="1"/>
        <v>0</v>
      </c>
      <c r="T15" s="915">
        <f t="shared" si="2"/>
        <v>0</v>
      </c>
    </row>
    <row r="16" spans="1:20" ht="15.75">
      <c r="A16" s="452" t="str">
        <f>'Budget with Assumptions'!A16</f>
        <v>Non-CPS Facility Supplement </v>
      </c>
      <c r="B16" s="24"/>
      <c r="C16" s="24"/>
      <c r="D16" s="366">
        <f>'Budget with Assumptions'!J16</f>
        <v>0</v>
      </c>
      <c r="E16" s="892"/>
      <c r="F16" s="366">
        <f>'Budget with Assumptions'!L16</f>
        <v>75000</v>
      </c>
      <c r="G16" s="893"/>
      <c r="H16" s="366">
        <f>'Budget with Assumptions'!N16</f>
        <v>131250</v>
      </c>
      <c r="I16" s="893"/>
      <c r="J16" s="366">
        <f>'Budget with Assumptions'!P16</f>
        <v>187500</v>
      </c>
      <c r="K16" s="894"/>
      <c r="L16" s="366">
        <f>'Budget with Assumptions'!R16</f>
        <v>187500</v>
      </c>
      <c r="M16" s="890"/>
      <c r="N16" s="366">
        <f>'Budget with Assumptions'!T16</f>
        <v>187500</v>
      </c>
      <c r="P16" s="916">
        <f t="shared" si="3"/>
        <v>0.05509755180963479</v>
      </c>
      <c r="Q16" s="916">
        <f t="shared" si="4"/>
        <v>0.06241663335740611</v>
      </c>
      <c r="R16" s="915">
        <f t="shared" si="0"/>
        <v>0.06307623908478519</v>
      </c>
      <c r="S16" s="915">
        <f t="shared" si="1"/>
        <v>0.06449287992673426</v>
      </c>
      <c r="T16" s="915">
        <f t="shared" si="2"/>
        <v>0.06436780601822156</v>
      </c>
    </row>
    <row r="17" spans="1:20" ht="15.75">
      <c r="A17" s="452" t="str">
        <f>'Budget with Assumptions'!A17</f>
        <v>SGSA</v>
      </c>
      <c r="B17" s="24"/>
      <c r="C17" s="24"/>
      <c r="D17" s="366">
        <f>'Budget with Assumptions'!J17</f>
        <v>0</v>
      </c>
      <c r="E17" s="892"/>
      <c r="F17" s="366">
        <f>'Budget with Assumptions'!L17</f>
        <v>72982</v>
      </c>
      <c r="G17" s="893"/>
      <c r="H17" s="366">
        <f>'Budget with Assumptions'!N17</f>
        <v>127518</v>
      </c>
      <c r="I17" s="893"/>
      <c r="J17" s="366">
        <f>'Budget with Assumptions'!P17</f>
        <v>182856</v>
      </c>
      <c r="K17" s="894"/>
      <c r="L17" s="366">
        <f>'Budget with Assumptions'!R17</f>
        <v>182856</v>
      </c>
      <c r="M17" s="890"/>
      <c r="N17" s="366">
        <f>'Budget with Assumptions'!T17</f>
        <v>182856</v>
      </c>
      <c r="P17" s="916">
        <f t="shared" si="3"/>
        <v>0.05361506034894355</v>
      </c>
      <c r="Q17" s="916">
        <f t="shared" si="4"/>
        <v>0.06064186097119781</v>
      </c>
      <c r="R17" s="915">
        <f t="shared" si="0"/>
        <v>0.061513966795133226</v>
      </c>
      <c r="S17" s="915">
        <f t="shared" si="1"/>
        <v>0.0628955202767089</v>
      </c>
      <c r="T17" s="915">
        <f t="shared" si="2"/>
        <v>0.06277354419876226</v>
      </c>
    </row>
    <row r="18" spans="1:20" ht="15.75">
      <c r="A18" s="452" t="str">
        <f>'Budget with Assumptions'!A18</f>
        <v>NCLB-Title 1</v>
      </c>
      <c r="B18" s="24"/>
      <c r="C18" s="24"/>
      <c r="D18" s="366">
        <f>'Budget with Assumptions'!J18</f>
        <v>0</v>
      </c>
      <c r="E18" s="892"/>
      <c r="F18" s="366">
        <f>'Budget with Assumptions'!L18</f>
        <v>42625</v>
      </c>
      <c r="G18" s="893"/>
      <c r="H18" s="366">
        <f>'Budget with Assumptions'!N18</f>
        <v>74400</v>
      </c>
      <c r="I18" s="893"/>
      <c r="J18" s="366">
        <f>'Budget with Assumptions'!P18</f>
        <v>106175</v>
      </c>
      <c r="K18" s="894"/>
      <c r="L18" s="366">
        <f>'Budget with Assumptions'!R18</f>
        <v>106175</v>
      </c>
      <c r="M18" s="890"/>
      <c r="N18" s="366">
        <f>'Budget with Assumptions'!T18</f>
        <v>106175</v>
      </c>
      <c r="P18" s="916">
        <f t="shared" si="3"/>
        <v>0.03131377527847577</v>
      </c>
      <c r="Q18" s="916">
        <f t="shared" si="4"/>
        <v>0.035381314451741065</v>
      </c>
      <c r="R18" s="915">
        <f t="shared" si="0"/>
        <v>0.03571797165241103</v>
      </c>
      <c r="S18" s="915">
        <f t="shared" si="1"/>
        <v>0.036520168139845384</v>
      </c>
      <c r="T18" s="915">
        <f t="shared" si="2"/>
        <v>0.036449342954584935</v>
      </c>
    </row>
    <row r="19" spans="1:31" ht="15.75">
      <c r="A19" s="452" t="str">
        <f>'Budget with Assumptions'!A19</f>
        <v>NCLB-Title 2</v>
      </c>
      <c r="B19" s="24"/>
      <c r="C19" s="24"/>
      <c r="D19" s="366">
        <f>'Budget with Assumptions'!J19</f>
        <v>0</v>
      </c>
      <c r="E19" s="892"/>
      <c r="F19" s="366">
        <f>'Budget with Assumptions'!L19</f>
        <v>6400</v>
      </c>
      <c r="G19" s="893"/>
      <c r="H19" s="366">
        <f>'Budget with Assumptions'!N19</f>
        <v>11200</v>
      </c>
      <c r="I19" s="893"/>
      <c r="J19" s="366">
        <f>'Budget with Assumptions'!P19</f>
        <v>16000</v>
      </c>
      <c r="K19" s="894"/>
      <c r="L19" s="366">
        <f>'Budget with Assumptions'!R19</f>
        <v>16000</v>
      </c>
      <c r="M19" s="890"/>
      <c r="N19" s="366">
        <f>'Budget with Assumptions'!T19</f>
        <v>16000</v>
      </c>
      <c r="O19"/>
      <c r="P19" s="916">
        <f t="shared" si="3"/>
        <v>0.0047016577544221685</v>
      </c>
      <c r="Q19" s="916">
        <f t="shared" si="4"/>
        <v>0.005326219379831988</v>
      </c>
      <c r="R19" s="915">
        <f t="shared" si="0"/>
        <v>0.005382505735235002</v>
      </c>
      <c r="S19" s="915">
        <f t="shared" si="1"/>
        <v>0.005503392420414656</v>
      </c>
      <c r="T19" s="915">
        <f t="shared" si="2"/>
        <v>0.00549271944688824</v>
      </c>
      <c r="U19"/>
      <c r="V19"/>
      <c r="W19"/>
      <c r="X19"/>
      <c r="Y19"/>
      <c r="Z19"/>
      <c r="AA19"/>
      <c r="AB19"/>
      <c r="AC19"/>
      <c r="AD19"/>
      <c r="AE19"/>
    </row>
    <row r="20" spans="1:31" ht="15.75">
      <c r="A20" s="452" t="str">
        <f>'Budget with Assumptions'!A20</f>
        <v>ELL</v>
      </c>
      <c r="B20" s="24"/>
      <c r="C20" s="24"/>
      <c r="D20" s="366">
        <f>'Budget with Assumptions'!J20</f>
        <v>0</v>
      </c>
      <c r="E20" s="892"/>
      <c r="F20" s="366">
        <f>'Budget with Assumptions'!L20</f>
        <v>0</v>
      </c>
      <c r="G20" s="893"/>
      <c r="H20" s="366">
        <f>'Budget with Assumptions'!N20</f>
        <v>626.4000000000001</v>
      </c>
      <c r="I20" s="893"/>
      <c r="J20" s="366">
        <f>'Budget with Assumptions'!P20</f>
        <v>1096.2</v>
      </c>
      <c r="K20" s="894"/>
      <c r="L20" s="366">
        <f>'Budget with Assumptions'!R20</f>
        <v>1566</v>
      </c>
      <c r="M20" s="890"/>
      <c r="N20" s="366">
        <f>'Budget with Assumptions'!T20</f>
        <v>1566</v>
      </c>
      <c r="O20"/>
      <c r="P20" s="916">
        <f t="shared" si="3"/>
        <v>0</v>
      </c>
      <c r="Q20" s="916">
        <f t="shared" si="4"/>
        <v>0.0002978878410291748</v>
      </c>
      <c r="R20" s="915">
        <f t="shared" si="0"/>
        <v>0.00036876892418528814</v>
      </c>
      <c r="S20" s="915">
        <f t="shared" si="1"/>
        <v>0.0005386445331480845</v>
      </c>
      <c r="T20" s="915">
        <f t="shared" si="2"/>
        <v>0.0005375999158641865</v>
      </c>
      <c r="U20"/>
      <c r="V20"/>
      <c r="W20"/>
      <c r="X20"/>
      <c r="Y20"/>
      <c r="Z20"/>
      <c r="AA20"/>
      <c r="AB20"/>
      <c r="AC20"/>
      <c r="AD20"/>
      <c r="AE20"/>
    </row>
    <row r="21" spans="1:31" ht="15.75">
      <c r="A21" s="452" t="str">
        <f>'Budget with Assumptions'!A21</f>
        <v>Special Education Reimbursement </v>
      </c>
      <c r="B21" s="24"/>
      <c r="C21" s="24"/>
      <c r="D21" s="366">
        <f>'Budget with Assumptions'!J21</f>
        <v>0</v>
      </c>
      <c r="E21" s="893"/>
      <c r="F21" s="366">
        <f>'Budget with Assumptions'!L21</f>
        <v>94827.5</v>
      </c>
      <c r="G21" s="893"/>
      <c r="H21" s="366">
        <f>'Budget with Assumptions'!N21</f>
        <v>189194.825</v>
      </c>
      <c r="I21" s="893"/>
      <c r="J21" s="366">
        <f>'Budget with Assumptions'!P21</f>
        <v>268622.24474999995</v>
      </c>
      <c r="K21" s="894"/>
      <c r="L21" s="366">
        <f>'Budget with Assumptions'!R21</f>
        <v>274106.9120925</v>
      </c>
      <c r="M21" s="890"/>
      <c r="N21" s="366">
        <f>'Budget with Assumptions'!T21</f>
        <v>279756.119455275</v>
      </c>
      <c r="O21"/>
      <c r="P21" s="916">
        <f t="shared" si="3"/>
        <v>0.0696635079230419</v>
      </c>
      <c r="Q21" s="916">
        <f t="shared" si="4"/>
        <v>0.08997260209633229</v>
      </c>
      <c r="R21" s="915">
        <f t="shared" si="0"/>
        <v>0.09036629831116096</v>
      </c>
      <c r="S21" s="915">
        <f t="shared" si="1"/>
        <v>0.0942823688995707</v>
      </c>
      <c r="T21" s="915">
        <f t="shared" si="2"/>
        <v>0.09603886735737367</v>
      </c>
      <c r="U21"/>
      <c r="V21"/>
      <c r="W21"/>
      <c r="X21"/>
      <c r="Y21"/>
      <c r="Z21"/>
      <c r="AA21"/>
      <c r="AB21"/>
      <c r="AC21"/>
      <c r="AD21"/>
      <c r="AE21"/>
    </row>
    <row r="22" spans="1:31" ht="15.75">
      <c r="A22" s="452" t="str">
        <f>'Budget with Assumptions'!A22</f>
        <v>CPS Incubation Funds</v>
      </c>
      <c r="B22" s="24"/>
      <c r="C22" s="24"/>
      <c r="D22" s="366">
        <f>'Budget with Assumptions'!J22</f>
        <v>152000</v>
      </c>
      <c r="E22" s="893"/>
      <c r="F22" s="366">
        <f>'Budget with Assumptions'!L22</f>
        <v>0</v>
      </c>
      <c r="G22" s="893"/>
      <c r="H22" s="366">
        <f>'Budget with Assumptions'!N22</f>
        <v>0</v>
      </c>
      <c r="I22" s="893"/>
      <c r="J22" s="366">
        <f>'Budget with Assumptions'!P22</f>
        <v>0</v>
      </c>
      <c r="K22" s="894"/>
      <c r="L22" s="366">
        <f>'Budget with Assumptions'!R22</f>
        <v>0</v>
      </c>
      <c r="M22" s="890"/>
      <c r="N22" s="366">
        <f>'Budget with Assumptions'!T22</f>
        <v>0</v>
      </c>
      <c r="O22"/>
      <c r="P22" s="916">
        <f t="shared" si="3"/>
        <v>0</v>
      </c>
      <c r="Q22" s="916">
        <f t="shared" si="4"/>
        <v>0</v>
      </c>
      <c r="R22" s="915">
        <f t="shared" si="0"/>
        <v>0</v>
      </c>
      <c r="S22" s="915">
        <f t="shared" si="1"/>
        <v>0</v>
      </c>
      <c r="T22" s="915">
        <f t="shared" si="2"/>
        <v>0</v>
      </c>
      <c r="U22"/>
      <c r="V22"/>
      <c r="W22"/>
      <c r="X22"/>
      <c r="Y22"/>
      <c r="Z22"/>
      <c r="AA22"/>
      <c r="AB22"/>
      <c r="AC22"/>
      <c r="AD22"/>
      <c r="AE22"/>
    </row>
    <row r="23" spans="1:31" ht="15.75">
      <c r="A23" s="452" t="str">
        <f>'Budget with Assumptions'!A23</f>
        <v>Private Fundraising</v>
      </c>
      <c r="B23" s="24"/>
      <c r="C23" s="24"/>
      <c r="D23" s="366">
        <f>'Budget with Assumptions'!J23</f>
        <v>0</v>
      </c>
      <c r="E23" s="893"/>
      <c r="F23" s="366">
        <f>'Budget with Assumptions'!L23</f>
        <v>0</v>
      </c>
      <c r="G23" s="893"/>
      <c r="H23" s="366">
        <f>'Budget with Assumptions'!N23</f>
        <v>0</v>
      </c>
      <c r="I23" s="893"/>
      <c r="J23" s="366">
        <f>'Budget with Assumptions'!P23</f>
        <v>0</v>
      </c>
      <c r="K23" s="894"/>
      <c r="L23" s="366">
        <f>'Budget with Assumptions'!R23</f>
        <v>0</v>
      </c>
      <c r="M23" s="890"/>
      <c r="N23" s="366">
        <f>'Budget with Assumptions'!T23</f>
        <v>0</v>
      </c>
      <c r="O23"/>
      <c r="P23" s="916">
        <f t="shared" si="3"/>
        <v>0</v>
      </c>
      <c r="Q23" s="916">
        <f t="shared" si="4"/>
        <v>0</v>
      </c>
      <c r="R23" s="915">
        <f t="shared" si="0"/>
        <v>0</v>
      </c>
      <c r="S23" s="915">
        <f t="shared" si="1"/>
        <v>0</v>
      </c>
      <c r="T23" s="915">
        <f t="shared" si="2"/>
        <v>0</v>
      </c>
      <c r="U23"/>
      <c r="V23"/>
      <c r="W23"/>
      <c r="X23"/>
      <c r="Y23"/>
      <c r="Z23"/>
      <c r="AA23"/>
      <c r="AB23"/>
      <c r="AC23"/>
      <c r="AD23"/>
      <c r="AE23"/>
    </row>
    <row r="24" spans="1:31" ht="15.75">
      <c r="A24" s="452" t="str">
        <f>'Budget with Assumptions'!A24</f>
        <v>Student Fees</v>
      </c>
      <c r="B24" s="24"/>
      <c r="C24" s="24"/>
      <c r="D24" s="366">
        <f>'Budget with Assumptions'!J24</f>
        <v>0</v>
      </c>
      <c r="E24" s="893"/>
      <c r="F24" s="366">
        <f>'Budget with Assumptions'!L24</f>
        <v>0</v>
      </c>
      <c r="G24" s="893"/>
      <c r="H24" s="366">
        <f>'Budget with Assumptions'!N24</f>
        <v>0</v>
      </c>
      <c r="I24" s="893"/>
      <c r="J24" s="366">
        <f>'Budget with Assumptions'!P24</f>
        <v>0</v>
      </c>
      <c r="K24" s="894"/>
      <c r="L24" s="366">
        <f>'Budget with Assumptions'!R24</f>
        <v>0</v>
      </c>
      <c r="M24" s="890"/>
      <c r="N24" s="366">
        <f>'Budget with Assumptions'!T24</f>
        <v>0</v>
      </c>
      <c r="O24"/>
      <c r="P24" s="916">
        <f t="shared" si="3"/>
        <v>0</v>
      </c>
      <c r="Q24" s="916">
        <f t="shared" si="4"/>
        <v>0</v>
      </c>
      <c r="R24" s="915">
        <f t="shared" si="0"/>
        <v>0</v>
      </c>
      <c r="S24" s="915">
        <f t="shared" si="1"/>
        <v>0</v>
      </c>
      <c r="T24" s="915">
        <f t="shared" si="2"/>
        <v>0</v>
      </c>
      <c r="U24"/>
      <c r="V24"/>
      <c r="W24"/>
      <c r="X24"/>
      <c r="Y24"/>
      <c r="Z24"/>
      <c r="AA24"/>
      <c r="AB24"/>
      <c r="AC24"/>
      <c r="AD24"/>
      <c r="AE24"/>
    </row>
    <row r="25" spans="1:31" ht="15.75">
      <c r="A25" s="452" t="str">
        <f>'Budget with Assumptions'!A25</f>
        <v>Erate</v>
      </c>
      <c r="B25" s="24"/>
      <c r="C25" s="24"/>
      <c r="D25" s="366">
        <f>'Budget with Assumptions'!J25</f>
        <v>0</v>
      </c>
      <c r="E25" s="893"/>
      <c r="F25" s="366">
        <f>'Budget with Assumptions'!L25</f>
        <v>0</v>
      </c>
      <c r="G25" s="893"/>
      <c r="H25" s="366">
        <f>'Budget with Assumptions'!N25</f>
        <v>0</v>
      </c>
      <c r="I25" s="893"/>
      <c r="J25" s="366">
        <f>'Budget with Assumptions'!P25</f>
        <v>0</v>
      </c>
      <c r="K25" s="894"/>
      <c r="L25" s="366">
        <f>'Budget with Assumptions'!R25</f>
        <v>0</v>
      </c>
      <c r="M25" s="890"/>
      <c r="N25" s="366">
        <f>'Budget with Assumptions'!T25</f>
        <v>0</v>
      </c>
      <c r="O25"/>
      <c r="P25" s="916">
        <f t="shared" si="3"/>
        <v>0</v>
      </c>
      <c r="Q25" s="916">
        <f t="shared" si="4"/>
        <v>0</v>
      </c>
      <c r="R25" s="915">
        <f t="shared" si="0"/>
        <v>0</v>
      </c>
      <c r="S25" s="915">
        <f t="shared" si="1"/>
        <v>0</v>
      </c>
      <c r="T25" s="915">
        <f t="shared" si="2"/>
        <v>0</v>
      </c>
      <c r="U25"/>
      <c r="V25"/>
      <c r="W25"/>
      <c r="X25"/>
      <c r="Y25"/>
      <c r="Z25"/>
      <c r="AA25"/>
      <c r="AB25"/>
      <c r="AC25"/>
      <c r="AD25"/>
      <c r="AE25"/>
    </row>
    <row r="26" spans="1:31" ht="15.75">
      <c r="A26" s="452" t="str">
        <f>'Budget with Assumptions'!A26</f>
        <v>Investment Income</v>
      </c>
      <c r="B26" s="24"/>
      <c r="C26" s="24"/>
      <c r="D26" s="366">
        <f>'Budget with Assumptions'!J26</f>
        <v>0</v>
      </c>
      <c r="E26" s="893"/>
      <c r="F26" s="366">
        <f>'Budget with Assumptions'!L26</f>
        <v>0</v>
      </c>
      <c r="G26" s="893"/>
      <c r="H26" s="366">
        <f>'Budget with Assumptions'!N26</f>
        <v>0</v>
      </c>
      <c r="I26" s="893"/>
      <c r="J26" s="366">
        <f>'Budget with Assumptions'!P26</f>
        <v>0</v>
      </c>
      <c r="K26" s="894"/>
      <c r="L26" s="366">
        <f>'Budget with Assumptions'!R26</f>
        <v>0</v>
      </c>
      <c r="M26" s="890"/>
      <c r="N26" s="366">
        <f>'Budget with Assumptions'!T26</f>
        <v>0</v>
      </c>
      <c r="O26"/>
      <c r="P26" s="916">
        <f t="shared" si="3"/>
        <v>0</v>
      </c>
      <c r="Q26" s="916">
        <f t="shared" si="4"/>
        <v>0</v>
      </c>
      <c r="R26" s="915">
        <f t="shared" si="0"/>
        <v>0</v>
      </c>
      <c r="S26" s="915">
        <f t="shared" si="1"/>
        <v>0</v>
      </c>
      <c r="T26" s="915">
        <f t="shared" si="2"/>
        <v>0</v>
      </c>
      <c r="U26"/>
      <c r="V26"/>
      <c r="W26"/>
      <c r="X26"/>
      <c r="Y26"/>
      <c r="Z26"/>
      <c r="AA26"/>
      <c r="AB26"/>
      <c r="AC26"/>
      <c r="AD26"/>
      <c r="AE26"/>
    </row>
    <row r="27" spans="1:31" ht="15.75">
      <c r="A27" s="452" t="str">
        <f>'Budget with Assumptions'!A27</f>
        <v>Non-Facility Loan Proceeds / Line of Credit</v>
      </c>
      <c r="B27" s="24"/>
      <c r="C27" s="24"/>
      <c r="D27" s="366">
        <f>'Budget with Assumptions'!J27</f>
        <v>0</v>
      </c>
      <c r="E27" s="893"/>
      <c r="F27" s="366">
        <f>'Budget with Assumptions'!L27</f>
        <v>0</v>
      </c>
      <c r="G27" s="893"/>
      <c r="H27" s="366">
        <f>'Budget with Assumptions'!N27</f>
        <v>0</v>
      </c>
      <c r="I27" s="893"/>
      <c r="J27" s="366">
        <f>'Budget with Assumptions'!P27</f>
        <v>0</v>
      </c>
      <c r="K27" s="894"/>
      <c r="L27" s="366">
        <f>'Budget with Assumptions'!R27</f>
        <v>0</v>
      </c>
      <c r="M27" s="890"/>
      <c r="N27" s="366">
        <f>'Budget with Assumptions'!T27</f>
        <v>0</v>
      </c>
      <c r="O27"/>
      <c r="P27" s="916">
        <f t="shared" si="3"/>
        <v>0</v>
      </c>
      <c r="Q27" s="916">
        <f t="shared" si="4"/>
        <v>0</v>
      </c>
      <c r="R27" s="915">
        <f t="shared" si="0"/>
        <v>0</v>
      </c>
      <c r="S27" s="915">
        <f t="shared" si="1"/>
        <v>0</v>
      </c>
      <c r="T27" s="915">
        <f t="shared" si="2"/>
        <v>0</v>
      </c>
      <c r="U27"/>
      <c r="V27"/>
      <c r="W27"/>
      <c r="X27"/>
      <c r="Y27"/>
      <c r="Z27"/>
      <c r="AA27"/>
      <c r="AB27"/>
      <c r="AC27"/>
      <c r="AD27"/>
      <c r="AE27"/>
    </row>
    <row r="28" spans="1:31" ht="15.75">
      <c r="A28" s="452">
        <f>'Budget with Assumptions'!A28</f>
        <v>0</v>
      </c>
      <c r="B28" s="24"/>
      <c r="C28" s="24"/>
      <c r="D28" s="366">
        <f>'Budget with Assumptions'!J28</f>
        <v>0</v>
      </c>
      <c r="E28" s="893"/>
      <c r="F28" s="366">
        <f>'Budget with Assumptions'!L28</f>
        <v>0</v>
      </c>
      <c r="G28" s="893"/>
      <c r="H28" s="366">
        <f>'Budget with Assumptions'!N28</f>
        <v>0</v>
      </c>
      <c r="I28" s="893"/>
      <c r="J28" s="366">
        <f>'Budget with Assumptions'!P28</f>
        <v>0</v>
      </c>
      <c r="K28" s="894"/>
      <c r="L28" s="366">
        <f>'Budget with Assumptions'!R28</f>
        <v>0</v>
      </c>
      <c r="M28" s="890"/>
      <c r="N28" s="366">
        <f>'Budget with Assumptions'!T28</f>
        <v>0</v>
      </c>
      <c r="O28"/>
      <c r="P28" s="916">
        <f t="shared" si="3"/>
        <v>0</v>
      </c>
      <c r="Q28" s="916">
        <f t="shared" si="4"/>
        <v>0</v>
      </c>
      <c r="R28" s="915">
        <f t="shared" si="0"/>
        <v>0</v>
      </c>
      <c r="S28" s="915">
        <f t="shared" si="1"/>
        <v>0</v>
      </c>
      <c r="T28" s="915">
        <f t="shared" si="2"/>
        <v>0</v>
      </c>
      <c r="U28"/>
      <c r="V28"/>
      <c r="W28"/>
      <c r="X28"/>
      <c r="Y28"/>
      <c r="Z28"/>
      <c r="AA28"/>
      <c r="AB28"/>
      <c r="AC28"/>
      <c r="AD28"/>
      <c r="AE28"/>
    </row>
    <row r="29" spans="1:31" ht="15.75">
      <c r="A29" s="452">
        <f>'Budget with Assumptions'!A29</f>
        <v>0</v>
      </c>
      <c r="B29" s="28"/>
      <c r="C29" s="28"/>
      <c r="D29" s="366">
        <f>'Budget with Assumptions'!J29</f>
        <v>0</v>
      </c>
      <c r="E29" s="893"/>
      <c r="F29" s="366">
        <f>'Budget with Assumptions'!L29</f>
        <v>0</v>
      </c>
      <c r="G29" s="893"/>
      <c r="H29" s="366">
        <f>'Budget with Assumptions'!N29</f>
        <v>0</v>
      </c>
      <c r="I29" s="893"/>
      <c r="J29" s="366">
        <f>'Budget with Assumptions'!P29</f>
        <v>0</v>
      </c>
      <c r="K29" s="894"/>
      <c r="L29" s="366">
        <f>'Budget with Assumptions'!R29</f>
        <v>0</v>
      </c>
      <c r="M29" s="890"/>
      <c r="N29" s="366">
        <f>'Budget with Assumptions'!T29</f>
        <v>0</v>
      </c>
      <c r="O29"/>
      <c r="P29" s="916">
        <f t="shared" si="3"/>
        <v>0</v>
      </c>
      <c r="Q29" s="916">
        <f t="shared" si="4"/>
        <v>0</v>
      </c>
      <c r="R29" s="915">
        <f t="shared" si="0"/>
        <v>0</v>
      </c>
      <c r="S29" s="915">
        <f t="shared" si="1"/>
        <v>0</v>
      </c>
      <c r="T29" s="915">
        <f t="shared" si="2"/>
        <v>0</v>
      </c>
      <c r="U29"/>
      <c r="V29"/>
      <c r="W29"/>
      <c r="X29"/>
      <c r="Y29"/>
      <c r="Z29"/>
      <c r="AA29"/>
      <c r="AB29"/>
      <c r="AC29"/>
      <c r="AD29"/>
      <c r="AE29"/>
    </row>
    <row r="30" spans="1:31" ht="15.75">
      <c r="A30" s="452">
        <f>'Budget with Assumptions'!A30</f>
        <v>0</v>
      </c>
      <c r="B30" s="28"/>
      <c r="C30" s="28"/>
      <c r="D30" s="366">
        <f>'Budget with Assumptions'!J30</f>
        <v>0</v>
      </c>
      <c r="E30" s="893"/>
      <c r="F30" s="366">
        <f>'Budget with Assumptions'!L30</f>
        <v>0</v>
      </c>
      <c r="G30" s="893"/>
      <c r="H30" s="366">
        <f>'Budget with Assumptions'!N30</f>
        <v>0</v>
      </c>
      <c r="I30" s="893"/>
      <c r="J30" s="366">
        <f>'Budget with Assumptions'!P30</f>
        <v>0</v>
      </c>
      <c r="K30" s="894"/>
      <c r="L30" s="366">
        <f>'Budget with Assumptions'!R30</f>
        <v>0</v>
      </c>
      <c r="M30" s="890"/>
      <c r="N30" s="366">
        <f>'Budget with Assumptions'!T30</f>
        <v>0</v>
      </c>
      <c r="O30"/>
      <c r="P30" s="916">
        <f t="shared" si="3"/>
        <v>0</v>
      </c>
      <c r="Q30" s="916">
        <f t="shared" si="4"/>
        <v>0</v>
      </c>
      <c r="R30" s="915">
        <f t="shared" si="0"/>
        <v>0</v>
      </c>
      <c r="S30" s="915">
        <f t="shared" si="1"/>
        <v>0</v>
      </c>
      <c r="T30" s="915">
        <f t="shared" si="2"/>
        <v>0</v>
      </c>
      <c r="U30"/>
      <c r="V30"/>
      <c r="W30"/>
      <c r="X30"/>
      <c r="Y30"/>
      <c r="Z30"/>
      <c r="AA30"/>
      <c r="AB30"/>
      <c r="AC30"/>
      <c r="AD30"/>
      <c r="AE30"/>
    </row>
    <row r="31" spans="1:31" ht="15.75">
      <c r="A31" s="452">
        <f>'Budget with Assumptions'!A31</f>
        <v>0</v>
      </c>
      <c r="B31" s="28"/>
      <c r="C31" s="28"/>
      <c r="D31" s="366">
        <f>'Budget with Assumptions'!J31</f>
        <v>0</v>
      </c>
      <c r="E31" s="893"/>
      <c r="F31" s="366">
        <f>'Budget with Assumptions'!L31</f>
        <v>0</v>
      </c>
      <c r="G31" s="893"/>
      <c r="H31" s="366">
        <f>'Budget with Assumptions'!N31</f>
        <v>0</v>
      </c>
      <c r="I31" s="893"/>
      <c r="J31" s="366">
        <f>'Budget with Assumptions'!P31</f>
        <v>0</v>
      </c>
      <c r="K31" s="894"/>
      <c r="L31" s="366">
        <f>'Budget with Assumptions'!R31</f>
        <v>0</v>
      </c>
      <c r="M31" s="890"/>
      <c r="N31" s="366">
        <f>'Budget with Assumptions'!T31</f>
        <v>0</v>
      </c>
      <c r="O31"/>
      <c r="P31" s="916">
        <f t="shared" si="3"/>
        <v>0</v>
      </c>
      <c r="Q31" s="916">
        <f t="shared" si="4"/>
        <v>0</v>
      </c>
      <c r="R31" s="915">
        <f t="shared" si="0"/>
        <v>0</v>
      </c>
      <c r="S31" s="915">
        <f t="shared" si="1"/>
        <v>0</v>
      </c>
      <c r="T31" s="915">
        <f t="shared" si="2"/>
        <v>0</v>
      </c>
      <c r="U31"/>
      <c r="V31"/>
      <c r="W31"/>
      <c r="X31"/>
      <c r="Y31"/>
      <c r="Z31"/>
      <c r="AA31"/>
      <c r="AB31"/>
      <c r="AC31"/>
      <c r="AD31"/>
      <c r="AE31"/>
    </row>
    <row r="32" spans="1:31" ht="15.75">
      <c r="A32" s="452">
        <f>'Budget with Assumptions'!A32</f>
        <v>0</v>
      </c>
      <c r="B32" s="28"/>
      <c r="C32" s="28"/>
      <c r="D32" s="366">
        <f>'Budget with Assumptions'!J32</f>
        <v>0</v>
      </c>
      <c r="E32" s="893"/>
      <c r="F32" s="366">
        <f>'Budget with Assumptions'!L32</f>
        <v>0</v>
      </c>
      <c r="G32" s="893"/>
      <c r="H32" s="366">
        <f>'Budget with Assumptions'!N32</f>
        <v>0</v>
      </c>
      <c r="I32" s="893"/>
      <c r="J32" s="366">
        <f>'Budget with Assumptions'!P32</f>
        <v>0</v>
      </c>
      <c r="K32" s="894"/>
      <c r="L32" s="366">
        <f>'Budget with Assumptions'!R32</f>
        <v>0</v>
      </c>
      <c r="M32" s="890"/>
      <c r="N32" s="366">
        <f>'Budget with Assumptions'!T32</f>
        <v>0</v>
      </c>
      <c r="O32"/>
      <c r="P32" s="916">
        <f t="shared" si="3"/>
        <v>0</v>
      </c>
      <c r="Q32" s="916">
        <f t="shared" si="4"/>
        <v>0</v>
      </c>
      <c r="R32" s="915">
        <f t="shared" si="0"/>
        <v>0</v>
      </c>
      <c r="S32" s="915">
        <f t="shared" si="1"/>
        <v>0</v>
      </c>
      <c r="T32" s="915">
        <f t="shared" si="2"/>
        <v>0</v>
      </c>
      <c r="U32"/>
      <c r="V32"/>
      <c r="W32"/>
      <c r="X32"/>
      <c r="Y32"/>
      <c r="Z32"/>
      <c r="AA32"/>
      <c r="AB32"/>
      <c r="AC32"/>
      <c r="AD32"/>
      <c r="AE32"/>
    </row>
    <row r="33" spans="1:31" ht="15.75">
      <c r="A33" s="452">
        <f>'Budget with Assumptions'!A33</f>
        <v>0</v>
      </c>
      <c r="B33" s="28"/>
      <c r="C33" s="28"/>
      <c r="D33" s="366">
        <f>'Budget with Assumptions'!J33</f>
        <v>0</v>
      </c>
      <c r="E33" s="893"/>
      <c r="F33" s="366">
        <f>'Budget with Assumptions'!L33</f>
        <v>0</v>
      </c>
      <c r="G33" s="893"/>
      <c r="H33" s="366">
        <f>'Budget with Assumptions'!N33</f>
        <v>0</v>
      </c>
      <c r="I33" s="893"/>
      <c r="J33" s="366">
        <f>'Budget with Assumptions'!P33</f>
        <v>0</v>
      </c>
      <c r="K33" s="897"/>
      <c r="L33" s="366">
        <f>'Budget with Assumptions'!R33</f>
        <v>0</v>
      </c>
      <c r="M33" s="890"/>
      <c r="N33" s="366">
        <f>'Budget with Assumptions'!T33</f>
        <v>0</v>
      </c>
      <c r="O33"/>
      <c r="P33" s="916">
        <f t="shared" si="3"/>
        <v>0</v>
      </c>
      <c r="Q33" s="916">
        <f t="shared" si="4"/>
        <v>0</v>
      </c>
      <c r="R33" s="915">
        <f t="shared" si="0"/>
        <v>0</v>
      </c>
      <c r="S33" s="915">
        <f t="shared" si="1"/>
        <v>0</v>
      </c>
      <c r="T33" s="915">
        <f t="shared" si="2"/>
        <v>0</v>
      </c>
      <c r="U33"/>
      <c r="V33"/>
      <c r="W33"/>
      <c r="X33"/>
      <c r="Y33"/>
      <c r="Z33"/>
      <c r="AA33"/>
      <c r="AB33"/>
      <c r="AC33"/>
      <c r="AD33"/>
      <c r="AE33"/>
    </row>
    <row r="34" spans="1:31" ht="16.5" thickBot="1">
      <c r="A34" s="22"/>
      <c r="B34" s="24"/>
      <c r="C34" s="24"/>
      <c r="D34" s="893"/>
      <c r="E34" s="893"/>
      <c r="F34" s="893"/>
      <c r="G34" s="893"/>
      <c r="H34" s="893"/>
      <c r="I34" s="893"/>
      <c r="J34" s="892"/>
      <c r="K34" s="894"/>
      <c r="L34" s="68"/>
      <c r="M34" s="890"/>
      <c r="N34" s="68"/>
      <c r="O34"/>
      <c r="P34" s="917"/>
      <c r="Q34" s="917"/>
      <c r="R34" s="917"/>
      <c r="S34" s="917"/>
      <c r="T34" s="917"/>
      <c r="U34"/>
      <c r="V34"/>
      <c r="W34"/>
      <c r="X34"/>
      <c r="Y34"/>
      <c r="Z34"/>
      <c r="AA34"/>
      <c r="AB34"/>
      <c r="AC34"/>
      <c r="AD34"/>
      <c r="AE34"/>
    </row>
    <row r="35" spans="2:31" ht="16.5" thickBot="1">
      <c r="B35" s="33"/>
      <c r="C35" s="33"/>
      <c r="D35" s="483">
        <f>SUM(D10:D33)</f>
        <v>152000</v>
      </c>
      <c r="E35" s="357"/>
      <c r="F35" s="483">
        <f>SUM(F10:F33)</f>
        <v>1361222.006</v>
      </c>
      <c r="G35" s="357"/>
      <c r="H35" s="483">
        <f>SUM(H10:H33)</f>
        <v>2102804.8605</v>
      </c>
      <c r="I35" s="357"/>
      <c r="J35" s="483">
        <f>SUM(J10:J33)</f>
        <v>2972593.20975</v>
      </c>
      <c r="K35" s="358"/>
      <c r="L35" s="483">
        <f>SUM(L10:L33)</f>
        <v>2907297.6770924996</v>
      </c>
      <c r="M35" s="875"/>
      <c r="N35" s="484">
        <f>SUM(N10:N33)</f>
        <v>2912946.884455275</v>
      </c>
      <c r="O35"/>
      <c r="P35" s="918">
        <f>SUM(P10:P34)</f>
        <v>1</v>
      </c>
      <c r="Q35" s="918">
        <f>SUM(Q10:Q34)</f>
        <v>1</v>
      </c>
      <c r="R35" s="918">
        <f>SUM(R10:R34)</f>
        <v>0.9999999999999998</v>
      </c>
      <c r="S35" s="918">
        <f>SUM(S10:S34)</f>
        <v>1</v>
      </c>
      <c r="T35" s="918">
        <f>SUM(T10:T34)</f>
        <v>0.9999999999999999</v>
      </c>
      <c r="U35"/>
      <c r="V35"/>
      <c r="W35"/>
      <c r="X35"/>
      <c r="Y35"/>
      <c r="Z35"/>
      <c r="AA35"/>
      <c r="AB35"/>
      <c r="AC35"/>
      <c r="AD35"/>
      <c r="AE35"/>
    </row>
    <row r="36" spans="1:31" ht="15.75">
      <c r="A36" s="27"/>
      <c r="B36" s="28"/>
      <c r="C36" s="28"/>
      <c r="D36" s="893"/>
      <c r="E36" s="893"/>
      <c r="F36" s="893"/>
      <c r="G36" s="893"/>
      <c r="H36" s="893"/>
      <c r="I36" s="893"/>
      <c r="J36" s="893"/>
      <c r="K36" s="898"/>
      <c r="L36" s="68"/>
      <c r="M36" s="890"/>
      <c r="N36" s="68"/>
      <c r="O36"/>
      <c r="P36" s="917"/>
      <c r="Q36" s="917"/>
      <c r="R36" s="917"/>
      <c r="S36" s="917"/>
      <c r="T36" s="917"/>
      <c r="U36"/>
      <c r="V36"/>
      <c r="W36"/>
      <c r="X36"/>
      <c r="Y36"/>
      <c r="Z36"/>
      <c r="AA36"/>
      <c r="AB36"/>
      <c r="AC36"/>
      <c r="AD36"/>
      <c r="AE36"/>
    </row>
    <row r="37" spans="1:31" ht="18" customHeight="1" thickBot="1">
      <c r="A37" s="292" t="s">
        <v>28</v>
      </c>
      <c r="B37" s="28"/>
      <c r="C37" s="28"/>
      <c r="D37" s="893"/>
      <c r="E37" s="893"/>
      <c r="F37" s="893"/>
      <c r="G37" s="893"/>
      <c r="H37" s="893"/>
      <c r="I37" s="893"/>
      <c r="J37" s="893"/>
      <c r="K37" s="898"/>
      <c r="L37" s="68"/>
      <c r="M37" s="890"/>
      <c r="N37" s="68"/>
      <c r="O37"/>
      <c r="P37" s="917"/>
      <c r="Q37" s="917"/>
      <c r="R37" s="917"/>
      <c r="S37" s="917"/>
      <c r="T37" s="917"/>
      <c r="U37"/>
      <c r="V37"/>
      <c r="W37"/>
      <c r="X37"/>
      <c r="Y37"/>
      <c r="Z37"/>
      <c r="AA37"/>
      <c r="AB37"/>
      <c r="AC37"/>
      <c r="AD37"/>
      <c r="AE37"/>
    </row>
    <row r="38" spans="1:31" ht="18" customHeight="1" thickBot="1">
      <c r="A38" s="22"/>
      <c r="B38" s="28"/>
      <c r="C38" s="28"/>
      <c r="D38" s="893"/>
      <c r="E38" s="893"/>
      <c r="F38" s="893"/>
      <c r="G38" s="893"/>
      <c r="H38" s="893"/>
      <c r="I38" s="893"/>
      <c r="J38" s="893"/>
      <c r="K38" s="898"/>
      <c r="L38" s="68"/>
      <c r="M38" s="890"/>
      <c r="N38" s="68"/>
      <c r="O38"/>
      <c r="P38" s="917"/>
      <c r="Q38" s="917"/>
      <c r="R38" s="917"/>
      <c r="S38" s="917"/>
      <c r="T38" s="917"/>
      <c r="U38"/>
      <c r="V38" s="1130" t="s">
        <v>369</v>
      </c>
      <c r="W38" s="1131"/>
      <c r="X38" s="1131"/>
      <c r="Y38" s="1131"/>
      <c r="Z38" s="1132"/>
      <c r="AA38"/>
      <c r="AB38"/>
      <c r="AC38"/>
      <c r="AD38"/>
      <c r="AE38"/>
    </row>
    <row r="39" spans="1:31" ht="32.25" customHeight="1" thickBot="1">
      <c r="A39" s="705" t="s">
        <v>9</v>
      </c>
      <c r="B39" s="24"/>
      <c r="C39" s="24"/>
      <c r="D39" s="899"/>
      <c r="E39" s="899"/>
      <c r="F39" s="899"/>
      <c r="G39" s="899"/>
      <c r="H39" s="899"/>
      <c r="I39" s="899"/>
      <c r="J39" s="899"/>
      <c r="K39" s="900"/>
      <c r="L39" s="899"/>
      <c r="M39" s="890"/>
      <c r="N39" s="899"/>
      <c r="O39"/>
      <c r="P39" s="1130" t="s">
        <v>368</v>
      </c>
      <c r="Q39" s="1131"/>
      <c r="R39" s="1131"/>
      <c r="S39" s="1131"/>
      <c r="T39" s="1132"/>
      <c r="U39"/>
      <c r="V39" s="914">
        <f>P9</f>
        <v>17</v>
      </c>
      <c r="W39" s="914">
        <f>Q9</f>
        <v>18</v>
      </c>
      <c r="X39" s="914">
        <f>R9</f>
        <v>19</v>
      </c>
      <c r="Y39" s="914">
        <f>S9</f>
        <v>20</v>
      </c>
      <c r="Z39" s="914">
        <f>T9</f>
        <v>21</v>
      </c>
      <c r="AA39"/>
      <c r="AB39"/>
      <c r="AC39"/>
      <c r="AD39"/>
      <c r="AE39"/>
    </row>
    <row r="40" spans="1:31" ht="15.75">
      <c r="A40" s="713" t="str">
        <f>'Budget with Assumptions'!A40</f>
        <v>Classroom Supplies (consumables)</v>
      </c>
      <c r="B40" s="38"/>
      <c r="C40" s="38"/>
      <c r="D40" s="366">
        <f>'Budget with Assumptions'!J40</f>
        <v>0</v>
      </c>
      <c r="E40" s="901"/>
      <c r="F40" s="366">
        <f>'Budget with Assumptions'!L40</f>
        <v>2500</v>
      </c>
      <c r="G40" s="901"/>
      <c r="H40" s="366">
        <f>'Budget with Assumptions'!N40</f>
        <v>4375</v>
      </c>
      <c r="I40" s="901"/>
      <c r="J40" s="366">
        <f>'Budget with Assumptions'!P40</f>
        <v>6250</v>
      </c>
      <c r="K40" s="902"/>
      <c r="L40" s="366">
        <f>'Budget with Assumptions'!R40</f>
        <v>6250</v>
      </c>
      <c r="M40" s="890"/>
      <c r="N40" s="366">
        <f>'Budget with Assumptions'!T40</f>
        <v>6250</v>
      </c>
      <c r="O40"/>
      <c r="P40" s="915">
        <f aca="true" t="shared" si="5" ref="P40:P62">F40/$F$159</f>
        <v>0.0015561671678094857</v>
      </c>
      <c r="Q40" s="915">
        <f aca="true" t="shared" si="6" ref="Q40:Q62">H40/$H$159</f>
        <v>0.0020985846526993465</v>
      </c>
      <c r="R40" s="915">
        <f aca="true" t="shared" si="7" ref="R40:R62">J40/$J$159</f>
        <v>0.0024057211087450234</v>
      </c>
      <c r="S40" s="915">
        <f aca="true" t="shared" si="8" ref="S40:S62">L40/$L$159</f>
        <v>0.002368873143935683</v>
      </c>
      <c r="T40" s="915">
        <f aca="true" t="shared" si="9" ref="T40:T62">N40/$N$159</f>
        <v>0.0023312394159138916</v>
      </c>
      <c r="U40"/>
      <c r="V40" s="922">
        <f>F40/$F$178</f>
        <v>25</v>
      </c>
      <c r="W40" s="922">
        <f>H40/$H$178</f>
        <v>25</v>
      </c>
      <c r="X40" s="922">
        <f>J40/$J$178</f>
        <v>25</v>
      </c>
      <c r="Y40" s="922">
        <f>L40/$L$178</f>
        <v>25</v>
      </c>
      <c r="Z40" s="922">
        <f>N40/$N$178</f>
        <v>25</v>
      </c>
      <c r="AA40"/>
      <c r="AB40"/>
      <c r="AC40"/>
      <c r="AD40"/>
      <c r="AE40"/>
    </row>
    <row r="41" spans="1:31" ht="15.75">
      <c r="A41" s="713" t="str">
        <f>'Budget with Assumptions'!A41</f>
        <v>Educational Materials (non-consumables)</v>
      </c>
      <c r="B41" s="42"/>
      <c r="C41" s="42"/>
      <c r="D41" s="366">
        <f>'Budget with Assumptions'!J41</f>
        <v>0</v>
      </c>
      <c r="E41" s="901"/>
      <c r="F41" s="366">
        <f>'Budget with Assumptions'!L41</f>
        <v>2500</v>
      </c>
      <c r="G41" s="901"/>
      <c r="H41" s="366">
        <f>'Budget with Assumptions'!N41</f>
        <v>4375</v>
      </c>
      <c r="I41" s="901"/>
      <c r="J41" s="366">
        <f>'Budget with Assumptions'!P41</f>
        <v>6250</v>
      </c>
      <c r="K41" s="902"/>
      <c r="L41" s="366">
        <f>'Budget with Assumptions'!R41</f>
        <v>6250</v>
      </c>
      <c r="M41" s="890"/>
      <c r="N41" s="366">
        <f>'Budget with Assumptions'!T41</f>
        <v>6250</v>
      </c>
      <c r="O41"/>
      <c r="P41" s="915">
        <f t="shared" si="5"/>
        <v>0.0015561671678094857</v>
      </c>
      <c r="Q41" s="915">
        <f t="shared" si="6"/>
        <v>0.0020985846526993465</v>
      </c>
      <c r="R41" s="915">
        <f t="shared" si="7"/>
        <v>0.0024057211087450234</v>
      </c>
      <c r="S41" s="915">
        <f t="shared" si="8"/>
        <v>0.002368873143935683</v>
      </c>
      <c r="T41" s="915">
        <f t="shared" si="9"/>
        <v>0.0023312394159138916</v>
      </c>
      <c r="U41"/>
      <c r="V41" s="922">
        <f aca="true" t="shared" si="10" ref="V41:V62">F41/$F$178</f>
        <v>25</v>
      </c>
      <c r="W41" s="922">
        <f aca="true" t="shared" si="11" ref="W41:W62">H41/$H$178</f>
        <v>25</v>
      </c>
      <c r="X41" s="922">
        <f aca="true" t="shared" si="12" ref="X41:X62">J41/$J$178</f>
        <v>25</v>
      </c>
      <c r="Y41" s="922">
        <f aca="true" t="shared" si="13" ref="Y41:Y62">L41/$L$178</f>
        <v>25</v>
      </c>
      <c r="Z41" s="922">
        <f aca="true" t="shared" si="14" ref="Z41:Z62">N41/$N$178</f>
        <v>25</v>
      </c>
      <c r="AA41"/>
      <c r="AB41"/>
      <c r="AC41"/>
      <c r="AD41"/>
      <c r="AE41"/>
    </row>
    <row r="42" spans="1:31" ht="15.75">
      <c r="A42" s="713" t="str">
        <f>'Budget with Assumptions'!A42</f>
        <v>Student Testing &amp; Assessment</v>
      </c>
      <c r="B42" s="42"/>
      <c r="C42" s="42"/>
      <c r="D42" s="366">
        <f>'Budget with Assumptions'!J42</f>
        <v>0</v>
      </c>
      <c r="E42" s="901"/>
      <c r="F42" s="366">
        <f>'Budget with Assumptions'!L42</f>
        <v>4000</v>
      </c>
      <c r="G42" s="901"/>
      <c r="H42" s="366">
        <f>'Budget with Assumptions'!N42</f>
        <v>7000</v>
      </c>
      <c r="I42" s="901"/>
      <c r="J42" s="366">
        <f>'Budget with Assumptions'!P42</f>
        <v>10000</v>
      </c>
      <c r="K42" s="902"/>
      <c r="L42" s="366">
        <f>'Budget with Assumptions'!R42</f>
        <v>10000</v>
      </c>
      <c r="M42" s="890"/>
      <c r="N42" s="366">
        <f>'Budget with Assumptions'!T42</f>
        <v>10000</v>
      </c>
      <c r="O42"/>
      <c r="P42" s="915">
        <f t="shared" si="5"/>
        <v>0.0024898674684951773</v>
      </c>
      <c r="Q42" s="915">
        <f t="shared" si="6"/>
        <v>0.0033577354443189546</v>
      </c>
      <c r="R42" s="915">
        <f t="shared" si="7"/>
        <v>0.0038491537739920377</v>
      </c>
      <c r="S42" s="915">
        <f t="shared" si="8"/>
        <v>0.0037901970302970924</v>
      </c>
      <c r="T42" s="915">
        <f t="shared" si="9"/>
        <v>0.0037299830654622264</v>
      </c>
      <c r="U42"/>
      <c r="V42" s="922">
        <f t="shared" si="10"/>
        <v>40</v>
      </c>
      <c r="W42" s="922">
        <f t="shared" si="11"/>
        <v>40</v>
      </c>
      <c r="X42" s="922">
        <f t="shared" si="12"/>
        <v>40</v>
      </c>
      <c r="Y42" s="922">
        <f t="shared" si="13"/>
        <v>40</v>
      </c>
      <c r="Z42" s="922">
        <f t="shared" si="14"/>
        <v>40</v>
      </c>
      <c r="AA42"/>
      <c r="AB42"/>
      <c r="AC42"/>
      <c r="AD42"/>
      <c r="AE42"/>
    </row>
    <row r="43" spans="1:31" ht="15.75">
      <c r="A43" s="713" t="str">
        <f>'Budget with Assumptions'!A43</f>
        <v>Student Recruitment</v>
      </c>
      <c r="B43" s="42"/>
      <c r="C43" s="42"/>
      <c r="D43" s="366">
        <f>'Budget with Assumptions'!J43</f>
        <v>55000</v>
      </c>
      <c r="E43" s="901"/>
      <c r="F43" s="366">
        <f>'Budget with Assumptions'!L43</f>
        <v>110000</v>
      </c>
      <c r="G43" s="901"/>
      <c r="H43" s="366">
        <f>'Budget with Assumptions'!N43</f>
        <v>192500</v>
      </c>
      <c r="I43" s="901"/>
      <c r="J43" s="366">
        <f>'Budget with Assumptions'!P43</f>
        <v>275000</v>
      </c>
      <c r="K43" s="902"/>
      <c r="L43" s="366">
        <f>'Budget with Assumptions'!R43</f>
        <v>275000</v>
      </c>
      <c r="M43" s="890"/>
      <c r="N43" s="366">
        <f>'Budget with Assumptions'!T43</f>
        <v>275000</v>
      </c>
      <c r="O43"/>
      <c r="P43" s="915">
        <f t="shared" si="5"/>
        <v>0.06847135538361737</v>
      </c>
      <c r="Q43" s="915">
        <f t="shared" si="6"/>
        <v>0.09233772471877125</v>
      </c>
      <c r="R43" s="915">
        <f t="shared" si="7"/>
        <v>0.10585172878478104</v>
      </c>
      <c r="S43" s="915">
        <f t="shared" si="8"/>
        <v>0.10423041833317004</v>
      </c>
      <c r="T43" s="915">
        <f t="shared" si="9"/>
        <v>0.10257453430021123</v>
      </c>
      <c r="U43"/>
      <c r="V43" s="922">
        <f t="shared" si="10"/>
        <v>1100</v>
      </c>
      <c r="W43" s="922">
        <f t="shared" si="11"/>
        <v>1100</v>
      </c>
      <c r="X43" s="922">
        <f t="shared" si="12"/>
        <v>1100</v>
      </c>
      <c r="Y43" s="922">
        <f t="shared" si="13"/>
        <v>1100</v>
      </c>
      <c r="Z43" s="922">
        <f t="shared" si="14"/>
        <v>1100</v>
      </c>
      <c r="AA43"/>
      <c r="AB43"/>
      <c r="AC43"/>
      <c r="AD43"/>
      <c r="AE43"/>
    </row>
    <row r="44" spans="1:31" ht="15.75">
      <c r="A44" s="713" t="str">
        <f>'Budget with Assumptions'!A44</f>
        <v>Instructional Equipment (non-computer)</v>
      </c>
      <c r="B44" s="42"/>
      <c r="C44" s="42"/>
      <c r="D44" s="366">
        <f>'Budget with Assumptions'!J44</f>
        <v>0</v>
      </c>
      <c r="E44" s="901"/>
      <c r="F44" s="366">
        <f>'Budget with Assumptions'!L44</f>
        <v>0</v>
      </c>
      <c r="G44" s="901"/>
      <c r="H44" s="366">
        <f>'Budget with Assumptions'!N44</f>
        <v>0</v>
      </c>
      <c r="I44" s="901"/>
      <c r="J44" s="366">
        <f>'Budget with Assumptions'!P44</f>
        <v>0</v>
      </c>
      <c r="K44" s="902"/>
      <c r="L44" s="366">
        <f>'Budget with Assumptions'!R44</f>
        <v>0</v>
      </c>
      <c r="M44" s="890"/>
      <c r="N44" s="366">
        <f>'Budget with Assumptions'!T44</f>
        <v>0</v>
      </c>
      <c r="O44"/>
      <c r="P44" s="915">
        <f t="shared" si="5"/>
        <v>0</v>
      </c>
      <c r="Q44" s="915">
        <f t="shared" si="6"/>
        <v>0</v>
      </c>
      <c r="R44" s="915">
        <f t="shared" si="7"/>
        <v>0</v>
      </c>
      <c r="S44" s="915">
        <f t="shared" si="8"/>
        <v>0</v>
      </c>
      <c r="T44" s="915">
        <f t="shared" si="9"/>
        <v>0</v>
      </c>
      <c r="U44"/>
      <c r="V44" s="922">
        <f t="shared" si="10"/>
        <v>0</v>
      </c>
      <c r="W44" s="922">
        <f t="shared" si="11"/>
        <v>0</v>
      </c>
      <c r="X44" s="922">
        <f t="shared" si="12"/>
        <v>0</v>
      </c>
      <c r="Y44" s="922">
        <f t="shared" si="13"/>
        <v>0</v>
      </c>
      <c r="Z44" s="922">
        <f t="shared" si="14"/>
        <v>0</v>
      </c>
      <c r="AA44"/>
      <c r="AB44"/>
      <c r="AC44"/>
      <c r="AD44"/>
      <c r="AE44"/>
    </row>
    <row r="45" spans="1:31" ht="15.75">
      <c r="A45" s="713" t="str">
        <f>'Budget with Assumptions'!A45</f>
        <v>Technology Equipment (e.g., computers, LAN, software, etc.)</v>
      </c>
      <c r="B45" s="42"/>
      <c r="C45" s="42"/>
      <c r="D45" s="366">
        <f>'Budget with Assumptions'!J45</f>
        <v>0</v>
      </c>
      <c r="E45" s="901"/>
      <c r="F45" s="366">
        <f>'Budget with Assumptions'!L45</f>
        <v>50000</v>
      </c>
      <c r="G45" s="901"/>
      <c r="H45" s="366">
        <f>'Budget with Assumptions'!N45</f>
        <v>10000</v>
      </c>
      <c r="I45" s="901"/>
      <c r="J45" s="366">
        <f>'Budget with Assumptions'!P45</f>
        <v>10000</v>
      </c>
      <c r="K45" s="902"/>
      <c r="L45" s="366">
        <f>'Budget with Assumptions'!R45</f>
        <v>0</v>
      </c>
      <c r="M45" s="890"/>
      <c r="N45" s="366">
        <f>'Budget with Assumptions'!T45</f>
        <v>0</v>
      </c>
      <c r="O45"/>
      <c r="P45" s="915">
        <f t="shared" si="5"/>
        <v>0.031123343356189714</v>
      </c>
      <c r="Q45" s="915">
        <f t="shared" si="6"/>
        <v>0.0047967649204556494</v>
      </c>
      <c r="R45" s="915">
        <f t="shared" si="7"/>
        <v>0.0038491537739920377</v>
      </c>
      <c r="S45" s="915">
        <f t="shared" si="8"/>
        <v>0</v>
      </c>
      <c r="T45" s="915">
        <f t="shared" si="9"/>
        <v>0</v>
      </c>
      <c r="U45"/>
      <c r="V45" s="922">
        <f t="shared" si="10"/>
        <v>500</v>
      </c>
      <c r="W45" s="922">
        <f t="shared" si="11"/>
        <v>57.142857142857146</v>
      </c>
      <c r="X45" s="922">
        <f t="shared" si="12"/>
        <v>40</v>
      </c>
      <c r="Y45" s="922">
        <f t="shared" si="13"/>
        <v>0</v>
      </c>
      <c r="Z45" s="922">
        <f t="shared" si="14"/>
        <v>0</v>
      </c>
      <c r="AA45"/>
      <c r="AB45"/>
      <c r="AC45"/>
      <c r="AD45"/>
      <c r="AE45"/>
    </row>
    <row r="46" spans="1:31" ht="15.75">
      <c r="A46" s="713" t="str">
        <f>'Budget with Assumptions'!A46</f>
        <v>Furniture</v>
      </c>
      <c r="B46" s="42"/>
      <c r="C46" s="42"/>
      <c r="D46" s="366">
        <f>'Budget with Assumptions'!J46</f>
        <v>0</v>
      </c>
      <c r="E46" s="901"/>
      <c r="F46" s="366">
        <f>'Budget with Assumptions'!L46</f>
        <v>50000</v>
      </c>
      <c r="G46" s="901"/>
      <c r="H46" s="366">
        <f>'Budget with Assumptions'!N46</f>
        <v>10000</v>
      </c>
      <c r="I46" s="901"/>
      <c r="J46" s="366">
        <f>'Budget with Assumptions'!P46</f>
        <v>10000</v>
      </c>
      <c r="K46" s="902"/>
      <c r="L46" s="366">
        <f>'Budget with Assumptions'!R46</f>
        <v>0</v>
      </c>
      <c r="M46" s="890"/>
      <c r="N46" s="366">
        <f>'Budget with Assumptions'!T46</f>
        <v>0</v>
      </c>
      <c r="O46"/>
      <c r="P46" s="915">
        <f t="shared" si="5"/>
        <v>0.031123343356189714</v>
      </c>
      <c r="Q46" s="915">
        <f t="shared" si="6"/>
        <v>0.0047967649204556494</v>
      </c>
      <c r="R46" s="915">
        <f t="shared" si="7"/>
        <v>0.0038491537739920377</v>
      </c>
      <c r="S46" s="915">
        <f t="shared" si="8"/>
        <v>0</v>
      </c>
      <c r="T46" s="915">
        <f t="shared" si="9"/>
        <v>0</v>
      </c>
      <c r="U46"/>
      <c r="V46" s="922">
        <f t="shared" si="10"/>
        <v>500</v>
      </c>
      <c r="W46" s="922">
        <f t="shared" si="11"/>
        <v>57.142857142857146</v>
      </c>
      <c r="X46" s="922">
        <f t="shared" si="12"/>
        <v>40</v>
      </c>
      <c r="Y46" s="922">
        <f t="shared" si="13"/>
        <v>0</v>
      </c>
      <c r="Z46" s="922">
        <f t="shared" si="14"/>
        <v>0</v>
      </c>
      <c r="AA46"/>
      <c r="AB46"/>
      <c r="AC46"/>
      <c r="AD46"/>
      <c r="AE46"/>
    </row>
    <row r="47" spans="1:31" ht="15.75">
      <c r="A47" s="713" t="str">
        <f>'Budget with Assumptions'!A47</f>
        <v>Technology Contracted Services</v>
      </c>
      <c r="B47" s="42"/>
      <c r="C47" s="42"/>
      <c r="D47" s="366">
        <f>'Budget with Assumptions'!J47</f>
        <v>0</v>
      </c>
      <c r="E47" s="901"/>
      <c r="F47" s="366">
        <f>'Budget with Assumptions'!L47</f>
        <v>0</v>
      </c>
      <c r="G47" s="901"/>
      <c r="H47" s="366">
        <f>'Budget with Assumptions'!N47</f>
        <v>0</v>
      </c>
      <c r="I47" s="901"/>
      <c r="J47" s="366">
        <f>'Budget with Assumptions'!P47</f>
        <v>0</v>
      </c>
      <c r="K47" s="902"/>
      <c r="L47" s="366">
        <f>'Budget with Assumptions'!R47</f>
        <v>0</v>
      </c>
      <c r="M47" s="890"/>
      <c r="N47" s="366">
        <f>'Budget with Assumptions'!T47</f>
        <v>0</v>
      </c>
      <c r="O47"/>
      <c r="P47" s="915">
        <f t="shared" si="5"/>
        <v>0</v>
      </c>
      <c r="Q47" s="915">
        <f t="shared" si="6"/>
        <v>0</v>
      </c>
      <c r="R47" s="915">
        <f t="shared" si="7"/>
        <v>0</v>
      </c>
      <c r="S47" s="915">
        <f t="shared" si="8"/>
        <v>0</v>
      </c>
      <c r="T47" s="915">
        <f t="shared" si="9"/>
        <v>0</v>
      </c>
      <c r="U47"/>
      <c r="V47" s="922">
        <f t="shared" si="10"/>
        <v>0</v>
      </c>
      <c r="W47" s="922">
        <f t="shared" si="11"/>
        <v>0</v>
      </c>
      <c r="X47" s="922">
        <f t="shared" si="12"/>
        <v>0</v>
      </c>
      <c r="Y47" s="922">
        <f t="shared" si="13"/>
        <v>0</v>
      </c>
      <c r="Z47" s="922">
        <f t="shared" si="14"/>
        <v>0</v>
      </c>
      <c r="AA47"/>
      <c r="AB47"/>
      <c r="AC47"/>
      <c r="AD47"/>
      <c r="AE47"/>
    </row>
    <row r="48" spans="1:31" ht="15.75">
      <c r="A48" s="713" t="str">
        <f>'Budget with Assumptions'!A48</f>
        <v>Technology Leases</v>
      </c>
      <c r="B48" s="42"/>
      <c r="C48" s="42"/>
      <c r="D48" s="366">
        <f>'Budget with Assumptions'!J48</f>
        <v>0</v>
      </c>
      <c r="E48" s="901"/>
      <c r="F48" s="366">
        <f>'Budget with Assumptions'!L48</f>
        <v>0</v>
      </c>
      <c r="G48" s="901"/>
      <c r="H48" s="366">
        <f>'Budget with Assumptions'!N48</f>
        <v>0</v>
      </c>
      <c r="I48" s="901"/>
      <c r="J48" s="366">
        <f>'Budget with Assumptions'!P48</f>
        <v>0</v>
      </c>
      <c r="K48" s="902"/>
      <c r="L48" s="366">
        <f>'Budget with Assumptions'!R48</f>
        <v>0</v>
      </c>
      <c r="M48" s="890"/>
      <c r="N48" s="366">
        <f>'Budget with Assumptions'!T48</f>
        <v>0</v>
      </c>
      <c r="O48"/>
      <c r="P48" s="915">
        <f t="shared" si="5"/>
        <v>0</v>
      </c>
      <c r="Q48" s="915">
        <f t="shared" si="6"/>
        <v>0</v>
      </c>
      <c r="R48" s="915">
        <f t="shared" si="7"/>
        <v>0</v>
      </c>
      <c r="S48" s="915">
        <f t="shared" si="8"/>
        <v>0</v>
      </c>
      <c r="T48" s="915">
        <f t="shared" si="9"/>
        <v>0</v>
      </c>
      <c r="U48"/>
      <c r="V48" s="922">
        <f t="shared" si="10"/>
        <v>0</v>
      </c>
      <c r="W48" s="922">
        <f t="shared" si="11"/>
        <v>0</v>
      </c>
      <c r="X48" s="922">
        <f t="shared" si="12"/>
        <v>0</v>
      </c>
      <c r="Y48" s="922">
        <f t="shared" si="13"/>
        <v>0</v>
      </c>
      <c r="Z48" s="922">
        <f t="shared" si="14"/>
        <v>0</v>
      </c>
      <c r="AA48"/>
      <c r="AB48"/>
      <c r="AC48"/>
      <c r="AD48"/>
      <c r="AE48"/>
    </row>
    <row r="49" spans="1:31" ht="15.75">
      <c r="A49" s="713" t="str">
        <f>'Budget with Assumptions'!A49</f>
        <v>Extracurricular Expenses</v>
      </c>
      <c r="B49" s="42"/>
      <c r="C49" s="42"/>
      <c r="D49" s="366">
        <f>'Budget with Assumptions'!J49</f>
        <v>0</v>
      </c>
      <c r="E49" s="901"/>
      <c r="F49" s="366">
        <f>'Budget with Assumptions'!L49</f>
        <v>0</v>
      </c>
      <c r="G49" s="901"/>
      <c r="H49" s="366">
        <f>'Budget with Assumptions'!N49</f>
        <v>0</v>
      </c>
      <c r="I49" s="901"/>
      <c r="J49" s="366">
        <f>'Budget with Assumptions'!P49</f>
        <v>0</v>
      </c>
      <c r="K49" s="902"/>
      <c r="L49" s="366">
        <f>'Budget with Assumptions'!R49</f>
        <v>0</v>
      </c>
      <c r="M49" s="890"/>
      <c r="N49" s="366">
        <f>'Budget with Assumptions'!T49</f>
        <v>0</v>
      </c>
      <c r="O49"/>
      <c r="P49" s="915">
        <f t="shared" si="5"/>
        <v>0</v>
      </c>
      <c r="Q49" s="915">
        <f t="shared" si="6"/>
        <v>0</v>
      </c>
      <c r="R49" s="915">
        <f t="shared" si="7"/>
        <v>0</v>
      </c>
      <c r="S49" s="915">
        <f t="shared" si="8"/>
        <v>0</v>
      </c>
      <c r="T49" s="915">
        <f t="shared" si="9"/>
        <v>0</v>
      </c>
      <c r="U49"/>
      <c r="V49" s="922">
        <f t="shared" si="10"/>
        <v>0</v>
      </c>
      <c r="W49" s="922">
        <f t="shared" si="11"/>
        <v>0</v>
      </c>
      <c r="X49" s="922">
        <f t="shared" si="12"/>
        <v>0</v>
      </c>
      <c r="Y49" s="922">
        <f t="shared" si="13"/>
        <v>0</v>
      </c>
      <c r="Z49" s="922">
        <f t="shared" si="14"/>
        <v>0</v>
      </c>
      <c r="AA49"/>
      <c r="AB49"/>
      <c r="AC49"/>
      <c r="AD49"/>
      <c r="AE49"/>
    </row>
    <row r="50" spans="1:31" ht="15.75">
      <c r="A50" s="713" t="str">
        <f>'Budget with Assumptions'!A50</f>
        <v>Misc. Outside Services (i.e., Consultants, non-employee compensation)</v>
      </c>
      <c r="B50" s="42"/>
      <c r="C50" s="42"/>
      <c r="D50" s="366">
        <f>'Budget with Assumptions'!J50</f>
        <v>0</v>
      </c>
      <c r="E50" s="901"/>
      <c r="F50" s="366">
        <f>'Budget with Assumptions'!L50</f>
        <v>0</v>
      </c>
      <c r="G50" s="901"/>
      <c r="H50" s="366">
        <f>'Budget with Assumptions'!N50</f>
        <v>0</v>
      </c>
      <c r="I50" s="901"/>
      <c r="J50" s="366">
        <f>'Budget with Assumptions'!P50</f>
        <v>0</v>
      </c>
      <c r="K50" s="902"/>
      <c r="L50" s="366">
        <f>'Budget with Assumptions'!R50</f>
        <v>0</v>
      </c>
      <c r="M50" s="890"/>
      <c r="N50" s="366">
        <f>'Budget with Assumptions'!T50</f>
        <v>0</v>
      </c>
      <c r="O50"/>
      <c r="P50" s="915">
        <f t="shared" si="5"/>
        <v>0</v>
      </c>
      <c r="Q50" s="915">
        <f t="shared" si="6"/>
        <v>0</v>
      </c>
      <c r="R50" s="915">
        <f t="shared" si="7"/>
        <v>0</v>
      </c>
      <c r="S50" s="915">
        <f t="shared" si="8"/>
        <v>0</v>
      </c>
      <c r="T50" s="915">
        <f t="shared" si="9"/>
        <v>0</v>
      </c>
      <c r="U50"/>
      <c r="V50" s="922">
        <f t="shared" si="10"/>
        <v>0</v>
      </c>
      <c r="W50" s="922">
        <f t="shared" si="11"/>
        <v>0</v>
      </c>
      <c r="X50" s="922">
        <f t="shared" si="12"/>
        <v>0</v>
      </c>
      <c r="Y50" s="922">
        <f t="shared" si="13"/>
        <v>0</v>
      </c>
      <c r="Z50" s="922">
        <f t="shared" si="14"/>
        <v>0</v>
      </c>
      <c r="AA50"/>
      <c r="AB50"/>
      <c r="AC50"/>
      <c r="AD50"/>
      <c r="AE50"/>
    </row>
    <row r="51" spans="1:31" ht="31.5">
      <c r="A51" s="872" t="str">
        <f>'Budget with Assumptions'!A51</f>
        <v>Special Education Contracted Clinician Services that are Reimbursable under CPS's policy (from Contractual Clinician Worksheet)</v>
      </c>
      <c r="B51" s="42"/>
      <c r="C51" s="42"/>
      <c r="D51" s="366">
        <f>'Budget with Assumptions'!J51</f>
        <v>0</v>
      </c>
      <c r="E51" s="901"/>
      <c r="F51" s="366">
        <f>'Budget with Assumptions'!L51</f>
        <v>26000</v>
      </c>
      <c r="G51" s="901"/>
      <c r="H51" s="366">
        <f>'Budget with Assumptions'!N51</f>
        <v>65000</v>
      </c>
      <c r="I51" s="901"/>
      <c r="J51" s="366">
        <f>'Budget with Assumptions'!P51</f>
        <v>85800</v>
      </c>
      <c r="K51" s="902"/>
      <c r="L51" s="366">
        <f>'Budget with Assumptions'!R51</f>
        <v>85800</v>
      </c>
      <c r="M51" s="890"/>
      <c r="N51" s="366">
        <f>'Budget with Assumptions'!T51</f>
        <v>85800</v>
      </c>
      <c r="O51"/>
      <c r="P51" s="915">
        <f t="shared" si="5"/>
        <v>0.016184138545218652</v>
      </c>
      <c r="Q51" s="915">
        <f t="shared" si="6"/>
        <v>0.031178971982961722</v>
      </c>
      <c r="R51" s="915">
        <f t="shared" si="7"/>
        <v>0.03302573938085168</v>
      </c>
      <c r="S51" s="915">
        <f t="shared" si="8"/>
        <v>0.03251989051994905</v>
      </c>
      <c r="T51" s="915">
        <f t="shared" si="9"/>
        <v>0.0320032547016659</v>
      </c>
      <c r="U51"/>
      <c r="V51" s="922">
        <f t="shared" si="10"/>
        <v>260</v>
      </c>
      <c r="W51" s="922">
        <f t="shared" si="11"/>
        <v>371.42857142857144</v>
      </c>
      <c r="X51" s="922">
        <f t="shared" si="12"/>
        <v>343.2</v>
      </c>
      <c r="Y51" s="922">
        <f t="shared" si="13"/>
        <v>343.2</v>
      </c>
      <c r="Z51" s="922">
        <f t="shared" si="14"/>
        <v>343.2</v>
      </c>
      <c r="AA51"/>
      <c r="AB51"/>
      <c r="AC51"/>
      <c r="AD51"/>
      <c r="AE51"/>
    </row>
    <row r="52" spans="1:31" ht="15.75">
      <c r="A52" s="713" t="str">
        <f>'Budget with Assumptions'!A52</f>
        <v>Special Education Expenses that will NOT be reimbursed by CPS</v>
      </c>
      <c r="B52" s="42"/>
      <c r="C52" s="42"/>
      <c r="D52" s="366">
        <f>'Budget with Assumptions'!J52</f>
        <v>0</v>
      </c>
      <c r="E52" s="901"/>
      <c r="F52" s="366">
        <f>'Budget with Assumptions'!L52</f>
        <v>0</v>
      </c>
      <c r="G52" s="901"/>
      <c r="H52" s="366">
        <f>'Budget with Assumptions'!N52</f>
        <v>0</v>
      </c>
      <c r="I52" s="901"/>
      <c r="J52" s="366">
        <f>'Budget with Assumptions'!P52</f>
        <v>0</v>
      </c>
      <c r="K52" s="902"/>
      <c r="L52" s="366">
        <f>'Budget with Assumptions'!R52</f>
        <v>0</v>
      </c>
      <c r="M52" s="890"/>
      <c r="N52" s="366">
        <f>'Budget with Assumptions'!T52</f>
        <v>0</v>
      </c>
      <c r="O52"/>
      <c r="P52" s="915">
        <f t="shared" si="5"/>
        <v>0</v>
      </c>
      <c r="Q52" s="915">
        <f t="shared" si="6"/>
        <v>0</v>
      </c>
      <c r="R52" s="915">
        <f t="shared" si="7"/>
        <v>0</v>
      </c>
      <c r="S52" s="915">
        <f t="shared" si="8"/>
        <v>0</v>
      </c>
      <c r="T52" s="915">
        <f t="shared" si="9"/>
        <v>0</v>
      </c>
      <c r="U52"/>
      <c r="V52" s="922">
        <f t="shared" si="10"/>
        <v>0</v>
      </c>
      <c r="W52" s="922">
        <f t="shared" si="11"/>
        <v>0</v>
      </c>
      <c r="X52" s="922">
        <f t="shared" si="12"/>
        <v>0</v>
      </c>
      <c r="Y52" s="922">
        <f t="shared" si="13"/>
        <v>0</v>
      </c>
      <c r="Z52" s="922">
        <f t="shared" si="14"/>
        <v>0</v>
      </c>
      <c r="AA52"/>
      <c r="AB52"/>
      <c r="AC52"/>
      <c r="AD52"/>
      <c r="AE52"/>
    </row>
    <row r="53" spans="1:31" ht="15.75">
      <c r="A53" s="713" t="str">
        <f>'Budget with Assumptions'!A53</f>
        <v>Contracted Substitute Teachers</v>
      </c>
      <c r="B53" s="42"/>
      <c r="C53" s="42"/>
      <c r="D53" s="366">
        <f>'Budget with Assumptions'!J53</f>
        <v>0</v>
      </c>
      <c r="E53" s="901"/>
      <c r="F53" s="366">
        <f>'Budget with Assumptions'!L53</f>
        <v>0</v>
      </c>
      <c r="G53" s="901"/>
      <c r="H53" s="366">
        <f>'Budget with Assumptions'!N53</f>
        <v>0</v>
      </c>
      <c r="I53" s="901"/>
      <c r="J53" s="366">
        <f>'Budget with Assumptions'!P53</f>
        <v>0</v>
      </c>
      <c r="K53" s="902"/>
      <c r="L53" s="366">
        <f>'Budget with Assumptions'!R53</f>
        <v>0</v>
      </c>
      <c r="M53" s="890"/>
      <c r="N53" s="366">
        <f>'Budget with Assumptions'!T53</f>
        <v>0</v>
      </c>
      <c r="O53"/>
      <c r="P53" s="915">
        <f t="shared" si="5"/>
        <v>0</v>
      </c>
      <c r="Q53" s="915">
        <f t="shared" si="6"/>
        <v>0</v>
      </c>
      <c r="R53" s="915">
        <f t="shared" si="7"/>
        <v>0</v>
      </c>
      <c r="S53" s="915">
        <f t="shared" si="8"/>
        <v>0</v>
      </c>
      <c r="T53" s="915">
        <f t="shared" si="9"/>
        <v>0</v>
      </c>
      <c r="U53"/>
      <c r="V53" s="922">
        <f t="shared" si="10"/>
        <v>0</v>
      </c>
      <c r="W53" s="922">
        <f t="shared" si="11"/>
        <v>0</v>
      </c>
      <c r="X53" s="922">
        <f t="shared" si="12"/>
        <v>0</v>
      </c>
      <c r="Y53" s="922">
        <f t="shared" si="13"/>
        <v>0</v>
      </c>
      <c r="Z53" s="922">
        <f t="shared" si="14"/>
        <v>0</v>
      </c>
      <c r="AA53"/>
      <c r="AB53"/>
      <c r="AC53"/>
      <c r="AD53"/>
      <c r="AE53"/>
    </row>
    <row r="54" spans="1:31" ht="15.75">
      <c r="A54" s="713" t="str">
        <f>'Budget with Assumptions'!A54</f>
        <v>Virtual Teachers</v>
      </c>
      <c r="B54" s="42"/>
      <c r="C54" s="42"/>
      <c r="D54" s="366">
        <f>'Budget with Assumptions'!J54</f>
        <v>0</v>
      </c>
      <c r="E54" s="901"/>
      <c r="F54" s="366">
        <f>'Budget with Assumptions'!L54</f>
        <v>30000</v>
      </c>
      <c r="G54" s="901"/>
      <c r="H54" s="366">
        <f>'Budget with Assumptions'!N54</f>
        <v>52500</v>
      </c>
      <c r="I54" s="901"/>
      <c r="J54" s="366">
        <f>'Budget with Assumptions'!P54</f>
        <v>75000</v>
      </c>
      <c r="K54" s="902"/>
      <c r="L54" s="366">
        <f>'Budget with Assumptions'!R54</f>
        <v>75000</v>
      </c>
      <c r="M54" s="890"/>
      <c r="N54" s="366">
        <f>'Budget with Assumptions'!T54</f>
        <v>75000</v>
      </c>
      <c r="O54"/>
      <c r="P54" s="915">
        <f t="shared" si="5"/>
        <v>0.01867400601371383</v>
      </c>
      <c r="Q54" s="915">
        <f t="shared" si="6"/>
        <v>0.025183015832392158</v>
      </c>
      <c r="R54" s="915">
        <f t="shared" si="7"/>
        <v>0.028868653304940282</v>
      </c>
      <c r="S54" s="915">
        <f t="shared" si="8"/>
        <v>0.028426477727228193</v>
      </c>
      <c r="T54" s="915">
        <f t="shared" si="9"/>
        <v>0.0279748729909667</v>
      </c>
      <c r="U54"/>
      <c r="V54" s="922">
        <f t="shared" si="10"/>
        <v>300</v>
      </c>
      <c r="W54" s="922">
        <f t="shared" si="11"/>
        <v>300</v>
      </c>
      <c r="X54" s="922">
        <f t="shared" si="12"/>
        <v>300</v>
      </c>
      <c r="Y54" s="922">
        <f t="shared" si="13"/>
        <v>300</v>
      </c>
      <c r="Z54" s="922">
        <f t="shared" si="14"/>
        <v>300</v>
      </c>
      <c r="AA54"/>
      <c r="AB54"/>
      <c r="AC54"/>
      <c r="AD54"/>
      <c r="AE54"/>
    </row>
    <row r="55" spans="1:31" ht="15.75">
      <c r="A55" s="713" t="str">
        <f>'Budget with Assumptions'!A55</f>
        <v>Curriculum Software</v>
      </c>
      <c r="B55" s="42"/>
      <c r="C55" s="42"/>
      <c r="D55" s="366">
        <f>'Budget with Assumptions'!J55</f>
        <v>0</v>
      </c>
      <c r="E55" s="901"/>
      <c r="F55" s="366">
        <f>'Budget with Assumptions'!L55</f>
        <v>12500</v>
      </c>
      <c r="G55" s="901"/>
      <c r="H55" s="366">
        <f>'Budget with Assumptions'!N55</f>
        <v>21875</v>
      </c>
      <c r="I55" s="901"/>
      <c r="J55" s="366">
        <f>'Budget with Assumptions'!P55</f>
        <v>31250</v>
      </c>
      <c r="K55" s="902"/>
      <c r="L55" s="366">
        <f>'Budget with Assumptions'!R55</f>
        <v>31250</v>
      </c>
      <c r="M55" s="890"/>
      <c r="N55" s="366">
        <f>'Budget with Assumptions'!T55</f>
        <v>31250</v>
      </c>
      <c r="O55"/>
      <c r="P55" s="915">
        <f t="shared" si="5"/>
        <v>0.007780835839047429</v>
      </c>
      <c r="Q55" s="915">
        <f t="shared" si="6"/>
        <v>0.010492923263496733</v>
      </c>
      <c r="R55" s="915">
        <f t="shared" si="7"/>
        <v>0.012028605543725118</v>
      </c>
      <c r="S55" s="915">
        <f t="shared" si="8"/>
        <v>0.011844365719678415</v>
      </c>
      <c r="T55" s="915">
        <f t="shared" si="9"/>
        <v>0.011656197079569459</v>
      </c>
      <c r="U55"/>
      <c r="V55" s="922">
        <f t="shared" si="10"/>
        <v>125</v>
      </c>
      <c r="W55" s="922">
        <f t="shared" si="11"/>
        <v>125</v>
      </c>
      <c r="X55" s="922">
        <f t="shared" si="12"/>
        <v>125</v>
      </c>
      <c r="Y55" s="922">
        <f t="shared" si="13"/>
        <v>125</v>
      </c>
      <c r="Z55" s="922">
        <f t="shared" si="14"/>
        <v>125</v>
      </c>
      <c r="AA55"/>
      <c r="AB55"/>
      <c r="AC55"/>
      <c r="AD55"/>
      <c r="AE55"/>
    </row>
    <row r="56" spans="1:31" ht="15.75">
      <c r="A56" s="713" t="str">
        <f>'Budget with Assumptions'!A56</f>
        <v>Test Prep Materials</v>
      </c>
      <c r="B56" s="42"/>
      <c r="C56" s="42"/>
      <c r="D56" s="366">
        <f>'Budget with Assumptions'!J56</f>
        <v>0</v>
      </c>
      <c r="E56" s="901"/>
      <c r="F56" s="366">
        <f>'Budget with Assumptions'!L56</f>
        <v>3500</v>
      </c>
      <c r="G56" s="901"/>
      <c r="H56" s="366">
        <f>'Budget with Assumptions'!N56</f>
        <v>6125</v>
      </c>
      <c r="I56" s="901"/>
      <c r="J56" s="366">
        <f>'Budget with Assumptions'!P56</f>
        <v>8750</v>
      </c>
      <c r="K56" s="902"/>
      <c r="L56" s="366">
        <f>'Budget with Assumptions'!R56</f>
        <v>8750</v>
      </c>
      <c r="M56" s="890"/>
      <c r="N56" s="366">
        <f>'Budget with Assumptions'!T56</f>
        <v>8750</v>
      </c>
      <c r="O56"/>
      <c r="P56" s="915">
        <f t="shared" si="5"/>
        <v>0.0021786340349332803</v>
      </c>
      <c r="Q56" s="915">
        <f t="shared" si="6"/>
        <v>0.0029380185137790854</v>
      </c>
      <c r="R56" s="915">
        <f t="shared" si="7"/>
        <v>0.003368009552243033</v>
      </c>
      <c r="S56" s="915">
        <f t="shared" si="8"/>
        <v>0.003316422401509956</v>
      </c>
      <c r="T56" s="915">
        <f t="shared" si="9"/>
        <v>0.0032637351822794483</v>
      </c>
      <c r="U56"/>
      <c r="V56" s="922">
        <f t="shared" si="10"/>
        <v>35</v>
      </c>
      <c r="W56" s="922">
        <f t="shared" si="11"/>
        <v>35</v>
      </c>
      <c r="X56" s="922">
        <f t="shared" si="12"/>
        <v>35</v>
      </c>
      <c r="Y56" s="922">
        <f t="shared" si="13"/>
        <v>35</v>
      </c>
      <c r="Z56" s="922">
        <f t="shared" si="14"/>
        <v>35</v>
      </c>
      <c r="AA56"/>
      <c r="AB56"/>
      <c r="AC56"/>
      <c r="AD56"/>
      <c r="AE56"/>
    </row>
    <row r="57" spans="1:31" ht="15.75">
      <c r="A57" s="713" t="str">
        <f>'Budget with Assumptions'!A57</f>
        <v>Scheduling Software</v>
      </c>
      <c r="B57" s="42"/>
      <c r="C57" s="42"/>
      <c r="D57" s="366">
        <f>'Budget with Assumptions'!J57</f>
        <v>0</v>
      </c>
      <c r="E57" s="901"/>
      <c r="F57" s="366">
        <f>'Budget with Assumptions'!L57</f>
        <v>1000</v>
      </c>
      <c r="G57" s="901"/>
      <c r="H57" s="366">
        <f>'Budget with Assumptions'!N57</f>
        <v>1000</v>
      </c>
      <c r="I57" s="901"/>
      <c r="J57" s="366">
        <f>'Budget with Assumptions'!P57</f>
        <v>1000</v>
      </c>
      <c r="K57" s="902"/>
      <c r="L57" s="366">
        <f>'Budget with Assumptions'!R57</f>
        <v>1000</v>
      </c>
      <c r="M57" s="890"/>
      <c r="N57" s="366">
        <f>'Budget with Assumptions'!T57</f>
        <v>1000</v>
      </c>
      <c r="O57"/>
      <c r="P57" s="915">
        <f t="shared" si="5"/>
        <v>0.0006224668671237943</v>
      </c>
      <c r="Q57" s="915">
        <f t="shared" si="6"/>
        <v>0.00047967649204556494</v>
      </c>
      <c r="R57" s="915">
        <f t="shared" si="7"/>
        <v>0.0003849153773992038</v>
      </c>
      <c r="S57" s="915">
        <f t="shared" si="8"/>
        <v>0.00037901970302970923</v>
      </c>
      <c r="T57" s="915">
        <f t="shared" si="9"/>
        <v>0.00037299830654622263</v>
      </c>
      <c r="U57"/>
      <c r="V57" s="922">
        <f t="shared" si="10"/>
        <v>10</v>
      </c>
      <c r="W57" s="922">
        <f t="shared" si="11"/>
        <v>5.714285714285714</v>
      </c>
      <c r="X57" s="922">
        <f t="shared" si="12"/>
        <v>4</v>
      </c>
      <c r="Y57" s="922">
        <f t="shared" si="13"/>
        <v>4</v>
      </c>
      <c r="Z57" s="922">
        <f t="shared" si="14"/>
        <v>4</v>
      </c>
      <c r="AA57"/>
      <c r="AB57"/>
      <c r="AC57"/>
      <c r="AD57"/>
      <c r="AE57"/>
    </row>
    <row r="58" spans="1:31" ht="15.75">
      <c r="A58" s="713" t="str">
        <f>'Budget with Assumptions'!A58</f>
        <v>Life skills materials</v>
      </c>
      <c r="B58" s="42"/>
      <c r="C58" s="42"/>
      <c r="D58" s="366">
        <f>'Budget with Assumptions'!J58</f>
        <v>0</v>
      </c>
      <c r="E58" s="901"/>
      <c r="F58" s="366">
        <f>'Budget with Assumptions'!L58</f>
        <v>500</v>
      </c>
      <c r="G58" s="901"/>
      <c r="H58" s="366">
        <f>'Budget with Assumptions'!N58</f>
        <v>875</v>
      </c>
      <c r="I58" s="901"/>
      <c r="J58" s="366">
        <f>'Budget with Assumptions'!P58</f>
        <v>1250</v>
      </c>
      <c r="K58" s="902"/>
      <c r="L58" s="366">
        <f>'Budget with Assumptions'!R58</f>
        <v>1250</v>
      </c>
      <c r="M58" s="890"/>
      <c r="N58" s="366">
        <f>'Budget with Assumptions'!T58</f>
        <v>1250</v>
      </c>
      <c r="O58"/>
      <c r="P58" s="915">
        <f t="shared" si="5"/>
        <v>0.00031123343356189717</v>
      </c>
      <c r="Q58" s="915">
        <f t="shared" si="6"/>
        <v>0.0004197169305398693</v>
      </c>
      <c r="R58" s="915">
        <f t="shared" si="7"/>
        <v>0.0004811442217490047</v>
      </c>
      <c r="S58" s="915">
        <f t="shared" si="8"/>
        <v>0.00047377462878713656</v>
      </c>
      <c r="T58" s="915">
        <f t="shared" si="9"/>
        <v>0.0004662478831827783</v>
      </c>
      <c r="U58"/>
      <c r="V58" s="922">
        <f t="shared" si="10"/>
        <v>5</v>
      </c>
      <c r="W58" s="922">
        <f t="shared" si="11"/>
        <v>5</v>
      </c>
      <c r="X58" s="922">
        <f t="shared" si="12"/>
        <v>5</v>
      </c>
      <c r="Y58" s="922">
        <f t="shared" si="13"/>
        <v>5</v>
      </c>
      <c r="Z58" s="922">
        <f t="shared" si="14"/>
        <v>5</v>
      </c>
      <c r="AA58"/>
      <c r="AB58"/>
      <c r="AC58"/>
      <c r="AD58"/>
      <c r="AE58"/>
    </row>
    <row r="59" spans="1:31" ht="15.75">
      <c r="A59" s="713" t="str">
        <f>'Budget with Assumptions'!A59</f>
        <v>Bus Passes</v>
      </c>
      <c r="B59" s="42"/>
      <c r="C59" s="42"/>
      <c r="D59" s="366">
        <f>'Budget with Assumptions'!J59</f>
        <v>0</v>
      </c>
      <c r="E59" s="901"/>
      <c r="F59" s="366">
        <f>'Budget with Assumptions'!L59</f>
        <v>25000</v>
      </c>
      <c r="G59" s="901"/>
      <c r="H59" s="366">
        <f>'Budget with Assumptions'!N59</f>
        <v>43750</v>
      </c>
      <c r="I59" s="901"/>
      <c r="J59" s="366">
        <f>'Budget with Assumptions'!P59</f>
        <v>62500</v>
      </c>
      <c r="K59" s="902"/>
      <c r="L59" s="366">
        <f>'Budget with Assumptions'!R59</f>
        <v>62500</v>
      </c>
      <c r="M59" s="890"/>
      <c r="N59" s="366">
        <f>'Budget with Assumptions'!T59</f>
        <v>62500</v>
      </c>
      <c r="O59"/>
      <c r="P59" s="915">
        <f t="shared" si="5"/>
        <v>0.015561671678094857</v>
      </c>
      <c r="Q59" s="915">
        <f t="shared" si="6"/>
        <v>0.020985846526993465</v>
      </c>
      <c r="R59" s="915">
        <f t="shared" si="7"/>
        <v>0.024057211087450237</v>
      </c>
      <c r="S59" s="915">
        <f t="shared" si="8"/>
        <v>0.02368873143935683</v>
      </c>
      <c r="T59" s="915">
        <f t="shared" si="9"/>
        <v>0.023312394159138917</v>
      </c>
      <c r="U59"/>
      <c r="V59" s="922">
        <f t="shared" si="10"/>
        <v>250</v>
      </c>
      <c r="W59" s="922">
        <f t="shared" si="11"/>
        <v>250</v>
      </c>
      <c r="X59" s="922">
        <f t="shared" si="12"/>
        <v>250</v>
      </c>
      <c r="Y59" s="922">
        <f t="shared" si="13"/>
        <v>250</v>
      </c>
      <c r="Z59" s="922">
        <f t="shared" si="14"/>
        <v>250</v>
      </c>
      <c r="AA59"/>
      <c r="AB59"/>
      <c r="AC59"/>
      <c r="AD59"/>
      <c r="AE59"/>
    </row>
    <row r="60" spans="1:31" ht="15.75">
      <c r="A60" s="713">
        <f>'Budget with Assumptions'!A60</f>
        <v>0</v>
      </c>
      <c r="B60" s="42"/>
      <c r="C60" s="42"/>
      <c r="D60" s="366">
        <f>'Budget with Assumptions'!J60</f>
        <v>0</v>
      </c>
      <c r="E60" s="901"/>
      <c r="F60" s="366">
        <f>'Budget with Assumptions'!L60</f>
        <v>0</v>
      </c>
      <c r="G60" s="901"/>
      <c r="H60" s="366">
        <f>'Budget with Assumptions'!N60</f>
        <v>0</v>
      </c>
      <c r="I60" s="901"/>
      <c r="J60" s="366">
        <f>'Budget with Assumptions'!P60</f>
        <v>0</v>
      </c>
      <c r="K60" s="902"/>
      <c r="L60" s="366">
        <f>'Budget with Assumptions'!R60</f>
        <v>0</v>
      </c>
      <c r="M60" s="890"/>
      <c r="N60" s="366">
        <f>'Budget with Assumptions'!T60</f>
        <v>0</v>
      </c>
      <c r="O60"/>
      <c r="P60" s="915">
        <f t="shared" si="5"/>
        <v>0</v>
      </c>
      <c r="Q60" s="915">
        <f t="shared" si="6"/>
        <v>0</v>
      </c>
      <c r="R60" s="915">
        <f t="shared" si="7"/>
        <v>0</v>
      </c>
      <c r="S60" s="915">
        <f t="shared" si="8"/>
        <v>0</v>
      </c>
      <c r="T60" s="915">
        <f t="shared" si="9"/>
        <v>0</v>
      </c>
      <c r="U60"/>
      <c r="V60" s="922">
        <f t="shared" si="10"/>
        <v>0</v>
      </c>
      <c r="W60" s="922">
        <f t="shared" si="11"/>
        <v>0</v>
      </c>
      <c r="X60" s="922">
        <f t="shared" si="12"/>
        <v>0</v>
      </c>
      <c r="Y60" s="922">
        <f t="shared" si="13"/>
        <v>0</v>
      </c>
      <c r="Z60" s="922">
        <f t="shared" si="14"/>
        <v>0</v>
      </c>
      <c r="AA60"/>
      <c r="AB60"/>
      <c r="AC60"/>
      <c r="AD60"/>
      <c r="AE60"/>
    </row>
    <row r="61" spans="1:31" ht="15.75">
      <c r="A61" s="713">
        <f>'Budget with Assumptions'!A61</f>
        <v>0</v>
      </c>
      <c r="B61" s="42"/>
      <c r="C61" s="42"/>
      <c r="D61" s="366">
        <f>'Budget with Assumptions'!J61</f>
        <v>0</v>
      </c>
      <c r="E61" s="901"/>
      <c r="F61" s="366">
        <f>'Budget with Assumptions'!L61</f>
        <v>0</v>
      </c>
      <c r="G61" s="901"/>
      <c r="H61" s="366">
        <f>'Budget with Assumptions'!N61</f>
        <v>0</v>
      </c>
      <c r="I61" s="901"/>
      <c r="J61" s="366">
        <f>'Budget with Assumptions'!P61</f>
        <v>0</v>
      </c>
      <c r="K61" s="902"/>
      <c r="L61" s="366">
        <f>'Budget with Assumptions'!R61</f>
        <v>0</v>
      </c>
      <c r="M61" s="890"/>
      <c r="N61" s="366">
        <f>'Budget with Assumptions'!T61</f>
        <v>0</v>
      </c>
      <c r="O61"/>
      <c r="P61" s="915">
        <f t="shared" si="5"/>
        <v>0</v>
      </c>
      <c r="Q61" s="915">
        <f t="shared" si="6"/>
        <v>0</v>
      </c>
      <c r="R61" s="915">
        <f t="shared" si="7"/>
        <v>0</v>
      </c>
      <c r="S61" s="915">
        <f t="shared" si="8"/>
        <v>0</v>
      </c>
      <c r="T61" s="915">
        <f t="shared" si="9"/>
        <v>0</v>
      </c>
      <c r="U61"/>
      <c r="V61" s="922">
        <f t="shared" si="10"/>
        <v>0</v>
      </c>
      <c r="W61" s="922">
        <f t="shared" si="11"/>
        <v>0</v>
      </c>
      <c r="X61" s="922">
        <f t="shared" si="12"/>
        <v>0</v>
      </c>
      <c r="Y61" s="922">
        <f t="shared" si="13"/>
        <v>0</v>
      </c>
      <c r="Z61" s="922">
        <f t="shared" si="14"/>
        <v>0</v>
      </c>
      <c r="AA61"/>
      <c r="AB61"/>
      <c r="AC61"/>
      <c r="AD61"/>
      <c r="AE61"/>
    </row>
    <row r="62" spans="1:31" ht="15.75">
      <c r="A62" s="713">
        <f>'Budget with Assumptions'!A62</f>
        <v>0</v>
      </c>
      <c r="B62" s="42"/>
      <c r="C62" s="42"/>
      <c r="D62" s="366">
        <f>'Budget with Assumptions'!J62</f>
        <v>0</v>
      </c>
      <c r="E62" s="901"/>
      <c r="F62" s="366">
        <f>'Budget with Assumptions'!L62</f>
        <v>0</v>
      </c>
      <c r="G62" s="901"/>
      <c r="H62" s="366">
        <f>'Budget with Assumptions'!N62</f>
        <v>0</v>
      </c>
      <c r="I62" s="901"/>
      <c r="J62" s="366">
        <f>'Budget with Assumptions'!P62</f>
        <v>0</v>
      </c>
      <c r="K62" s="902"/>
      <c r="L62" s="366">
        <f>'Budget with Assumptions'!R62</f>
        <v>0</v>
      </c>
      <c r="M62" s="890"/>
      <c r="N62" s="366">
        <f>'Budget with Assumptions'!T62</f>
        <v>0</v>
      </c>
      <c r="O62"/>
      <c r="P62" s="915">
        <f t="shared" si="5"/>
        <v>0</v>
      </c>
      <c r="Q62" s="915">
        <f t="shared" si="6"/>
        <v>0</v>
      </c>
      <c r="R62" s="915">
        <f t="shared" si="7"/>
        <v>0</v>
      </c>
      <c r="S62" s="915">
        <f t="shared" si="8"/>
        <v>0</v>
      </c>
      <c r="T62" s="915">
        <f t="shared" si="9"/>
        <v>0</v>
      </c>
      <c r="U62"/>
      <c r="V62" s="922">
        <f t="shared" si="10"/>
        <v>0</v>
      </c>
      <c r="W62" s="922">
        <f t="shared" si="11"/>
        <v>0</v>
      </c>
      <c r="X62" s="922">
        <f t="shared" si="12"/>
        <v>0</v>
      </c>
      <c r="Y62" s="922">
        <f t="shared" si="13"/>
        <v>0</v>
      </c>
      <c r="Z62" s="922">
        <f t="shared" si="14"/>
        <v>0</v>
      </c>
      <c r="AA62"/>
      <c r="AB62"/>
      <c r="AC62"/>
      <c r="AD62"/>
      <c r="AE62"/>
    </row>
    <row r="63" spans="1:31" ht="16.5" thickBot="1">
      <c r="A63" s="40"/>
      <c r="B63" s="42"/>
      <c r="C63" s="42"/>
      <c r="D63" s="741"/>
      <c r="E63" s="741"/>
      <c r="F63" s="741"/>
      <c r="G63" s="741"/>
      <c r="H63" s="741"/>
      <c r="I63" s="741"/>
      <c r="J63" s="741"/>
      <c r="K63" s="876"/>
      <c r="L63" s="741"/>
      <c r="M63" s="876"/>
      <c r="N63" s="741"/>
      <c r="P63" s="917"/>
      <c r="Q63" s="917"/>
      <c r="R63" s="917"/>
      <c r="S63" s="917"/>
      <c r="T63" s="917"/>
      <c r="V63" s="741"/>
      <c r="W63" s="741"/>
      <c r="X63" s="741"/>
      <c r="Y63" s="741"/>
      <c r="Z63" s="741"/>
      <c r="AA63"/>
      <c r="AB63"/>
      <c r="AC63"/>
      <c r="AD63"/>
      <c r="AE63"/>
    </row>
    <row r="64" spans="1:31" ht="16.5" thickBot="1">
      <c r="A64" s="873" t="str">
        <f>'Budget with Assumptions'!H64</f>
        <v>Total Direct Student Costs</v>
      </c>
      <c r="B64" s="42"/>
      <c r="C64" s="42"/>
      <c r="D64" s="486">
        <f>SUM(D40:D62)</f>
        <v>55000</v>
      </c>
      <c r="E64" s="362"/>
      <c r="F64" s="486">
        <f>SUM(F40:F62)</f>
        <v>317500</v>
      </c>
      <c r="G64" s="362"/>
      <c r="H64" s="486">
        <f>SUM(H40:H62)</f>
        <v>419375</v>
      </c>
      <c r="I64" s="362"/>
      <c r="J64" s="486">
        <f>SUM(J40:J62)</f>
        <v>583050</v>
      </c>
      <c r="K64" s="363"/>
      <c r="L64" s="486">
        <f>SUM(L40:L62)</f>
        <v>563050</v>
      </c>
      <c r="M64" s="875"/>
      <c r="N64" s="486">
        <f>SUM(N40:N62)</f>
        <v>563050</v>
      </c>
      <c r="O64"/>
      <c r="P64" s="918">
        <f>SUM(P40:P62)</f>
        <v>0.19763323031180471</v>
      </c>
      <c r="Q64" s="918">
        <f>SUM(Q40:Q62)</f>
        <v>0.2011643288516088</v>
      </c>
      <c r="R64" s="918">
        <f>SUM(R40:R62)</f>
        <v>0.22442491079260574</v>
      </c>
      <c r="S64" s="918">
        <f>SUM(S40:S62)</f>
        <v>0.21340704379087777</v>
      </c>
      <c r="T64" s="918">
        <f>SUM(T40:T62)</f>
        <v>0.2100166965008507</v>
      </c>
      <c r="U64"/>
      <c r="V64" s="923">
        <f>SUM(V40:V62)</f>
        <v>3175</v>
      </c>
      <c r="W64" s="923">
        <f>SUM(W40:W62)</f>
        <v>2396.4285714285716</v>
      </c>
      <c r="X64" s="923">
        <f>SUM(X40:X62)</f>
        <v>2332.2</v>
      </c>
      <c r="Y64" s="923">
        <f>SUM(Y40:Y62)</f>
        <v>2252.2</v>
      </c>
      <c r="Z64" s="923">
        <f>SUM(Z40:Z62)</f>
        <v>2252.2</v>
      </c>
      <c r="AA64"/>
      <c r="AB64"/>
      <c r="AC64"/>
      <c r="AD64"/>
      <c r="AE64"/>
    </row>
    <row r="65" spans="1:31" ht="15.75">
      <c r="A65" s="49"/>
      <c r="B65" s="38"/>
      <c r="C65" s="38"/>
      <c r="D65" s="741"/>
      <c r="E65" s="741"/>
      <c r="F65" s="741"/>
      <c r="G65" s="741"/>
      <c r="H65" s="741"/>
      <c r="I65" s="741"/>
      <c r="J65" s="741"/>
      <c r="K65" s="876"/>
      <c r="L65" s="741"/>
      <c r="M65" s="876"/>
      <c r="N65" s="741"/>
      <c r="P65" s="917"/>
      <c r="Q65" s="917"/>
      <c r="R65" s="917"/>
      <c r="S65" s="917"/>
      <c r="T65" s="917"/>
      <c r="V65" s="741"/>
      <c r="W65" s="741"/>
      <c r="X65" s="741"/>
      <c r="Y65" s="741"/>
      <c r="Z65" s="741"/>
      <c r="AA65"/>
      <c r="AB65"/>
      <c r="AC65"/>
      <c r="AD65"/>
      <c r="AE65"/>
    </row>
    <row r="66" spans="1:31" ht="15.75">
      <c r="A66" s="49"/>
      <c r="B66" s="38"/>
      <c r="C66" s="38"/>
      <c r="D66" s="903"/>
      <c r="E66" s="904"/>
      <c r="F66" s="903"/>
      <c r="G66" s="904"/>
      <c r="H66" s="903"/>
      <c r="I66" s="904"/>
      <c r="J66" s="903"/>
      <c r="K66" s="363"/>
      <c r="L66" s="903"/>
      <c r="M66" s="875"/>
      <c r="N66" s="903"/>
      <c r="O66" s="338"/>
      <c r="P66" s="919"/>
      <c r="Q66" s="919"/>
      <c r="R66" s="919"/>
      <c r="S66" s="919"/>
      <c r="T66" s="919"/>
      <c r="U66" s="338"/>
      <c r="V66" s="924"/>
      <c r="W66" s="924"/>
      <c r="X66" s="924"/>
      <c r="Y66" s="924"/>
      <c r="Z66" s="924"/>
      <c r="AA66" s="338"/>
      <c r="AB66" s="338"/>
      <c r="AC66"/>
      <c r="AD66"/>
      <c r="AE66"/>
    </row>
    <row r="67" spans="1:31" ht="16.5" thickBot="1">
      <c r="A67" s="49"/>
      <c r="B67" s="50"/>
      <c r="C67" s="50"/>
      <c r="D67" s="902"/>
      <c r="E67" s="905"/>
      <c r="F67" s="902"/>
      <c r="G67" s="905"/>
      <c r="H67" s="902"/>
      <c r="I67" s="905"/>
      <c r="J67" s="902"/>
      <c r="K67" s="902"/>
      <c r="L67" s="906"/>
      <c r="M67" s="890"/>
      <c r="N67" s="906"/>
      <c r="O67" s="338"/>
      <c r="P67" s="920"/>
      <c r="Q67" s="920"/>
      <c r="R67" s="920"/>
      <c r="S67" s="920"/>
      <c r="T67" s="920"/>
      <c r="U67" s="338"/>
      <c r="V67" s="876"/>
      <c r="W67" s="876"/>
      <c r="X67" s="876"/>
      <c r="Y67" s="876"/>
      <c r="Z67" s="876"/>
      <c r="AA67" s="338"/>
      <c r="AB67" s="338"/>
      <c r="AC67"/>
      <c r="AD67"/>
      <c r="AE67"/>
    </row>
    <row r="68" spans="1:31" ht="18.75" thickBot="1">
      <c r="A68" s="705" t="s">
        <v>176</v>
      </c>
      <c r="B68" s="50"/>
      <c r="C68" s="50"/>
      <c r="D68" s="907"/>
      <c r="E68" s="901"/>
      <c r="F68" s="907"/>
      <c r="G68" s="901"/>
      <c r="H68" s="907"/>
      <c r="I68" s="901"/>
      <c r="J68" s="907"/>
      <c r="K68" s="902"/>
      <c r="L68" s="68"/>
      <c r="M68" s="890"/>
      <c r="N68" s="68"/>
      <c r="O68"/>
      <c r="P68" s="917"/>
      <c r="Q68" s="917"/>
      <c r="R68" s="917"/>
      <c r="S68" s="917"/>
      <c r="T68" s="917"/>
      <c r="U68"/>
      <c r="V68" s="741"/>
      <c r="W68" s="741"/>
      <c r="X68" s="741"/>
      <c r="Y68" s="741"/>
      <c r="Z68" s="741"/>
      <c r="AA68"/>
      <c r="AB68"/>
      <c r="AC68"/>
      <c r="AD68"/>
      <c r="AE68"/>
    </row>
    <row r="69" spans="1:31" ht="15.75">
      <c r="A69" s="713" t="str">
        <f>'Budget with Assumptions'!A69</f>
        <v>Salaries</v>
      </c>
      <c r="B69" s="38"/>
      <c r="C69" s="38"/>
      <c r="D69" s="366">
        <f>'Budget with Assumptions'!J69</f>
        <v>45250</v>
      </c>
      <c r="E69" s="901"/>
      <c r="F69" s="366">
        <f>'Budget with Assumptions'!L69</f>
        <v>711350</v>
      </c>
      <c r="G69" s="905"/>
      <c r="H69" s="366">
        <f>'Budget with Assumptions'!N69</f>
        <v>973247</v>
      </c>
      <c r="I69" s="905"/>
      <c r="J69" s="366">
        <f>'Budget with Assumptions'!P69</f>
        <v>1197384.785</v>
      </c>
      <c r="K69" s="902"/>
      <c r="L69" s="366">
        <f>'Budget with Assumptions'!R69</f>
        <v>1233306.32855</v>
      </c>
      <c r="M69" s="890"/>
      <c r="N69" s="366">
        <f>'Budget with Assumptions'!T69</f>
        <v>1270305.5184065003</v>
      </c>
      <c r="O69"/>
      <c r="P69" s="916">
        <f aca="true" t="shared" si="15" ref="P69:P90">F69/$F$159</f>
        <v>0.4427918059285111</v>
      </c>
      <c r="Q69" s="916">
        <f aca="true" t="shared" si="16" ref="Q69:Q90">H69/$H$159</f>
        <v>0.46684370685386994</v>
      </c>
      <c r="R69" s="916">
        <f aca="true" t="shared" si="17" ref="R69:R90">J69/$J$159</f>
        <v>0.46089181641033944</v>
      </c>
      <c r="S69" s="916">
        <f aca="true" t="shared" si="18" ref="S69:S90">L69/$L$159</f>
        <v>0.46744739839168203</v>
      </c>
      <c r="T69" s="916">
        <f aca="true" t="shared" si="19" ref="T69:T90">N69/$N$159</f>
        <v>0.4738218071619461</v>
      </c>
      <c r="U69"/>
      <c r="V69" s="925">
        <f>F69/$F$178</f>
        <v>7113.5</v>
      </c>
      <c r="W69" s="925">
        <f>H69/$H$178</f>
        <v>5561.411428571429</v>
      </c>
      <c r="X69" s="925">
        <f>J69/$J$178</f>
        <v>4789.53914</v>
      </c>
      <c r="Y69" s="925">
        <f>L69/$L$178</f>
        <v>4933.2253142</v>
      </c>
      <c r="Z69" s="925">
        <f>N69/$N$178</f>
        <v>5081.2220736260015</v>
      </c>
      <c r="AA69"/>
      <c r="AB69"/>
      <c r="AC69"/>
      <c r="AD69"/>
      <c r="AE69"/>
    </row>
    <row r="70" spans="1:31" ht="15.75">
      <c r="A70" s="713" t="str">
        <f>'Budget with Assumptions'!A70</f>
        <v>School's Share of Employer Contribution (normal cost) to the CTPF</v>
      </c>
      <c r="B70" s="52"/>
      <c r="C70" s="52"/>
      <c r="D70" s="366">
        <f>'Budget with Assumptions'!J70</f>
        <v>0</v>
      </c>
      <c r="E70" s="901"/>
      <c r="F70" s="366">
        <f>'Budget with Assumptions'!L70</f>
        <v>0</v>
      </c>
      <c r="G70" s="905"/>
      <c r="H70" s="366">
        <f>'Budget with Assumptions'!N70</f>
        <v>0</v>
      </c>
      <c r="I70" s="905"/>
      <c r="J70" s="366">
        <f>'Budget with Assumptions'!P70</f>
        <v>0</v>
      </c>
      <c r="K70" s="902"/>
      <c r="L70" s="366">
        <f>'Budget with Assumptions'!R70</f>
        <v>0</v>
      </c>
      <c r="M70" s="890"/>
      <c r="N70" s="366">
        <f>'Budget with Assumptions'!T70</f>
        <v>0</v>
      </c>
      <c r="O70"/>
      <c r="P70" s="916">
        <f t="shared" si="15"/>
        <v>0</v>
      </c>
      <c r="Q70" s="916">
        <f t="shared" si="16"/>
        <v>0</v>
      </c>
      <c r="R70" s="916">
        <f t="shared" si="17"/>
        <v>0</v>
      </c>
      <c r="S70" s="916">
        <f t="shared" si="18"/>
        <v>0</v>
      </c>
      <c r="T70" s="916">
        <f t="shared" si="19"/>
        <v>0</v>
      </c>
      <c r="U70"/>
      <c r="V70" s="925">
        <f aca="true" t="shared" si="20" ref="V70:V90">F70/$F$178</f>
        <v>0</v>
      </c>
      <c r="W70" s="925">
        <f aca="true" t="shared" si="21" ref="W70:W90">H70/$H$178</f>
        <v>0</v>
      </c>
      <c r="X70" s="925">
        <f aca="true" t="shared" si="22" ref="X70:X90">J70/$J$178</f>
        <v>0</v>
      </c>
      <c r="Y70" s="925">
        <f aca="true" t="shared" si="23" ref="Y70:Y90">L70/$L$178</f>
        <v>0</v>
      </c>
      <c r="Z70" s="925">
        <f aca="true" t="shared" si="24" ref="Z70:Z90">N70/$N$178</f>
        <v>0</v>
      </c>
      <c r="AA70"/>
      <c r="AB70"/>
      <c r="AC70"/>
      <c r="AD70"/>
      <c r="AE70"/>
    </row>
    <row r="71" spans="1:31" ht="15.75">
      <c r="A71" s="713" t="str">
        <f>'Budget with Assumptions'!A71</f>
        <v>Pension-CTPF(Charter School's Share of 9% of Employee w/h)</v>
      </c>
      <c r="B71" s="52"/>
      <c r="C71" s="52"/>
      <c r="D71" s="366">
        <f>'Budget with Assumptions'!J71</f>
        <v>0</v>
      </c>
      <c r="E71" s="901"/>
      <c r="F71" s="366">
        <f>'Budget with Assumptions'!L71</f>
        <v>0</v>
      </c>
      <c r="G71" s="905"/>
      <c r="H71" s="366">
        <f>'Budget with Assumptions'!N71</f>
        <v>0</v>
      </c>
      <c r="I71" s="905"/>
      <c r="J71" s="366">
        <f>'Budget with Assumptions'!P71</f>
        <v>0</v>
      </c>
      <c r="K71" s="902"/>
      <c r="L71" s="366">
        <f>'Budget with Assumptions'!R71</f>
        <v>0</v>
      </c>
      <c r="M71" s="890"/>
      <c r="N71" s="366">
        <f>'Budget with Assumptions'!T71</f>
        <v>0</v>
      </c>
      <c r="O71"/>
      <c r="P71" s="916">
        <f t="shared" si="15"/>
        <v>0</v>
      </c>
      <c r="Q71" s="916">
        <f t="shared" si="16"/>
        <v>0</v>
      </c>
      <c r="R71" s="916">
        <f t="shared" si="17"/>
        <v>0</v>
      </c>
      <c r="S71" s="916">
        <f t="shared" si="18"/>
        <v>0</v>
      </c>
      <c r="T71" s="916">
        <f t="shared" si="19"/>
        <v>0</v>
      </c>
      <c r="U71"/>
      <c r="V71" s="925">
        <f t="shared" si="20"/>
        <v>0</v>
      </c>
      <c r="W71" s="925">
        <f t="shared" si="21"/>
        <v>0</v>
      </c>
      <c r="X71" s="925">
        <f t="shared" si="22"/>
        <v>0</v>
      </c>
      <c r="Y71" s="925">
        <f t="shared" si="23"/>
        <v>0</v>
      </c>
      <c r="Z71" s="925">
        <f t="shared" si="24"/>
        <v>0</v>
      </c>
      <c r="AA71"/>
      <c r="AB71"/>
      <c r="AC71"/>
      <c r="AD71"/>
      <c r="AE71"/>
    </row>
    <row r="72" spans="1:31" ht="15.75">
      <c r="A72" s="713" t="str">
        <f>'Budget with Assumptions'!A72</f>
        <v>403b</v>
      </c>
      <c r="B72" s="52"/>
      <c r="C72" s="52"/>
      <c r="D72" s="366">
        <f>'Budget with Assumptions'!J72</f>
        <v>0</v>
      </c>
      <c r="E72" s="901"/>
      <c r="F72" s="366">
        <f>'Budget with Assumptions'!L72</f>
        <v>0</v>
      </c>
      <c r="G72" s="905"/>
      <c r="H72" s="366">
        <f>'Budget with Assumptions'!N72</f>
        <v>0</v>
      </c>
      <c r="I72" s="905"/>
      <c r="J72" s="366">
        <f>'Budget with Assumptions'!P72</f>
        <v>0</v>
      </c>
      <c r="K72" s="902"/>
      <c r="L72" s="366">
        <f>'Budget with Assumptions'!R72</f>
        <v>0</v>
      </c>
      <c r="M72" s="890"/>
      <c r="N72" s="366">
        <f>'Budget with Assumptions'!T72</f>
        <v>0</v>
      </c>
      <c r="O72"/>
      <c r="P72" s="916">
        <f t="shared" si="15"/>
        <v>0</v>
      </c>
      <c r="Q72" s="916">
        <f t="shared" si="16"/>
        <v>0</v>
      </c>
      <c r="R72" s="916">
        <f t="shared" si="17"/>
        <v>0</v>
      </c>
      <c r="S72" s="916">
        <f t="shared" si="18"/>
        <v>0</v>
      </c>
      <c r="T72" s="916">
        <f t="shared" si="19"/>
        <v>0</v>
      </c>
      <c r="U72"/>
      <c r="V72" s="925">
        <f t="shared" si="20"/>
        <v>0</v>
      </c>
      <c r="W72" s="925">
        <f t="shared" si="21"/>
        <v>0</v>
      </c>
      <c r="X72" s="925">
        <f t="shared" si="22"/>
        <v>0</v>
      </c>
      <c r="Y72" s="925">
        <f t="shared" si="23"/>
        <v>0</v>
      </c>
      <c r="Z72" s="925">
        <f t="shared" si="24"/>
        <v>0</v>
      </c>
      <c r="AA72"/>
      <c r="AB72"/>
      <c r="AC72"/>
      <c r="AD72"/>
      <c r="AE72"/>
    </row>
    <row r="73" spans="1:31" ht="15.75">
      <c r="A73" s="713" t="str">
        <f>'Budget with Assumptions'!A73</f>
        <v>FICA (employer's share)</v>
      </c>
      <c r="B73" s="52"/>
      <c r="C73" s="52"/>
      <c r="D73" s="366">
        <f>'Budget with Assumptions'!J73</f>
        <v>2805.5</v>
      </c>
      <c r="E73" s="901"/>
      <c r="F73" s="366">
        <f>'Budget with Assumptions'!L73</f>
        <v>44103.7</v>
      </c>
      <c r="G73" s="905"/>
      <c r="H73" s="366">
        <f>'Budget with Assumptions'!N73</f>
        <v>60341.314</v>
      </c>
      <c r="I73" s="905"/>
      <c r="J73" s="366">
        <f>'Budget with Assumptions'!P73</f>
        <v>74237.85667</v>
      </c>
      <c r="K73" s="902"/>
      <c r="L73" s="366">
        <f>'Budget with Assumptions'!R73</f>
        <v>76464.9923701</v>
      </c>
      <c r="M73" s="890"/>
      <c r="N73" s="366">
        <f>'Budget with Assumptions'!T73</f>
        <v>78758.94214120302</v>
      </c>
      <c r="O73"/>
      <c r="P73" s="916">
        <f t="shared" si="15"/>
        <v>0.027453091967567685</v>
      </c>
      <c r="Q73" s="916">
        <f t="shared" si="16"/>
        <v>0.028944309824939937</v>
      </c>
      <c r="R73" s="916">
        <f t="shared" si="17"/>
        <v>0.028575292617441045</v>
      </c>
      <c r="S73" s="916">
        <f t="shared" si="18"/>
        <v>0.028981738700284282</v>
      </c>
      <c r="T73" s="916">
        <f t="shared" si="19"/>
        <v>0.029376952044040658</v>
      </c>
      <c r="U73"/>
      <c r="V73" s="925">
        <f t="shared" si="20"/>
        <v>441.037</v>
      </c>
      <c r="W73" s="925">
        <f t="shared" si="21"/>
        <v>344.80750857142857</v>
      </c>
      <c r="X73" s="925">
        <f t="shared" si="22"/>
        <v>296.95142668</v>
      </c>
      <c r="Y73" s="925">
        <f t="shared" si="23"/>
        <v>305.85996948039997</v>
      </c>
      <c r="Z73" s="925">
        <f t="shared" si="24"/>
        <v>315.0357685648121</v>
      </c>
      <c r="AA73"/>
      <c r="AB73"/>
      <c r="AC73"/>
      <c r="AD73"/>
      <c r="AE73"/>
    </row>
    <row r="74" spans="1:31" ht="15.75">
      <c r="A74" s="713" t="str">
        <f>'Budget with Assumptions'!A74</f>
        <v>Medicare (employer's share)</v>
      </c>
      <c r="B74" s="52"/>
      <c r="C74" s="52"/>
      <c r="D74" s="366">
        <f>'Budget with Assumptions'!J74</f>
        <v>656.125</v>
      </c>
      <c r="E74" s="901"/>
      <c r="F74" s="366">
        <f>'Budget with Assumptions'!L74</f>
        <v>10314.575</v>
      </c>
      <c r="G74" s="905"/>
      <c r="H74" s="366">
        <f>'Budget with Assumptions'!N74</f>
        <v>14112.0815</v>
      </c>
      <c r="I74" s="905"/>
      <c r="J74" s="366">
        <f>'Budget with Assumptions'!P74</f>
        <v>17362.0793825</v>
      </c>
      <c r="K74" s="902"/>
      <c r="L74" s="366">
        <f>'Budget with Assumptions'!R74</f>
        <v>17882.941763975</v>
      </c>
      <c r="M74" s="890"/>
      <c r="N74" s="366">
        <f>'Budget with Assumptions'!T74</f>
        <v>18419.430016894257</v>
      </c>
      <c r="O74"/>
      <c r="P74" s="916">
        <f t="shared" si="15"/>
        <v>0.006420481185963411</v>
      </c>
      <c r="Q74" s="916">
        <f t="shared" si="16"/>
        <v>0.006769233749381114</v>
      </c>
      <c r="R74" s="916">
        <f t="shared" si="17"/>
        <v>0.006682931337949922</v>
      </c>
      <c r="S74" s="916">
        <f t="shared" si="18"/>
        <v>0.006777987276679389</v>
      </c>
      <c r="T74" s="916">
        <f t="shared" si="19"/>
        <v>0.006870416203848219</v>
      </c>
      <c r="U74"/>
      <c r="V74" s="925">
        <f t="shared" si="20"/>
        <v>103.14575</v>
      </c>
      <c r="W74" s="925">
        <f t="shared" si="21"/>
        <v>80.64046571428571</v>
      </c>
      <c r="X74" s="925">
        <f t="shared" si="22"/>
        <v>69.44831753</v>
      </c>
      <c r="Y74" s="925">
        <f t="shared" si="23"/>
        <v>71.53176705589999</v>
      </c>
      <c r="Z74" s="925">
        <f t="shared" si="24"/>
        <v>73.67772006757703</v>
      </c>
      <c r="AA74"/>
      <c r="AB74"/>
      <c r="AC74"/>
      <c r="AD74"/>
      <c r="AE74"/>
    </row>
    <row r="75" spans="1:31" ht="15.75">
      <c r="A75" s="713" t="str">
        <f>'Budget with Assumptions'!A75</f>
        <v>Health/Dental/Life Insurance</v>
      </c>
      <c r="B75" s="52"/>
      <c r="C75" s="52"/>
      <c r="D75" s="366">
        <f>'Budget with Assumptions'!J75</f>
        <v>0</v>
      </c>
      <c r="E75" s="901"/>
      <c r="F75" s="366">
        <f>'Budget with Assumptions'!L75</f>
        <v>106702.5</v>
      </c>
      <c r="G75" s="905"/>
      <c r="H75" s="366">
        <f>'Budget with Assumptions'!N75</f>
        <v>145987.05</v>
      </c>
      <c r="I75" s="905"/>
      <c r="J75" s="366">
        <f>'Budget with Assumptions'!P75</f>
        <v>179607.71774999998</v>
      </c>
      <c r="K75" s="902"/>
      <c r="L75" s="366">
        <f>'Budget with Assumptions'!R75</f>
        <v>184995.9492825</v>
      </c>
      <c r="M75" s="890"/>
      <c r="N75" s="366">
        <f>'Budget with Assumptions'!T75</f>
        <v>190545.82776097505</v>
      </c>
      <c r="O75"/>
      <c r="P75" s="916">
        <f t="shared" si="15"/>
        <v>0.06641877088927667</v>
      </c>
      <c r="Q75" s="916">
        <f t="shared" si="16"/>
        <v>0.07002655602808049</v>
      </c>
      <c r="R75" s="916">
        <f t="shared" si="17"/>
        <v>0.06913377246155092</v>
      </c>
      <c r="S75" s="916">
        <f t="shared" si="18"/>
        <v>0.07011710975875231</v>
      </c>
      <c r="T75" s="916">
        <f t="shared" si="19"/>
        <v>0.07107327107429191</v>
      </c>
      <c r="U75"/>
      <c r="V75" s="925">
        <f t="shared" si="20"/>
        <v>1067.025</v>
      </c>
      <c r="W75" s="925">
        <f t="shared" si="21"/>
        <v>834.2117142857143</v>
      </c>
      <c r="X75" s="925">
        <f t="shared" si="22"/>
        <v>718.4308709999999</v>
      </c>
      <c r="Y75" s="925">
        <f t="shared" si="23"/>
        <v>739.98379713</v>
      </c>
      <c r="Z75" s="925">
        <f t="shared" si="24"/>
        <v>762.1833110439002</v>
      </c>
      <c r="AA75"/>
      <c r="AB75"/>
      <c r="AC75"/>
      <c r="AD75"/>
      <c r="AE75"/>
    </row>
    <row r="76" spans="1:31" ht="15.75">
      <c r="A76" s="713" t="str">
        <f>'Budget with Assumptions'!A76</f>
        <v>Workers Compensation</v>
      </c>
      <c r="B76" s="52"/>
      <c r="C76" s="52"/>
      <c r="D76" s="366">
        <f>'Budget with Assumptions'!J76</f>
        <v>0</v>
      </c>
      <c r="E76" s="901"/>
      <c r="F76" s="366">
        <f>'Budget with Assumptions'!L76</f>
        <v>5335.125</v>
      </c>
      <c r="G76" s="901"/>
      <c r="H76" s="366">
        <f>'Budget with Assumptions'!N76</f>
        <v>7299.3525</v>
      </c>
      <c r="I76" s="905"/>
      <c r="J76" s="366">
        <f>'Budget with Assumptions'!P76</f>
        <v>8980.385887499999</v>
      </c>
      <c r="K76" s="902"/>
      <c r="L76" s="366">
        <f>'Budget with Assumptions'!R76</f>
        <v>9249.797464125</v>
      </c>
      <c r="M76" s="890"/>
      <c r="N76" s="366">
        <f>'Budget with Assumptions'!T76</f>
        <v>9527.291388048752</v>
      </c>
      <c r="O76"/>
      <c r="P76" s="916">
        <f t="shared" si="15"/>
        <v>0.0033209385444638332</v>
      </c>
      <c r="Q76" s="916">
        <f t="shared" si="16"/>
        <v>0.0035013278014040246</v>
      </c>
      <c r="R76" s="916">
        <f t="shared" si="17"/>
        <v>0.0034566886230775456</v>
      </c>
      <c r="S76" s="916">
        <f t="shared" si="18"/>
        <v>0.0035058554879376152</v>
      </c>
      <c r="T76" s="916">
        <f t="shared" si="19"/>
        <v>0.0035536635537145957</v>
      </c>
      <c r="U76"/>
      <c r="V76" s="925">
        <f t="shared" si="20"/>
        <v>53.35125</v>
      </c>
      <c r="W76" s="925">
        <f t="shared" si="21"/>
        <v>41.71058571428571</v>
      </c>
      <c r="X76" s="925">
        <f t="shared" si="22"/>
        <v>35.921543549999996</v>
      </c>
      <c r="Y76" s="925">
        <f t="shared" si="23"/>
        <v>36.9991898565</v>
      </c>
      <c r="Z76" s="925">
        <f t="shared" si="24"/>
        <v>38.10916555219501</v>
      </c>
      <c r="AA76"/>
      <c r="AB76"/>
      <c r="AC76"/>
      <c r="AD76"/>
      <c r="AE76"/>
    </row>
    <row r="77" spans="1:31" ht="15.75">
      <c r="A77" s="713" t="str">
        <f>'Budget with Assumptions'!A77</f>
        <v>State Unemployment Taxes</v>
      </c>
      <c r="B77" s="52"/>
      <c r="C77" s="52"/>
      <c r="D77" s="366">
        <f>'Budget with Assumptions'!J77</f>
        <v>0</v>
      </c>
      <c r="E77" s="901"/>
      <c r="F77" s="366">
        <f>'Budget with Assumptions'!L77</f>
        <v>57975.025</v>
      </c>
      <c r="G77" s="901"/>
      <c r="H77" s="366">
        <f>'Budget with Assumptions'!N77</f>
        <v>79319.6305</v>
      </c>
      <c r="I77" s="901"/>
      <c r="J77" s="366">
        <f>'Budget with Assumptions'!P77</f>
        <v>97586.8599775</v>
      </c>
      <c r="K77" s="902"/>
      <c r="L77" s="366">
        <f>'Budget with Assumptions'!R77</f>
        <v>100514.465776825</v>
      </c>
      <c r="M77" s="890"/>
      <c r="N77" s="366">
        <f>'Budget with Assumptions'!T77</f>
        <v>103529.89975012979</v>
      </c>
      <c r="O77"/>
      <c r="P77" s="916">
        <f t="shared" si="15"/>
        <v>0.036087532183173655</v>
      </c>
      <c r="Q77" s="916">
        <f t="shared" si="16"/>
        <v>0.0380477621085904</v>
      </c>
      <c r="R77" s="916">
        <f t="shared" si="17"/>
        <v>0.037562683037442667</v>
      </c>
      <c r="S77" s="916">
        <f t="shared" si="18"/>
        <v>0.038096962968922087</v>
      </c>
      <c r="T77" s="916">
        <f t="shared" si="19"/>
        <v>0.03861647728369861</v>
      </c>
      <c r="U77"/>
      <c r="V77" s="925">
        <f t="shared" si="20"/>
        <v>579.75025</v>
      </c>
      <c r="W77" s="925">
        <f t="shared" si="21"/>
        <v>453.25503142857144</v>
      </c>
      <c r="X77" s="925">
        <f t="shared" si="22"/>
        <v>390.34743991</v>
      </c>
      <c r="Y77" s="925">
        <f t="shared" si="23"/>
        <v>402.0578631073</v>
      </c>
      <c r="Z77" s="925">
        <f t="shared" si="24"/>
        <v>414.11959900051914</v>
      </c>
      <c r="AA77"/>
      <c r="AB77"/>
      <c r="AC77"/>
      <c r="AD77"/>
      <c r="AE77"/>
    </row>
    <row r="78" spans="1:31" ht="15.75">
      <c r="A78" s="713">
        <f>'Budget with Assumptions'!A78</f>
        <v>0</v>
      </c>
      <c r="B78" s="52"/>
      <c r="C78" s="52"/>
      <c r="D78" s="366">
        <f>'Budget with Assumptions'!J78</f>
        <v>0</v>
      </c>
      <c r="E78" s="901"/>
      <c r="F78" s="366">
        <f>'Budget with Assumptions'!L78</f>
        <v>0</v>
      </c>
      <c r="G78" s="901"/>
      <c r="H78" s="366">
        <f>'Budget with Assumptions'!N78</f>
        <v>0</v>
      </c>
      <c r="I78" s="901"/>
      <c r="J78" s="366">
        <f>'Budget with Assumptions'!P78</f>
        <v>0</v>
      </c>
      <c r="K78" s="902"/>
      <c r="L78" s="366">
        <f>'Budget with Assumptions'!R78</f>
        <v>0</v>
      </c>
      <c r="M78" s="890"/>
      <c r="N78" s="366">
        <f>'Budget with Assumptions'!T78</f>
        <v>0</v>
      </c>
      <c r="O78"/>
      <c r="P78" s="916">
        <f t="shared" si="15"/>
        <v>0</v>
      </c>
      <c r="Q78" s="916">
        <f t="shared" si="16"/>
        <v>0</v>
      </c>
      <c r="R78" s="916">
        <f t="shared" si="17"/>
        <v>0</v>
      </c>
      <c r="S78" s="916">
        <f t="shared" si="18"/>
        <v>0</v>
      </c>
      <c r="T78" s="916">
        <f t="shared" si="19"/>
        <v>0</v>
      </c>
      <c r="U78"/>
      <c r="V78" s="925">
        <f t="shared" si="20"/>
        <v>0</v>
      </c>
      <c r="W78" s="925">
        <f t="shared" si="21"/>
        <v>0</v>
      </c>
      <c r="X78" s="925">
        <f t="shared" si="22"/>
        <v>0</v>
      </c>
      <c r="Y78" s="925">
        <f t="shared" si="23"/>
        <v>0</v>
      </c>
      <c r="Z78" s="925">
        <f t="shared" si="24"/>
        <v>0</v>
      </c>
      <c r="AA78"/>
      <c r="AB78"/>
      <c r="AC78"/>
      <c r="AD78"/>
      <c r="AE78"/>
    </row>
    <row r="79" spans="1:31" ht="15.75">
      <c r="A79" s="713">
        <f>'Budget with Assumptions'!A79</f>
        <v>0</v>
      </c>
      <c r="B79" s="52"/>
      <c r="C79" s="52"/>
      <c r="D79" s="366">
        <f>'Budget with Assumptions'!J79</f>
        <v>0</v>
      </c>
      <c r="E79" s="901"/>
      <c r="F79" s="366">
        <f>'Budget with Assumptions'!L79</f>
        <v>0</v>
      </c>
      <c r="G79" s="901"/>
      <c r="H79" s="366">
        <f>'Budget with Assumptions'!N79</f>
        <v>0</v>
      </c>
      <c r="I79" s="901"/>
      <c r="J79" s="366">
        <f>'Budget with Assumptions'!P79</f>
        <v>0</v>
      </c>
      <c r="K79" s="902"/>
      <c r="L79" s="366">
        <f>'Budget with Assumptions'!R79</f>
        <v>0</v>
      </c>
      <c r="M79" s="890"/>
      <c r="N79" s="366">
        <f>'Budget with Assumptions'!T79</f>
        <v>0</v>
      </c>
      <c r="O79"/>
      <c r="P79" s="916">
        <f t="shared" si="15"/>
        <v>0</v>
      </c>
      <c r="Q79" s="916">
        <f t="shared" si="16"/>
        <v>0</v>
      </c>
      <c r="R79" s="916">
        <f t="shared" si="17"/>
        <v>0</v>
      </c>
      <c r="S79" s="916">
        <f t="shared" si="18"/>
        <v>0</v>
      </c>
      <c r="T79" s="916">
        <f t="shared" si="19"/>
        <v>0</v>
      </c>
      <c r="U79"/>
      <c r="V79" s="925">
        <f t="shared" si="20"/>
        <v>0</v>
      </c>
      <c r="W79" s="925">
        <f t="shared" si="21"/>
        <v>0</v>
      </c>
      <c r="X79" s="925">
        <f t="shared" si="22"/>
        <v>0</v>
      </c>
      <c r="Y79" s="925">
        <f t="shared" si="23"/>
        <v>0</v>
      </c>
      <c r="Z79" s="925">
        <f t="shared" si="24"/>
        <v>0</v>
      </c>
      <c r="AA79"/>
      <c r="AB79"/>
      <c r="AC79"/>
      <c r="AD79"/>
      <c r="AE79"/>
    </row>
    <row r="80" spans="1:31" ht="15.75">
      <c r="A80" s="713">
        <f>'Budget with Assumptions'!A80</f>
        <v>0</v>
      </c>
      <c r="B80" s="52"/>
      <c r="C80" s="52"/>
      <c r="D80" s="366">
        <f>'Budget with Assumptions'!J80</f>
        <v>0</v>
      </c>
      <c r="E80" s="741"/>
      <c r="F80" s="366">
        <f>'Budget with Assumptions'!L80</f>
        <v>0</v>
      </c>
      <c r="G80" s="741"/>
      <c r="H80" s="366">
        <f>'Budget with Assumptions'!N80</f>
        <v>0</v>
      </c>
      <c r="I80" s="741"/>
      <c r="J80" s="366">
        <f>'Budget with Assumptions'!P80</f>
        <v>0</v>
      </c>
      <c r="K80" s="876"/>
      <c r="L80" s="366">
        <f>'Budget with Assumptions'!R80</f>
        <v>0</v>
      </c>
      <c r="M80" s="876"/>
      <c r="N80" s="366">
        <f>'Budget with Assumptions'!T80</f>
        <v>0</v>
      </c>
      <c r="P80" s="916">
        <f t="shared" si="15"/>
        <v>0</v>
      </c>
      <c r="Q80" s="916">
        <f t="shared" si="16"/>
        <v>0</v>
      </c>
      <c r="R80" s="916">
        <f t="shared" si="17"/>
        <v>0</v>
      </c>
      <c r="S80" s="916">
        <f t="shared" si="18"/>
        <v>0</v>
      </c>
      <c r="T80" s="916">
        <f t="shared" si="19"/>
        <v>0</v>
      </c>
      <c r="V80" s="925">
        <f t="shared" si="20"/>
        <v>0</v>
      </c>
      <c r="W80" s="925">
        <f t="shared" si="21"/>
        <v>0</v>
      </c>
      <c r="X80" s="925">
        <f t="shared" si="22"/>
        <v>0</v>
      </c>
      <c r="Y80" s="925">
        <f t="shared" si="23"/>
        <v>0</v>
      </c>
      <c r="Z80" s="925">
        <f t="shared" si="24"/>
        <v>0</v>
      </c>
      <c r="AA80"/>
      <c r="AB80"/>
      <c r="AC80"/>
      <c r="AD80"/>
      <c r="AE80"/>
    </row>
    <row r="81" spans="1:26" ht="15.75">
      <c r="A81" s="713">
        <f>'Budget with Assumptions'!A81</f>
        <v>0</v>
      </c>
      <c r="D81" s="366">
        <f>'Budget with Assumptions'!J81</f>
        <v>0</v>
      </c>
      <c r="E81" s="901"/>
      <c r="F81" s="366">
        <f>'Budget with Assumptions'!L81</f>
        <v>0</v>
      </c>
      <c r="G81" s="901"/>
      <c r="H81" s="366">
        <f>'Budget with Assumptions'!N81</f>
        <v>0</v>
      </c>
      <c r="I81" s="901"/>
      <c r="J81" s="366">
        <f>'Budget with Assumptions'!P81</f>
        <v>0</v>
      </c>
      <c r="K81" s="902"/>
      <c r="L81" s="366">
        <f>'Budget with Assumptions'!R81</f>
        <v>0</v>
      </c>
      <c r="M81" s="890"/>
      <c r="N81" s="366">
        <f>'Budget with Assumptions'!T81</f>
        <v>0</v>
      </c>
      <c r="O81"/>
      <c r="P81" s="916">
        <f t="shared" si="15"/>
        <v>0</v>
      </c>
      <c r="Q81" s="916">
        <f t="shared" si="16"/>
        <v>0</v>
      </c>
      <c r="R81" s="916">
        <f t="shared" si="17"/>
        <v>0</v>
      </c>
      <c r="S81" s="916">
        <f t="shared" si="18"/>
        <v>0</v>
      </c>
      <c r="T81" s="916">
        <f t="shared" si="19"/>
        <v>0</v>
      </c>
      <c r="U81"/>
      <c r="V81" s="925">
        <f t="shared" si="20"/>
        <v>0</v>
      </c>
      <c r="W81" s="925">
        <f t="shared" si="21"/>
        <v>0</v>
      </c>
      <c r="X81" s="925">
        <f t="shared" si="22"/>
        <v>0</v>
      </c>
      <c r="Y81" s="925">
        <f t="shared" si="23"/>
        <v>0</v>
      </c>
      <c r="Z81" s="925">
        <f t="shared" si="24"/>
        <v>0</v>
      </c>
    </row>
    <row r="82" spans="1:31" ht="15.75">
      <c r="A82" s="874" t="str">
        <f>'Budget with Assumptions'!A82</f>
        <v>Employee Related Expenses (non-wage and non-benefit)</v>
      </c>
      <c r="B82" s="52"/>
      <c r="C82" s="52"/>
      <c r="D82" s="366">
        <f>'Budget with Assumptions'!J82</f>
        <v>0</v>
      </c>
      <c r="E82" s="901"/>
      <c r="F82" s="366">
        <f>'Budget with Assumptions'!L82</f>
        <v>0</v>
      </c>
      <c r="G82" s="901"/>
      <c r="H82" s="366">
        <f>'Budget with Assumptions'!N82</f>
        <v>0</v>
      </c>
      <c r="I82" s="901"/>
      <c r="J82" s="366">
        <f>'Budget with Assumptions'!P82</f>
        <v>0</v>
      </c>
      <c r="K82" s="902"/>
      <c r="L82" s="366">
        <f>'Budget with Assumptions'!R82</f>
        <v>0</v>
      </c>
      <c r="M82" s="890"/>
      <c r="N82" s="366">
        <f>'Budget with Assumptions'!T82</f>
        <v>0</v>
      </c>
      <c r="O82"/>
      <c r="P82" s="916">
        <f t="shared" si="15"/>
        <v>0</v>
      </c>
      <c r="Q82" s="916">
        <f t="shared" si="16"/>
        <v>0</v>
      </c>
      <c r="R82" s="916">
        <f t="shared" si="17"/>
        <v>0</v>
      </c>
      <c r="S82" s="916">
        <f t="shared" si="18"/>
        <v>0</v>
      </c>
      <c r="T82" s="916">
        <f t="shared" si="19"/>
        <v>0</v>
      </c>
      <c r="U82"/>
      <c r="V82" s="925">
        <f t="shared" si="20"/>
        <v>0</v>
      </c>
      <c r="W82" s="925">
        <f t="shared" si="21"/>
        <v>0</v>
      </c>
      <c r="X82" s="925">
        <f t="shared" si="22"/>
        <v>0</v>
      </c>
      <c r="Y82" s="925">
        <f t="shared" si="23"/>
        <v>0</v>
      </c>
      <c r="Z82" s="925">
        <f t="shared" si="24"/>
        <v>0</v>
      </c>
      <c r="AA82"/>
      <c r="AB82"/>
      <c r="AC82"/>
      <c r="AD82"/>
      <c r="AE82"/>
    </row>
    <row r="83" spans="1:31" ht="15.75">
      <c r="A83" s="713" t="str">
        <f>'Budget with Assumptions'!A83</f>
        <v>Staff Recruitment</v>
      </c>
      <c r="B83" s="52"/>
      <c r="C83" s="52"/>
      <c r="D83" s="366">
        <f>'Budget with Assumptions'!J83</f>
        <v>0</v>
      </c>
      <c r="E83" s="901"/>
      <c r="F83" s="366">
        <f>'Budget with Assumptions'!L83</f>
        <v>1812.5</v>
      </c>
      <c r="G83" s="901"/>
      <c r="H83" s="366">
        <f>'Budget with Assumptions'!N83</f>
        <v>677.5</v>
      </c>
      <c r="I83" s="901"/>
      <c r="J83" s="366">
        <f>'Budget with Assumptions'!P83</f>
        <v>531.25</v>
      </c>
      <c r="K83" s="902"/>
      <c r="L83" s="366">
        <f>'Budget with Assumptions'!R83</f>
        <v>0</v>
      </c>
      <c r="M83" s="890"/>
      <c r="N83" s="366">
        <f>'Budget with Assumptions'!T83</f>
        <v>0</v>
      </c>
      <c r="O83"/>
      <c r="P83" s="916">
        <f t="shared" si="15"/>
        <v>0.001128221196661877</v>
      </c>
      <c r="Q83" s="916">
        <f t="shared" si="16"/>
        <v>0.00032498082336087026</v>
      </c>
      <c r="R83" s="916">
        <f t="shared" si="17"/>
        <v>0.000204486294243327</v>
      </c>
      <c r="S83" s="916">
        <f t="shared" si="18"/>
        <v>0</v>
      </c>
      <c r="T83" s="916">
        <f t="shared" si="19"/>
        <v>0</v>
      </c>
      <c r="U83"/>
      <c r="V83" s="925">
        <f t="shared" si="20"/>
        <v>18.125</v>
      </c>
      <c r="W83" s="925">
        <f t="shared" si="21"/>
        <v>3.8714285714285714</v>
      </c>
      <c r="X83" s="925">
        <f t="shared" si="22"/>
        <v>2.125</v>
      </c>
      <c r="Y83" s="925">
        <f t="shared" si="23"/>
        <v>0</v>
      </c>
      <c r="Z83" s="925">
        <f t="shared" si="24"/>
        <v>0</v>
      </c>
      <c r="AA83"/>
      <c r="AB83"/>
      <c r="AC83"/>
      <c r="AD83"/>
      <c r="AE83"/>
    </row>
    <row r="84" spans="1:31" ht="15.75">
      <c r="A84" s="713" t="str">
        <f>'Budget with Assumptions'!A84</f>
        <v>Professional Development</v>
      </c>
      <c r="B84" s="52"/>
      <c r="C84" s="52"/>
      <c r="D84" s="366">
        <f>'Budget with Assumptions'!J84</f>
        <v>0</v>
      </c>
      <c r="E84" s="901"/>
      <c r="F84" s="366">
        <f>'Budget with Assumptions'!L84</f>
        <v>7250</v>
      </c>
      <c r="G84" s="901"/>
      <c r="H84" s="366">
        <f>'Budget with Assumptions'!N84</f>
        <v>9960</v>
      </c>
      <c r="I84" s="901"/>
      <c r="J84" s="366">
        <f>'Budget with Assumptions'!P84</f>
        <v>12085</v>
      </c>
      <c r="K84" s="902"/>
      <c r="L84" s="366">
        <f>'Budget with Assumptions'!R84</f>
        <v>12085</v>
      </c>
      <c r="M84" s="890"/>
      <c r="N84" s="366">
        <f>'Budget with Assumptions'!T84</f>
        <v>12085</v>
      </c>
      <c r="O84"/>
      <c r="P84" s="916">
        <f t="shared" si="15"/>
        <v>0.004512884786647508</v>
      </c>
      <c r="Q84" s="916">
        <f t="shared" si="16"/>
        <v>0.004777577860773827</v>
      </c>
      <c r="R84" s="916">
        <f t="shared" si="17"/>
        <v>0.004651702335869377</v>
      </c>
      <c r="S84" s="916">
        <f t="shared" si="18"/>
        <v>0.004580453111114036</v>
      </c>
      <c r="T84" s="916">
        <f t="shared" si="19"/>
        <v>0.004507684534611101</v>
      </c>
      <c r="U84"/>
      <c r="V84" s="925">
        <f t="shared" si="20"/>
        <v>72.5</v>
      </c>
      <c r="W84" s="925">
        <f t="shared" si="21"/>
        <v>56.91428571428571</v>
      </c>
      <c r="X84" s="925">
        <f t="shared" si="22"/>
        <v>48.34</v>
      </c>
      <c r="Y84" s="925">
        <f t="shared" si="23"/>
        <v>48.34</v>
      </c>
      <c r="Z84" s="925">
        <f t="shared" si="24"/>
        <v>48.34</v>
      </c>
      <c r="AA84"/>
      <c r="AB84"/>
      <c r="AC84"/>
      <c r="AD84"/>
      <c r="AE84"/>
    </row>
    <row r="85" spans="1:31" ht="15.75">
      <c r="A85" s="713" t="str">
        <f>'Budget with Assumptions'!A85</f>
        <v>Staff Appreciation</v>
      </c>
      <c r="B85" s="52"/>
      <c r="C85" s="52"/>
      <c r="D85" s="366">
        <f>'Budget with Assumptions'!J85</f>
        <v>0</v>
      </c>
      <c r="E85" s="901"/>
      <c r="F85" s="366">
        <f>'Budget with Assumptions'!L85</f>
        <v>72.5</v>
      </c>
      <c r="G85" s="901"/>
      <c r="H85" s="366">
        <f>'Budget with Assumptions'!N85</f>
        <v>99.60000000000001</v>
      </c>
      <c r="I85" s="901"/>
      <c r="J85" s="366">
        <f>'Budget with Assumptions'!P85</f>
        <v>120.85000000000001</v>
      </c>
      <c r="K85" s="902"/>
      <c r="L85" s="366">
        <f>'Budget with Assumptions'!R85</f>
        <v>120.85000000000001</v>
      </c>
      <c r="M85" s="890"/>
      <c r="N85" s="366">
        <f>'Budget with Assumptions'!T85</f>
        <v>120.85000000000001</v>
      </c>
      <c r="O85"/>
      <c r="P85" s="916">
        <f t="shared" si="15"/>
        <v>4.512884786647509E-05</v>
      </c>
      <c r="Q85" s="916">
        <f t="shared" si="16"/>
        <v>4.777577860773827E-05</v>
      </c>
      <c r="R85" s="916">
        <f t="shared" si="17"/>
        <v>4.651702335869378E-05</v>
      </c>
      <c r="S85" s="916">
        <f t="shared" si="18"/>
        <v>4.580453111114037E-05</v>
      </c>
      <c r="T85" s="916">
        <f t="shared" si="19"/>
        <v>4.507684534611101E-05</v>
      </c>
      <c r="U85"/>
      <c r="V85" s="925">
        <f t="shared" si="20"/>
        <v>0.725</v>
      </c>
      <c r="W85" s="925">
        <f t="shared" si="21"/>
        <v>0.5691428571428572</v>
      </c>
      <c r="X85" s="925">
        <f t="shared" si="22"/>
        <v>0.48340000000000005</v>
      </c>
      <c r="Y85" s="925">
        <f t="shared" si="23"/>
        <v>0.48340000000000005</v>
      </c>
      <c r="Z85" s="925">
        <f t="shared" si="24"/>
        <v>0.48340000000000005</v>
      </c>
      <c r="AA85"/>
      <c r="AB85"/>
      <c r="AC85"/>
      <c r="AD85"/>
      <c r="AE85"/>
    </row>
    <row r="86" spans="1:31" ht="15.75">
      <c r="A86" s="713" t="str">
        <f>'Budget with Assumptions'!A86</f>
        <v>Substitute Teachers (Contractual)</v>
      </c>
      <c r="B86" s="52"/>
      <c r="C86" s="52"/>
      <c r="D86" s="366">
        <f>'Budget with Assumptions'!J86</f>
        <v>0</v>
      </c>
      <c r="E86" s="901"/>
      <c r="F86" s="366">
        <f>'Budget with Assumptions'!L86</f>
        <v>14227</v>
      </c>
      <c r="G86" s="901"/>
      <c r="H86" s="366">
        <f>'Budget with Assumptions'!N86</f>
        <v>19464.94</v>
      </c>
      <c r="I86" s="901"/>
      <c r="J86" s="366">
        <f>'Budget with Assumptions'!P86</f>
        <v>23947.6957</v>
      </c>
      <c r="K86" s="902"/>
      <c r="L86" s="366">
        <f>'Budget with Assumptions'!R86</f>
        <v>24666.126571</v>
      </c>
      <c r="M86" s="890"/>
      <c r="N86" s="366">
        <f>'Budget with Assumptions'!T86</f>
        <v>25406.11036813001</v>
      </c>
      <c r="O86"/>
      <c r="P86" s="916">
        <f t="shared" si="15"/>
        <v>0.008855836118570222</v>
      </c>
      <c r="Q86" s="916">
        <f t="shared" si="16"/>
        <v>0.009336874137077398</v>
      </c>
      <c r="R86" s="916">
        <f t="shared" si="17"/>
        <v>0.00921783632820679</v>
      </c>
      <c r="S86" s="916">
        <f t="shared" si="18"/>
        <v>0.009348947967833641</v>
      </c>
      <c r="T86" s="916">
        <f t="shared" si="19"/>
        <v>0.009476436143238922</v>
      </c>
      <c r="U86"/>
      <c r="V86" s="925">
        <f t="shared" si="20"/>
        <v>142.27</v>
      </c>
      <c r="W86" s="925">
        <f t="shared" si="21"/>
        <v>111.22822857142856</v>
      </c>
      <c r="X86" s="925">
        <f t="shared" si="22"/>
        <v>95.7907828</v>
      </c>
      <c r="Y86" s="925">
        <f t="shared" si="23"/>
        <v>98.664506284</v>
      </c>
      <c r="Z86" s="925">
        <f t="shared" si="24"/>
        <v>101.62444147252003</v>
      </c>
      <c r="AA86"/>
      <c r="AB86"/>
      <c r="AC86"/>
      <c r="AD86"/>
      <c r="AE86"/>
    </row>
    <row r="87" spans="1:31" ht="15.75">
      <c r="A87" s="713">
        <f>'Budget with Assumptions'!A87</f>
        <v>0</v>
      </c>
      <c r="B87" s="52"/>
      <c r="C87" s="52"/>
      <c r="D87" s="366">
        <f>'Budget with Assumptions'!J87</f>
        <v>0</v>
      </c>
      <c r="E87" s="901"/>
      <c r="F87" s="366">
        <f>'Budget with Assumptions'!L87</f>
        <v>0</v>
      </c>
      <c r="G87" s="901"/>
      <c r="H87" s="366">
        <f>'Budget with Assumptions'!N87</f>
        <v>0</v>
      </c>
      <c r="I87" s="901"/>
      <c r="J87" s="366">
        <f>'Budget with Assumptions'!P87</f>
        <v>0</v>
      </c>
      <c r="K87" s="902"/>
      <c r="L87" s="366">
        <f>'Budget with Assumptions'!R87</f>
        <v>0</v>
      </c>
      <c r="M87" s="890"/>
      <c r="N87" s="366">
        <f>'Budget with Assumptions'!T87</f>
        <v>0</v>
      </c>
      <c r="O87"/>
      <c r="P87" s="916">
        <f t="shared" si="15"/>
        <v>0</v>
      </c>
      <c r="Q87" s="916">
        <f t="shared" si="16"/>
        <v>0</v>
      </c>
      <c r="R87" s="916">
        <f t="shared" si="17"/>
        <v>0</v>
      </c>
      <c r="S87" s="916">
        <f t="shared" si="18"/>
        <v>0</v>
      </c>
      <c r="T87" s="916">
        <f t="shared" si="19"/>
        <v>0</v>
      </c>
      <c r="U87"/>
      <c r="V87" s="925">
        <f t="shared" si="20"/>
        <v>0</v>
      </c>
      <c r="W87" s="925">
        <f t="shared" si="21"/>
        <v>0</v>
      </c>
      <c r="X87" s="925">
        <f t="shared" si="22"/>
        <v>0</v>
      </c>
      <c r="Y87" s="925">
        <f t="shared" si="23"/>
        <v>0</v>
      </c>
      <c r="Z87" s="925">
        <f t="shared" si="24"/>
        <v>0</v>
      </c>
      <c r="AA87"/>
      <c r="AB87"/>
      <c r="AC87"/>
      <c r="AD87"/>
      <c r="AE87"/>
    </row>
    <row r="88" spans="1:31" ht="15.75">
      <c r="A88" s="713">
        <f>'Budget with Assumptions'!A88</f>
        <v>0</v>
      </c>
      <c r="B88" s="52"/>
      <c r="C88" s="52"/>
      <c r="D88" s="366">
        <f>'Budget with Assumptions'!J88</f>
        <v>0</v>
      </c>
      <c r="E88" s="901"/>
      <c r="F88" s="366">
        <f>'Budget with Assumptions'!L88</f>
        <v>0</v>
      </c>
      <c r="G88" s="901"/>
      <c r="H88" s="366">
        <f>'Budget with Assumptions'!N88</f>
        <v>0</v>
      </c>
      <c r="I88" s="901"/>
      <c r="J88" s="366">
        <f>'Budget with Assumptions'!P88</f>
        <v>0</v>
      </c>
      <c r="K88" s="902"/>
      <c r="L88" s="366">
        <f>'Budget with Assumptions'!R88</f>
        <v>0</v>
      </c>
      <c r="M88" s="890"/>
      <c r="N88" s="366">
        <f>'Budget with Assumptions'!T88</f>
        <v>0</v>
      </c>
      <c r="O88"/>
      <c r="P88" s="916">
        <f t="shared" si="15"/>
        <v>0</v>
      </c>
      <c r="Q88" s="916">
        <f t="shared" si="16"/>
        <v>0</v>
      </c>
      <c r="R88" s="916">
        <f t="shared" si="17"/>
        <v>0</v>
      </c>
      <c r="S88" s="916">
        <f t="shared" si="18"/>
        <v>0</v>
      </c>
      <c r="T88" s="916">
        <f t="shared" si="19"/>
        <v>0</v>
      </c>
      <c r="U88"/>
      <c r="V88" s="925">
        <f t="shared" si="20"/>
        <v>0</v>
      </c>
      <c r="W88" s="925">
        <f t="shared" si="21"/>
        <v>0</v>
      </c>
      <c r="X88" s="925">
        <f t="shared" si="22"/>
        <v>0</v>
      </c>
      <c r="Y88" s="925">
        <f t="shared" si="23"/>
        <v>0</v>
      </c>
      <c r="Z88" s="925">
        <f t="shared" si="24"/>
        <v>0</v>
      </c>
      <c r="AA88"/>
      <c r="AB88"/>
      <c r="AC88"/>
      <c r="AD88"/>
      <c r="AE88"/>
    </row>
    <row r="89" spans="1:31" ht="15.75">
      <c r="A89" s="713">
        <f>'Budget with Assumptions'!A89</f>
        <v>0</v>
      </c>
      <c r="B89" s="52"/>
      <c r="C89" s="52"/>
      <c r="D89" s="366">
        <f>'Budget with Assumptions'!J89</f>
        <v>0</v>
      </c>
      <c r="E89" s="901"/>
      <c r="F89" s="366">
        <f>'Budget with Assumptions'!L89</f>
        <v>0</v>
      </c>
      <c r="G89" s="901"/>
      <c r="H89" s="366">
        <f>'Budget with Assumptions'!N89</f>
        <v>0</v>
      </c>
      <c r="I89" s="901"/>
      <c r="J89" s="366">
        <f>'Budget with Assumptions'!P89</f>
        <v>0</v>
      </c>
      <c r="K89" s="902"/>
      <c r="L89" s="366">
        <f>'Budget with Assumptions'!R89</f>
        <v>0</v>
      </c>
      <c r="M89" s="890"/>
      <c r="N89" s="366">
        <f>'Budget with Assumptions'!T89</f>
        <v>0</v>
      </c>
      <c r="O89"/>
      <c r="P89" s="916">
        <f t="shared" si="15"/>
        <v>0</v>
      </c>
      <c r="Q89" s="916">
        <f t="shared" si="16"/>
        <v>0</v>
      </c>
      <c r="R89" s="916">
        <f t="shared" si="17"/>
        <v>0</v>
      </c>
      <c r="S89" s="916">
        <f t="shared" si="18"/>
        <v>0</v>
      </c>
      <c r="T89" s="916">
        <f t="shared" si="19"/>
        <v>0</v>
      </c>
      <c r="U89"/>
      <c r="V89" s="925">
        <f t="shared" si="20"/>
        <v>0</v>
      </c>
      <c r="W89" s="925">
        <f t="shared" si="21"/>
        <v>0</v>
      </c>
      <c r="X89" s="925">
        <f t="shared" si="22"/>
        <v>0</v>
      </c>
      <c r="Y89" s="925">
        <f t="shared" si="23"/>
        <v>0</v>
      </c>
      <c r="Z89" s="925">
        <f t="shared" si="24"/>
        <v>0</v>
      </c>
      <c r="AA89"/>
      <c r="AB89"/>
      <c r="AC89"/>
      <c r="AD89"/>
      <c r="AE89"/>
    </row>
    <row r="90" spans="1:31" ht="15.75">
      <c r="A90" s="713">
        <f>'Budget with Assumptions'!A90</f>
        <v>0</v>
      </c>
      <c r="B90" s="52"/>
      <c r="C90" s="52"/>
      <c r="D90" s="366">
        <f>'Budget with Assumptions'!J90</f>
        <v>0</v>
      </c>
      <c r="E90" s="901"/>
      <c r="F90" s="366">
        <f>'Budget with Assumptions'!L90</f>
        <v>0</v>
      </c>
      <c r="G90" s="901"/>
      <c r="H90" s="366">
        <f>'Budget with Assumptions'!N90</f>
        <v>0</v>
      </c>
      <c r="I90" s="901"/>
      <c r="J90" s="366">
        <f>'Budget with Assumptions'!P90</f>
        <v>0</v>
      </c>
      <c r="K90" s="902"/>
      <c r="L90" s="366">
        <f>'Budget with Assumptions'!R90</f>
        <v>0</v>
      </c>
      <c r="M90" s="890"/>
      <c r="N90" s="366">
        <f>'Budget with Assumptions'!T90</f>
        <v>0</v>
      </c>
      <c r="O90"/>
      <c r="P90" s="916">
        <f t="shared" si="15"/>
        <v>0</v>
      </c>
      <c r="Q90" s="916">
        <f t="shared" si="16"/>
        <v>0</v>
      </c>
      <c r="R90" s="916">
        <f t="shared" si="17"/>
        <v>0</v>
      </c>
      <c r="S90" s="916">
        <f t="shared" si="18"/>
        <v>0</v>
      </c>
      <c r="T90" s="916">
        <f t="shared" si="19"/>
        <v>0</v>
      </c>
      <c r="U90"/>
      <c r="V90" s="925">
        <f t="shared" si="20"/>
        <v>0</v>
      </c>
      <c r="W90" s="925">
        <f t="shared" si="21"/>
        <v>0</v>
      </c>
      <c r="X90" s="925">
        <f t="shared" si="22"/>
        <v>0</v>
      </c>
      <c r="Y90" s="925">
        <f t="shared" si="23"/>
        <v>0</v>
      </c>
      <c r="Z90" s="925">
        <f t="shared" si="24"/>
        <v>0</v>
      </c>
      <c r="AA90"/>
      <c r="AB90"/>
      <c r="AC90"/>
      <c r="AD90"/>
      <c r="AE90"/>
    </row>
    <row r="91" spans="2:31" ht="16.5" thickBot="1">
      <c r="B91" s="52"/>
      <c r="C91" s="52"/>
      <c r="D91" s="908"/>
      <c r="E91" s="901"/>
      <c r="F91" s="908"/>
      <c r="G91" s="901"/>
      <c r="H91" s="908"/>
      <c r="I91" s="901"/>
      <c r="J91" s="908"/>
      <c r="K91" s="902"/>
      <c r="L91" s="882"/>
      <c r="M91" s="890"/>
      <c r="N91" s="882"/>
      <c r="O91"/>
      <c r="P91" s="917"/>
      <c r="Q91" s="917"/>
      <c r="R91" s="917"/>
      <c r="S91" s="917"/>
      <c r="T91" s="917"/>
      <c r="U91"/>
      <c r="V91" s="741"/>
      <c r="W91" s="741"/>
      <c r="X91" s="741"/>
      <c r="Y91" s="741"/>
      <c r="Z91" s="741"/>
      <c r="AA91"/>
      <c r="AB91"/>
      <c r="AC91"/>
      <c r="AD91"/>
      <c r="AE91"/>
    </row>
    <row r="92" spans="1:31" ht="16.5" thickBot="1">
      <c r="A92" s="385" t="str">
        <f>'Budget with Assumptions'!H92</f>
        <v>Total Personnel Costs</v>
      </c>
      <c r="B92" s="42"/>
      <c r="C92" s="42"/>
      <c r="D92" s="486">
        <f>SUM(D69:D90)</f>
        <v>48711.625</v>
      </c>
      <c r="E92" s="362"/>
      <c r="F92" s="486">
        <f>SUM(F69:F90)</f>
        <v>959142.9249999999</v>
      </c>
      <c r="G92" s="362"/>
      <c r="H92" s="486">
        <f>SUM(H69:H90)</f>
        <v>1310508.4685</v>
      </c>
      <c r="I92" s="362"/>
      <c r="J92" s="486">
        <f>SUM(J69:J90)</f>
        <v>1611844.4803674999</v>
      </c>
      <c r="K92" s="363"/>
      <c r="L92" s="486">
        <f>SUM(L69:L90)</f>
        <v>1659286.4517785253</v>
      </c>
      <c r="M92" s="875"/>
      <c r="N92" s="486">
        <f>SUM(N69:N90)</f>
        <v>1708698.8698318815</v>
      </c>
      <c r="O92"/>
      <c r="P92" s="707">
        <f>SUM(P69:P90)</f>
        <v>0.5970346916487023</v>
      </c>
      <c r="Q92" s="707">
        <f>SUM(Q69:Q90)</f>
        <v>0.6286201049660857</v>
      </c>
      <c r="R92" s="707">
        <f>SUM(R69:R90)</f>
        <v>0.6204237264694799</v>
      </c>
      <c r="S92" s="707">
        <f>SUM(S69:S90)</f>
        <v>0.6289022581943164</v>
      </c>
      <c r="T92" s="707">
        <f>SUM(T69:T90)</f>
        <v>0.6373417848447364</v>
      </c>
      <c r="U92"/>
      <c r="V92" s="709">
        <f>SUM(V69:V90)</f>
        <v>9591.42925</v>
      </c>
      <c r="W92" s="709">
        <f>SUM(W69:W90)</f>
        <v>7488.619820000001</v>
      </c>
      <c r="X92" s="709">
        <f>SUM(X69:X90)</f>
        <v>6447.377921469999</v>
      </c>
      <c r="Y92" s="709">
        <f>SUM(Y69:Y90)</f>
        <v>6637.1458071141005</v>
      </c>
      <c r="Z92" s="709">
        <f>SUM(Z69:Z90)</f>
        <v>6834.795479327525</v>
      </c>
      <c r="AA92"/>
      <c r="AB92"/>
      <c r="AC92"/>
      <c r="AD92"/>
      <c r="AE92"/>
    </row>
    <row r="93" spans="1:31" ht="16.5" thickBot="1">
      <c r="A93" s="49"/>
      <c r="B93" s="38"/>
      <c r="C93" s="38"/>
      <c r="D93" s="741"/>
      <c r="E93" s="741"/>
      <c r="F93" s="741"/>
      <c r="G93" s="741"/>
      <c r="H93" s="741"/>
      <c r="I93" s="741"/>
      <c r="J93" s="741"/>
      <c r="K93" s="876"/>
      <c r="L93" s="741"/>
      <c r="M93" s="876"/>
      <c r="N93" s="741"/>
      <c r="P93" s="917"/>
      <c r="Q93" s="917"/>
      <c r="R93" s="917"/>
      <c r="S93" s="917"/>
      <c r="T93" s="917"/>
      <c r="V93" s="741"/>
      <c r="W93" s="741"/>
      <c r="X93" s="741"/>
      <c r="Y93" s="741"/>
      <c r="Z93" s="741"/>
      <c r="AA93"/>
      <c r="AB93"/>
      <c r="AC93"/>
      <c r="AD93"/>
      <c r="AE93"/>
    </row>
    <row r="94" spans="1:31" ht="18.75" thickBot="1">
      <c r="A94" s="705" t="s">
        <v>175</v>
      </c>
      <c r="B94" s="50"/>
      <c r="C94" s="50"/>
      <c r="D94" s="907"/>
      <c r="E94" s="901"/>
      <c r="F94" s="907"/>
      <c r="G94" s="901"/>
      <c r="H94" s="907"/>
      <c r="I94" s="901"/>
      <c r="J94" s="907"/>
      <c r="K94" s="902"/>
      <c r="L94" s="68"/>
      <c r="M94" s="890"/>
      <c r="N94" s="68"/>
      <c r="O94"/>
      <c r="P94" s="917"/>
      <c r="Q94" s="917"/>
      <c r="R94" s="917"/>
      <c r="S94" s="917"/>
      <c r="T94" s="917"/>
      <c r="U94"/>
      <c r="V94" s="741"/>
      <c r="W94" s="741"/>
      <c r="X94" s="741"/>
      <c r="Y94" s="741"/>
      <c r="Z94" s="741"/>
      <c r="AA94"/>
      <c r="AB94"/>
      <c r="AC94"/>
      <c r="AD94"/>
      <c r="AE94"/>
    </row>
    <row r="95" spans="1:31" ht="15.75">
      <c r="A95" s="713" t="str">
        <f>'Budget with Assumptions'!A95</f>
        <v>Office Supplies</v>
      </c>
      <c r="B95" s="38"/>
      <c r="C95" s="38"/>
      <c r="D95" s="366">
        <f>'Budget with Assumptions'!J95</f>
        <v>0</v>
      </c>
      <c r="E95" s="901"/>
      <c r="F95" s="366">
        <f>'Budget with Assumptions'!L95</f>
        <v>500</v>
      </c>
      <c r="G95" s="901"/>
      <c r="H95" s="366">
        <f>'Budget with Assumptions'!N95</f>
        <v>500</v>
      </c>
      <c r="I95" s="901"/>
      <c r="J95" s="366">
        <f>'Budget with Assumptions'!P95</f>
        <v>500</v>
      </c>
      <c r="K95" s="902"/>
      <c r="L95" s="366">
        <f>'Budget with Assumptions'!R95</f>
        <v>500</v>
      </c>
      <c r="M95" s="890"/>
      <c r="N95" s="366">
        <f>'Budget with Assumptions'!T95</f>
        <v>500</v>
      </c>
      <c r="O95"/>
      <c r="P95" s="916">
        <f aca="true" t="shared" si="25" ref="P95:P114">F95/$F$159</f>
        <v>0.00031123343356189717</v>
      </c>
      <c r="Q95" s="916">
        <f aca="true" t="shared" si="26" ref="Q95:Q114">H95/$H$159</f>
        <v>0.00023983824602278247</v>
      </c>
      <c r="R95" s="916">
        <f aca="true" t="shared" si="27" ref="R95:R114">J95/$J$159</f>
        <v>0.0001924576886996019</v>
      </c>
      <c r="S95" s="916">
        <f aca="true" t="shared" si="28" ref="S95:S114">L95/$L$159</f>
        <v>0.00018950985151485462</v>
      </c>
      <c r="T95" s="916">
        <f aca="true" t="shared" si="29" ref="T95:T114">N95/$N$159</f>
        <v>0.00018649915327311132</v>
      </c>
      <c r="U95"/>
      <c r="V95" s="925">
        <f>F95/$F$178</f>
        <v>5</v>
      </c>
      <c r="W95" s="925">
        <f>H95/$H$178</f>
        <v>2.857142857142857</v>
      </c>
      <c r="X95" s="925">
        <f>J95/$J$178</f>
        <v>2</v>
      </c>
      <c r="Y95" s="925">
        <f>L95/$L$178</f>
        <v>2</v>
      </c>
      <c r="Z95" s="925">
        <f>N95/$N$178</f>
        <v>2</v>
      </c>
      <c r="AA95"/>
      <c r="AB95"/>
      <c r="AC95"/>
      <c r="AD95"/>
      <c r="AE95"/>
    </row>
    <row r="96" spans="1:31" ht="15.75">
      <c r="A96" s="713" t="str">
        <f>'Budget with Assumptions'!A96</f>
        <v>Furniture</v>
      </c>
      <c r="B96" s="42"/>
      <c r="C96" s="42"/>
      <c r="D96" s="366">
        <f>'Budget with Assumptions'!J96</f>
        <v>5000</v>
      </c>
      <c r="E96" s="901"/>
      <c r="F96" s="366">
        <f>'Budget with Assumptions'!L96</f>
        <v>5000</v>
      </c>
      <c r="G96" s="901"/>
      <c r="H96" s="366">
        <f>'Budget with Assumptions'!N96</f>
        <v>0</v>
      </c>
      <c r="I96" s="901"/>
      <c r="J96" s="366">
        <f>'Budget with Assumptions'!P96</f>
        <v>5000</v>
      </c>
      <c r="K96" s="902"/>
      <c r="L96" s="366">
        <f>'Budget with Assumptions'!R96</f>
        <v>5000</v>
      </c>
      <c r="M96" s="890"/>
      <c r="N96" s="366">
        <f>'Budget with Assumptions'!T96</f>
        <v>0</v>
      </c>
      <c r="O96"/>
      <c r="P96" s="916">
        <f t="shared" si="25"/>
        <v>0.0031123343356189714</v>
      </c>
      <c r="Q96" s="916">
        <f t="shared" si="26"/>
        <v>0</v>
      </c>
      <c r="R96" s="916">
        <f t="shared" si="27"/>
        <v>0.0019245768869960188</v>
      </c>
      <c r="S96" s="916">
        <f t="shared" si="28"/>
        <v>0.0018950985151485462</v>
      </c>
      <c r="T96" s="916">
        <f t="shared" si="29"/>
        <v>0</v>
      </c>
      <c r="U96"/>
      <c r="V96" s="925">
        <f aca="true" t="shared" si="30" ref="V96:V114">F96/$F$178</f>
        <v>50</v>
      </c>
      <c r="W96" s="925">
        <f aca="true" t="shared" si="31" ref="W96:W114">H96/$H$178</f>
        <v>0</v>
      </c>
      <c r="X96" s="925">
        <f aca="true" t="shared" si="32" ref="X96:X114">J96/$J$178</f>
        <v>20</v>
      </c>
      <c r="Y96" s="925">
        <f aca="true" t="shared" si="33" ref="Y96:Y114">L96/$L$178</f>
        <v>20</v>
      </c>
      <c r="Z96" s="925">
        <f aca="true" t="shared" si="34" ref="Z96:Z114">N96/$N$178</f>
        <v>0</v>
      </c>
      <c r="AA96"/>
      <c r="AB96"/>
      <c r="AC96"/>
      <c r="AD96"/>
      <c r="AE96"/>
    </row>
    <row r="97" spans="1:31" ht="15.75">
      <c r="A97" s="713" t="str">
        <f>'Budget with Assumptions'!A97</f>
        <v>Telecommunications and Internet</v>
      </c>
      <c r="B97" s="42"/>
      <c r="C97" s="42"/>
      <c r="D97" s="366">
        <f>'Budget with Assumptions'!J97</f>
        <v>3000</v>
      </c>
      <c r="E97" s="901"/>
      <c r="F97" s="366">
        <f>'Budget with Assumptions'!L97</f>
        <v>12000</v>
      </c>
      <c r="G97" s="901"/>
      <c r="H97" s="366">
        <f>'Budget with Assumptions'!N97</f>
        <v>12000</v>
      </c>
      <c r="I97" s="901"/>
      <c r="J97" s="366">
        <f>'Budget with Assumptions'!P97</f>
        <v>12000</v>
      </c>
      <c r="K97" s="902"/>
      <c r="L97" s="366">
        <f>'Budget with Assumptions'!R97</f>
        <v>12000</v>
      </c>
      <c r="M97" s="890"/>
      <c r="N97" s="366">
        <f>'Budget with Assumptions'!T97</f>
        <v>12000</v>
      </c>
      <c r="O97"/>
      <c r="P97" s="916">
        <f t="shared" si="25"/>
        <v>0.007469602405485532</v>
      </c>
      <c r="Q97" s="916">
        <f t="shared" si="26"/>
        <v>0.005756117904546779</v>
      </c>
      <c r="R97" s="916">
        <f t="shared" si="27"/>
        <v>0.004618984528790445</v>
      </c>
      <c r="S97" s="916">
        <f t="shared" si="28"/>
        <v>0.0045482364363565115</v>
      </c>
      <c r="T97" s="916">
        <f t="shared" si="29"/>
        <v>0.004475979678554672</v>
      </c>
      <c r="U97"/>
      <c r="V97" s="925">
        <f t="shared" si="30"/>
        <v>120</v>
      </c>
      <c r="W97" s="925">
        <f t="shared" si="31"/>
        <v>68.57142857142857</v>
      </c>
      <c r="X97" s="925">
        <f t="shared" si="32"/>
        <v>48</v>
      </c>
      <c r="Y97" s="925">
        <f t="shared" si="33"/>
        <v>48</v>
      </c>
      <c r="Z97" s="925">
        <f t="shared" si="34"/>
        <v>48</v>
      </c>
      <c r="AA97"/>
      <c r="AB97"/>
      <c r="AC97"/>
      <c r="AD97"/>
      <c r="AE97"/>
    </row>
    <row r="98" spans="1:31" ht="15.75">
      <c r="A98" s="713" t="str">
        <f>'Budget with Assumptions'!A98</f>
        <v>Administrative Equipment</v>
      </c>
      <c r="B98" s="42"/>
      <c r="C98" s="42"/>
      <c r="D98" s="366">
        <f>'Budget with Assumptions'!J98</f>
        <v>0</v>
      </c>
      <c r="E98" s="901"/>
      <c r="F98" s="366">
        <f>'Budget with Assumptions'!L98</f>
        <v>10000</v>
      </c>
      <c r="G98" s="901"/>
      <c r="H98" s="366">
        <f>'Budget with Assumptions'!N98</f>
        <v>0</v>
      </c>
      <c r="I98" s="901"/>
      <c r="J98" s="366">
        <f>'Budget with Assumptions'!P98</f>
        <v>5000</v>
      </c>
      <c r="K98" s="902"/>
      <c r="L98" s="366">
        <f>'Budget with Assumptions'!R98</f>
        <v>10000</v>
      </c>
      <c r="M98" s="890"/>
      <c r="N98" s="366">
        <f>'Budget with Assumptions'!T98</f>
        <v>0</v>
      </c>
      <c r="O98"/>
      <c r="P98" s="916">
        <f t="shared" si="25"/>
        <v>0.006224668671237943</v>
      </c>
      <c r="Q98" s="916">
        <f t="shared" si="26"/>
        <v>0</v>
      </c>
      <c r="R98" s="916">
        <f t="shared" si="27"/>
        <v>0.0019245768869960188</v>
      </c>
      <c r="S98" s="916">
        <f t="shared" si="28"/>
        <v>0.0037901970302970924</v>
      </c>
      <c r="T98" s="916">
        <f t="shared" si="29"/>
        <v>0</v>
      </c>
      <c r="U98"/>
      <c r="V98" s="925">
        <f t="shared" si="30"/>
        <v>100</v>
      </c>
      <c r="W98" s="925">
        <f t="shared" si="31"/>
        <v>0</v>
      </c>
      <c r="X98" s="925">
        <f t="shared" si="32"/>
        <v>20</v>
      </c>
      <c r="Y98" s="925">
        <f t="shared" si="33"/>
        <v>40</v>
      </c>
      <c r="Z98" s="925">
        <f t="shared" si="34"/>
        <v>0</v>
      </c>
      <c r="AA98"/>
      <c r="AB98"/>
      <c r="AC98"/>
      <c r="AD98"/>
      <c r="AE98"/>
    </row>
    <row r="99" spans="1:31" ht="15.75">
      <c r="A99" s="713" t="str">
        <f>'Budget with Assumptions'!A99</f>
        <v>Accounting &amp; Audit (Contractual)</v>
      </c>
      <c r="B99" s="42"/>
      <c r="C99" s="42"/>
      <c r="D99" s="366">
        <f>'Budget with Assumptions'!J99</f>
        <v>0</v>
      </c>
      <c r="E99" s="901"/>
      <c r="F99" s="366">
        <f>'Budget with Assumptions'!L99</f>
        <v>30000</v>
      </c>
      <c r="G99" s="901"/>
      <c r="H99" s="366">
        <f>'Budget with Assumptions'!N99</f>
        <v>30900</v>
      </c>
      <c r="I99" s="901"/>
      <c r="J99" s="366">
        <f>'Budget with Assumptions'!P99</f>
        <v>31827</v>
      </c>
      <c r="K99" s="902"/>
      <c r="L99" s="366">
        <f>'Budget with Assumptions'!R99</f>
        <v>32781.81</v>
      </c>
      <c r="M99" s="890"/>
      <c r="N99" s="366">
        <f>'Budget with Assumptions'!T99</f>
        <v>33765.264299999995</v>
      </c>
      <c r="O99"/>
      <c r="P99" s="916">
        <f t="shared" si="25"/>
        <v>0.01867400601371383</v>
      </c>
      <c r="Q99" s="916">
        <f t="shared" si="26"/>
        <v>0.014822003604207956</v>
      </c>
      <c r="R99" s="916">
        <f t="shared" si="27"/>
        <v>0.012250701716484458</v>
      </c>
      <c r="S99" s="916">
        <f t="shared" si="28"/>
        <v>0.012424951890976352</v>
      </c>
      <c r="T99" s="916">
        <f t="shared" si="29"/>
        <v>0.012594386403985627</v>
      </c>
      <c r="U99"/>
      <c r="V99" s="925">
        <f t="shared" si="30"/>
        <v>300</v>
      </c>
      <c r="W99" s="925">
        <f t="shared" si="31"/>
        <v>176.57142857142858</v>
      </c>
      <c r="X99" s="925">
        <f t="shared" si="32"/>
        <v>127.308</v>
      </c>
      <c r="Y99" s="925">
        <f t="shared" si="33"/>
        <v>131.12724</v>
      </c>
      <c r="Z99" s="925">
        <f t="shared" si="34"/>
        <v>135.0610572</v>
      </c>
      <c r="AA99"/>
      <c r="AB99"/>
      <c r="AC99"/>
      <c r="AD99"/>
      <c r="AE99"/>
    </row>
    <row r="100" spans="1:31" ht="15.75">
      <c r="A100" s="713" t="str">
        <f>'Budget with Assumptions'!A100</f>
        <v>Legal (Contractual)</v>
      </c>
      <c r="B100" s="42"/>
      <c r="C100" s="42"/>
      <c r="D100" s="366">
        <f>'Budget with Assumptions'!J100</f>
        <v>0</v>
      </c>
      <c r="E100" s="901"/>
      <c r="F100" s="366">
        <f>'Budget with Assumptions'!L100</f>
        <v>10000</v>
      </c>
      <c r="G100" s="901"/>
      <c r="H100" s="366">
        <f>'Budget with Assumptions'!N100</f>
        <v>10300</v>
      </c>
      <c r="I100" s="901"/>
      <c r="J100" s="366">
        <f>'Budget with Assumptions'!P100</f>
        <v>10609</v>
      </c>
      <c r="K100" s="902"/>
      <c r="L100" s="366">
        <f>'Budget with Assumptions'!R100</f>
        <v>10927.27</v>
      </c>
      <c r="M100" s="890"/>
      <c r="N100" s="366">
        <f>'Budget with Assumptions'!T100</f>
        <v>11255.088099999999</v>
      </c>
      <c r="O100"/>
      <c r="P100" s="916">
        <f t="shared" si="25"/>
        <v>0.006224668671237943</v>
      </c>
      <c r="Q100" s="916">
        <f t="shared" si="26"/>
        <v>0.004940667868069319</v>
      </c>
      <c r="R100" s="916">
        <f t="shared" si="27"/>
        <v>0.004083567238828152</v>
      </c>
      <c r="S100" s="916">
        <f t="shared" si="28"/>
        <v>0.004141650630325451</v>
      </c>
      <c r="T100" s="916">
        <f t="shared" si="29"/>
        <v>0.004198128801328542</v>
      </c>
      <c r="U100"/>
      <c r="V100" s="925">
        <f t="shared" si="30"/>
        <v>100</v>
      </c>
      <c r="W100" s="925">
        <f t="shared" si="31"/>
        <v>58.857142857142854</v>
      </c>
      <c r="X100" s="925">
        <f t="shared" si="32"/>
        <v>42.436</v>
      </c>
      <c r="Y100" s="925">
        <f t="shared" si="33"/>
        <v>43.70908</v>
      </c>
      <c r="Z100" s="925">
        <f t="shared" si="34"/>
        <v>45.02035239999999</v>
      </c>
      <c r="AA100"/>
      <c r="AB100"/>
      <c r="AC100"/>
      <c r="AD100"/>
      <c r="AE100"/>
    </row>
    <row r="101" spans="1:31" ht="15.75">
      <c r="A101" s="713" t="str">
        <f>'Budget with Assumptions'!A101</f>
        <v>Payroll Services (Contractual)</v>
      </c>
      <c r="B101" s="42"/>
      <c r="C101" s="42"/>
      <c r="D101" s="366">
        <f>'Budget with Assumptions'!J101</f>
        <v>0</v>
      </c>
      <c r="E101" s="901"/>
      <c r="F101" s="366">
        <f>'Budget with Assumptions'!L101</f>
        <v>29000</v>
      </c>
      <c r="G101" s="901"/>
      <c r="H101" s="366">
        <f>'Budget with Assumptions'!N101</f>
        <v>41035.200000000004</v>
      </c>
      <c r="I101" s="901"/>
      <c r="J101" s="366">
        <f>'Budget with Assumptions'!P101</f>
        <v>51283.905999999995</v>
      </c>
      <c r="K101" s="902"/>
      <c r="L101" s="366">
        <f>'Budget with Assumptions'!R101</f>
        <v>52822.42318</v>
      </c>
      <c r="M101" s="890"/>
      <c r="N101" s="366">
        <f>'Budget with Assumptions'!T101</f>
        <v>54407.095875399995</v>
      </c>
      <c r="O101"/>
      <c r="P101" s="916">
        <f t="shared" si="25"/>
        <v>0.018051539146590034</v>
      </c>
      <c r="Q101" s="916">
        <f t="shared" si="26"/>
        <v>0.01968362078638817</v>
      </c>
      <c r="R101" s="916">
        <f t="shared" si="27"/>
        <v>0.01973996403249529</v>
      </c>
      <c r="S101" s="916">
        <f t="shared" si="28"/>
        <v>0.02002073914699323</v>
      </c>
      <c r="T101" s="916">
        <f t="shared" si="29"/>
        <v>0.020293754625622173</v>
      </c>
      <c r="U101"/>
      <c r="V101" s="925">
        <f t="shared" si="30"/>
        <v>290</v>
      </c>
      <c r="W101" s="925">
        <f t="shared" si="31"/>
        <v>234.48685714285716</v>
      </c>
      <c r="X101" s="925">
        <f t="shared" si="32"/>
        <v>205.13562399999998</v>
      </c>
      <c r="Y101" s="925">
        <f t="shared" si="33"/>
        <v>211.28969272</v>
      </c>
      <c r="Z101" s="925">
        <f t="shared" si="34"/>
        <v>217.62838350159998</v>
      </c>
      <c r="AA101"/>
      <c r="AB101"/>
      <c r="AC101"/>
      <c r="AD101"/>
      <c r="AE101"/>
    </row>
    <row r="102" spans="1:31" ht="15.75">
      <c r="A102" s="713" t="str">
        <f>'Budget with Assumptions'!A102</f>
        <v>Printing &amp; Copying</v>
      </c>
      <c r="B102" s="42"/>
      <c r="C102" s="42"/>
      <c r="D102" s="366">
        <f>'Budget with Assumptions'!J102</f>
        <v>0</v>
      </c>
      <c r="E102" s="901"/>
      <c r="F102" s="366">
        <f>'Budget with Assumptions'!L102</f>
        <v>10000</v>
      </c>
      <c r="G102" s="901"/>
      <c r="H102" s="366">
        <f>'Budget with Assumptions'!N102</f>
        <v>10000</v>
      </c>
      <c r="I102" s="901"/>
      <c r="J102" s="366">
        <f>'Budget with Assumptions'!P102</f>
        <v>10000</v>
      </c>
      <c r="K102" s="902"/>
      <c r="L102" s="366">
        <f>'Budget with Assumptions'!R102</f>
        <v>10000</v>
      </c>
      <c r="M102" s="890"/>
      <c r="N102" s="366">
        <f>'Budget with Assumptions'!T102</f>
        <v>10000</v>
      </c>
      <c r="O102"/>
      <c r="P102" s="916">
        <f t="shared" si="25"/>
        <v>0.006224668671237943</v>
      </c>
      <c r="Q102" s="916">
        <f t="shared" si="26"/>
        <v>0.0047967649204556494</v>
      </c>
      <c r="R102" s="916">
        <f t="shared" si="27"/>
        <v>0.0038491537739920377</v>
      </c>
      <c r="S102" s="916">
        <f t="shared" si="28"/>
        <v>0.0037901970302970924</v>
      </c>
      <c r="T102" s="916">
        <f t="shared" si="29"/>
        <v>0.0037299830654622264</v>
      </c>
      <c r="U102"/>
      <c r="V102" s="925">
        <f t="shared" si="30"/>
        <v>100</v>
      </c>
      <c r="W102" s="925">
        <f t="shared" si="31"/>
        <v>57.142857142857146</v>
      </c>
      <c r="X102" s="925">
        <f t="shared" si="32"/>
        <v>40</v>
      </c>
      <c r="Y102" s="925">
        <f t="shared" si="33"/>
        <v>40</v>
      </c>
      <c r="Z102" s="925">
        <f t="shared" si="34"/>
        <v>40</v>
      </c>
      <c r="AA102"/>
      <c r="AB102"/>
      <c r="AC102"/>
      <c r="AD102"/>
      <c r="AE102"/>
    </row>
    <row r="103" spans="1:31" ht="15.75">
      <c r="A103" s="713" t="str">
        <f>'Budget with Assumptions'!A103</f>
        <v>Postage &amp; Shipping</v>
      </c>
      <c r="B103" s="42"/>
      <c r="C103" s="42"/>
      <c r="D103" s="366">
        <f>'Budget with Assumptions'!J103</f>
        <v>0</v>
      </c>
      <c r="E103" s="901"/>
      <c r="F103" s="366">
        <f>'Budget with Assumptions'!L103</f>
        <v>5000</v>
      </c>
      <c r="G103" s="901"/>
      <c r="H103" s="366">
        <f>'Budget with Assumptions'!N103</f>
        <v>5000</v>
      </c>
      <c r="I103" s="901"/>
      <c r="J103" s="366">
        <f>'Budget with Assumptions'!P103</f>
        <v>5000</v>
      </c>
      <c r="K103" s="902"/>
      <c r="L103" s="366">
        <f>'Budget with Assumptions'!R103</f>
        <v>5000</v>
      </c>
      <c r="M103" s="890"/>
      <c r="N103" s="366">
        <f>'Budget with Assumptions'!T103</f>
        <v>5000</v>
      </c>
      <c r="O103"/>
      <c r="P103" s="916">
        <f t="shared" si="25"/>
        <v>0.0031123343356189714</v>
      </c>
      <c r="Q103" s="916">
        <f t="shared" si="26"/>
        <v>0.0023983824602278247</v>
      </c>
      <c r="R103" s="916">
        <f t="shared" si="27"/>
        <v>0.0019245768869960188</v>
      </c>
      <c r="S103" s="916">
        <f t="shared" si="28"/>
        <v>0.0018950985151485462</v>
      </c>
      <c r="T103" s="916">
        <f t="shared" si="29"/>
        <v>0.0018649915327311132</v>
      </c>
      <c r="U103"/>
      <c r="V103" s="925">
        <f t="shared" si="30"/>
        <v>50</v>
      </c>
      <c r="W103" s="925">
        <f t="shared" si="31"/>
        <v>28.571428571428573</v>
      </c>
      <c r="X103" s="925">
        <f t="shared" si="32"/>
        <v>20</v>
      </c>
      <c r="Y103" s="925">
        <f t="shared" si="33"/>
        <v>20</v>
      </c>
      <c r="Z103" s="925">
        <f t="shared" si="34"/>
        <v>20</v>
      </c>
      <c r="AA103"/>
      <c r="AB103"/>
      <c r="AC103"/>
      <c r="AD103"/>
      <c r="AE103"/>
    </row>
    <row r="104" spans="1:31" ht="15.75">
      <c r="A104" s="713" t="str">
        <f>'Budget with Assumptions'!A104</f>
        <v>Other Contractual Services</v>
      </c>
      <c r="B104" s="42"/>
      <c r="C104" s="42"/>
      <c r="D104" s="366">
        <f>'Budget with Assumptions'!J104</f>
        <v>0</v>
      </c>
      <c r="E104" s="901"/>
      <c r="F104" s="366">
        <f>'Budget with Assumptions'!L104</f>
        <v>5000</v>
      </c>
      <c r="G104" s="901"/>
      <c r="H104" s="366">
        <f>'Budget with Assumptions'!N104</f>
        <v>5150</v>
      </c>
      <c r="I104" s="901"/>
      <c r="J104" s="366">
        <f>'Budget with Assumptions'!P104</f>
        <v>5304.5</v>
      </c>
      <c r="K104" s="902"/>
      <c r="L104" s="366">
        <f>'Budget with Assumptions'!R104</f>
        <v>5463.635</v>
      </c>
      <c r="M104" s="890"/>
      <c r="N104" s="366">
        <f>'Budget with Assumptions'!T104</f>
        <v>5627.5440499999995</v>
      </c>
      <c r="O104"/>
      <c r="P104" s="916">
        <f t="shared" si="25"/>
        <v>0.0031123343356189714</v>
      </c>
      <c r="Q104" s="916">
        <f t="shared" si="26"/>
        <v>0.0024703339340346594</v>
      </c>
      <c r="R104" s="916">
        <f t="shared" si="27"/>
        <v>0.002041783619414076</v>
      </c>
      <c r="S104" s="916">
        <f t="shared" si="28"/>
        <v>0.0020708253151627254</v>
      </c>
      <c r="T104" s="916">
        <f t="shared" si="29"/>
        <v>0.002099064400664271</v>
      </c>
      <c r="U104"/>
      <c r="V104" s="925">
        <f t="shared" si="30"/>
        <v>50</v>
      </c>
      <c r="W104" s="925">
        <f t="shared" si="31"/>
        <v>29.428571428571427</v>
      </c>
      <c r="X104" s="925">
        <f t="shared" si="32"/>
        <v>21.218</v>
      </c>
      <c r="Y104" s="925">
        <f t="shared" si="33"/>
        <v>21.85454</v>
      </c>
      <c r="Z104" s="925">
        <f t="shared" si="34"/>
        <v>22.510176199999997</v>
      </c>
      <c r="AA104"/>
      <c r="AB104"/>
      <c r="AC104"/>
      <c r="AD104"/>
      <c r="AE104"/>
    </row>
    <row r="105" spans="1:31" ht="15.75">
      <c r="A105" s="713" t="str">
        <f>'Budget with Assumptions'!A105</f>
        <v>Travel</v>
      </c>
      <c r="B105" s="42"/>
      <c r="C105" s="42"/>
      <c r="D105" s="366">
        <f>'Budget with Assumptions'!J105</f>
        <v>0</v>
      </c>
      <c r="E105" s="901"/>
      <c r="F105" s="366">
        <f>'Budget with Assumptions'!L105</f>
        <v>5000</v>
      </c>
      <c r="G105" s="901"/>
      <c r="H105" s="366">
        <f>'Budget with Assumptions'!N105</f>
        <v>5000</v>
      </c>
      <c r="I105" s="901"/>
      <c r="J105" s="366">
        <f>'Budget with Assumptions'!P105</f>
        <v>5000</v>
      </c>
      <c r="K105" s="902"/>
      <c r="L105" s="366">
        <f>'Budget with Assumptions'!R105</f>
        <v>5000</v>
      </c>
      <c r="M105" s="890"/>
      <c r="N105" s="366">
        <f>'Budget with Assumptions'!T105</f>
        <v>5000</v>
      </c>
      <c r="O105"/>
      <c r="P105" s="916">
        <f t="shared" si="25"/>
        <v>0.0031123343356189714</v>
      </c>
      <c r="Q105" s="916">
        <f t="shared" si="26"/>
        <v>0.0023983824602278247</v>
      </c>
      <c r="R105" s="916">
        <f t="shared" si="27"/>
        <v>0.0019245768869960188</v>
      </c>
      <c r="S105" s="916">
        <f t="shared" si="28"/>
        <v>0.0018950985151485462</v>
      </c>
      <c r="T105" s="916">
        <f t="shared" si="29"/>
        <v>0.0018649915327311132</v>
      </c>
      <c r="U105"/>
      <c r="V105" s="925">
        <f t="shared" si="30"/>
        <v>50</v>
      </c>
      <c r="W105" s="925">
        <f t="shared" si="31"/>
        <v>28.571428571428573</v>
      </c>
      <c r="X105" s="925">
        <f t="shared" si="32"/>
        <v>20</v>
      </c>
      <c r="Y105" s="925">
        <f t="shared" si="33"/>
        <v>20</v>
      </c>
      <c r="Z105" s="925">
        <f t="shared" si="34"/>
        <v>20</v>
      </c>
      <c r="AA105"/>
      <c r="AB105"/>
      <c r="AC105"/>
      <c r="AD105"/>
      <c r="AE105"/>
    </row>
    <row r="106" spans="1:31" ht="15.75">
      <c r="A106" s="713" t="str">
        <f>'Budget with Assumptions'!A106</f>
        <v>CPS Administrative Fee</v>
      </c>
      <c r="B106" s="42"/>
      <c r="C106" s="42"/>
      <c r="D106" s="366">
        <f>'Budget with Assumptions'!J106</f>
        <v>0</v>
      </c>
      <c r="E106" s="901"/>
      <c r="F106" s="366">
        <f>'Budget with Assumptions'!L106</f>
        <v>30703.41018</v>
      </c>
      <c r="G106" s="901"/>
      <c r="H106" s="366">
        <f>'Budget with Assumptions'!N106</f>
        <v>54439.078695</v>
      </c>
      <c r="I106" s="901"/>
      <c r="J106" s="366">
        <f>'Budget with Assumptions'!P106</f>
        <v>77746.4288325</v>
      </c>
      <c r="K106" s="902"/>
      <c r="L106" s="366">
        <f>'Budget with Assumptions'!R106</f>
        <v>77923.51251277498</v>
      </c>
      <c r="M106" s="890"/>
      <c r="N106" s="366">
        <f>'Budget with Assumptions'!T106</f>
        <v>78092.98873365825</v>
      </c>
      <c r="O106"/>
      <c r="P106" s="916">
        <f t="shared" si="25"/>
        <v>0.019111855544761414</v>
      </c>
      <c r="Q106" s="916">
        <f t="shared" si="26"/>
        <v>0.02611314629861005</v>
      </c>
      <c r="R106" s="916">
        <f t="shared" si="27"/>
        <v>0.02992579599550207</v>
      </c>
      <c r="S106" s="916">
        <f t="shared" si="28"/>
        <v>0.029534546571623806</v>
      </c>
      <c r="T106" s="916">
        <f t="shared" si="29"/>
        <v>0.02912855255078777</v>
      </c>
      <c r="U106"/>
      <c r="V106" s="925">
        <f t="shared" si="30"/>
        <v>307.0341018</v>
      </c>
      <c r="W106" s="925">
        <f t="shared" si="31"/>
        <v>311.08044968571426</v>
      </c>
      <c r="X106" s="925">
        <f t="shared" si="32"/>
        <v>310.98571533</v>
      </c>
      <c r="Y106" s="925">
        <f t="shared" si="33"/>
        <v>311.6940500510999</v>
      </c>
      <c r="Z106" s="925">
        <f t="shared" si="34"/>
        <v>312.371954934633</v>
      </c>
      <c r="AA106"/>
      <c r="AB106"/>
      <c r="AC106"/>
      <c r="AD106"/>
      <c r="AE106"/>
    </row>
    <row r="107" spans="1:31" ht="15.75">
      <c r="A107" s="713" t="str">
        <f>'Budget with Assumptions'!A107</f>
        <v>IT Support</v>
      </c>
      <c r="B107" s="42"/>
      <c r="C107" s="42"/>
      <c r="D107" s="366">
        <f>'Budget with Assumptions'!J107</f>
        <v>0</v>
      </c>
      <c r="E107" s="901"/>
      <c r="F107" s="366">
        <f>'Budget with Assumptions'!L107</f>
        <v>23000</v>
      </c>
      <c r="G107" s="901"/>
      <c r="H107" s="366">
        <f>'Budget with Assumptions'!N107</f>
        <v>23690</v>
      </c>
      <c r="I107" s="901"/>
      <c r="J107" s="366">
        <f>'Budget with Assumptions'!P107</f>
        <v>24400.7</v>
      </c>
      <c r="K107" s="902"/>
      <c r="L107" s="366">
        <f>'Budget with Assumptions'!R107</f>
        <v>25132.721</v>
      </c>
      <c r="M107" s="890"/>
      <c r="N107" s="366">
        <f>'Budget with Assumptions'!T107</f>
        <v>25886.70263</v>
      </c>
      <c r="O107"/>
      <c r="P107" s="916">
        <f t="shared" si="25"/>
        <v>0.014316737943847269</v>
      </c>
      <c r="Q107" s="916">
        <f t="shared" si="26"/>
        <v>0.011363536096559433</v>
      </c>
      <c r="R107" s="916">
        <f t="shared" si="27"/>
        <v>0.009392204649304752</v>
      </c>
      <c r="S107" s="916">
        <f t="shared" si="28"/>
        <v>0.009525796449748538</v>
      </c>
      <c r="T107" s="916">
        <f t="shared" si="29"/>
        <v>0.009655696243055649</v>
      </c>
      <c r="U107"/>
      <c r="V107" s="925">
        <f t="shared" si="30"/>
        <v>230</v>
      </c>
      <c r="W107" s="925">
        <f t="shared" si="31"/>
        <v>135.37142857142857</v>
      </c>
      <c r="X107" s="925">
        <f t="shared" si="32"/>
        <v>97.6028</v>
      </c>
      <c r="Y107" s="925">
        <f t="shared" si="33"/>
        <v>100.530884</v>
      </c>
      <c r="Z107" s="925">
        <f t="shared" si="34"/>
        <v>103.54681052</v>
      </c>
      <c r="AA107"/>
      <c r="AB107"/>
      <c r="AC107"/>
      <c r="AD107"/>
      <c r="AE107"/>
    </row>
    <row r="108" spans="1:31" ht="15.75">
      <c r="A108" s="713">
        <f>'Budget with Assumptions'!A108</f>
        <v>0</v>
      </c>
      <c r="B108" s="46"/>
      <c r="C108" s="46"/>
      <c r="D108" s="366">
        <f>'Budget with Assumptions'!J108</f>
        <v>0</v>
      </c>
      <c r="E108" s="901"/>
      <c r="F108" s="366">
        <f>'Budget with Assumptions'!L108</f>
        <v>0</v>
      </c>
      <c r="G108" s="901"/>
      <c r="H108" s="366">
        <f>'Budget with Assumptions'!N108</f>
        <v>0</v>
      </c>
      <c r="I108" s="901"/>
      <c r="J108" s="366">
        <f>'Budget with Assumptions'!P108</f>
        <v>0</v>
      </c>
      <c r="K108" s="902"/>
      <c r="L108" s="366">
        <f>'Budget with Assumptions'!R108</f>
        <v>0</v>
      </c>
      <c r="M108" s="890"/>
      <c r="N108" s="366">
        <f>'Budget with Assumptions'!T108</f>
        <v>0</v>
      </c>
      <c r="O108"/>
      <c r="P108" s="916">
        <f t="shared" si="25"/>
        <v>0</v>
      </c>
      <c r="Q108" s="916">
        <f t="shared" si="26"/>
        <v>0</v>
      </c>
      <c r="R108" s="916">
        <f t="shared" si="27"/>
        <v>0</v>
      </c>
      <c r="S108" s="916">
        <f t="shared" si="28"/>
        <v>0</v>
      </c>
      <c r="T108" s="916">
        <f t="shared" si="29"/>
        <v>0</v>
      </c>
      <c r="U108"/>
      <c r="V108" s="925">
        <f t="shared" si="30"/>
        <v>0</v>
      </c>
      <c r="W108" s="925">
        <f t="shared" si="31"/>
        <v>0</v>
      </c>
      <c r="X108" s="925">
        <f t="shared" si="32"/>
        <v>0</v>
      </c>
      <c r="Y108" s="925">
        <f t="shared" si="33"/>
        <v>0</v>
      </c>
      <c r="Z108" s="925">
        <f t="shared" si="34"/>
        <v>0</v>
      </c>
      <c r="AA108"/>
      <c r="AB108"/>
      <c r="AC108"/>
      <c r="AD108"/>
      <c r="AE108"/>
    </row>
    <row r="109" spans="1:31" ht="15.75">
      <c r="A109" s="713">
        <f>'Budget with Assumptions'!A109</f>
        <v>0</v>
      </c>
      <c r="B109" s="46"/>
      <c r="C109" s="46"/>
      <c r="D109" s="366">
        <f>'Budget with Assumptions'!J109</f>
        <v>0</v>
      </c>
      <c r="E109" s="901"/>
      <c r="F109" s="366">
        <f>'Budget with Assumptions'!L109</f>
        <v>0</v>
      </c>
      <c r="G109" s="901"/>
      <c r="H109" s="366">
        <f>'Budget with Assumptions'!N109</f>
        <v>0</v>
      </c>
      <c r="I109" s="901"/>
      <c r="J109" s="366">
        <f>'Budget with Assumptions'!P109</f>
        <v>0</v>
      </c>
      <c r="K109" s="902"/>
      <c r="L109" s="366">
        <f>'Budget with Assumptions'!R109</f>
        <v>0</v>
      </c>
      <c r="M109" s="890"/>
      <c r="N109" s="366">
        <f>'Budget with Assumptions'!T109</f>
        <v>0</v>
      </c>
      <c r="O109"/>
      <c r="P109" s="916">
        <f t="shared" si="25"/>
        <v>0</v>
      </c>
      <c r="Q109" s="916">
        <f t="shared" si="26"/>
        <v>0</v>
      </c>
      <c r="R109" s="916">
        <f t="shared" si="27"/>
        <v>0</v>
      </c>
      <c r="S109" s="916">
        <f t="shared" si="28"/>
        <v>0</v>
      </c>
      <c r="T109" s="916">
        <f t="shared" si="29"/>
        <v>0</v>
      </c>
      <c r="U109"/>
      <c r="V109" s="925">
        <f t="shared" si="30"/>
        <v>0</v>
      </c>
      <c r="W109" s="925">
        <f t="shared" si="31"/>
        <v>0</v>
      </c>
      <c r="X109" s="925">
        <f t="shared" si="32"/>
        <v>0</v>
      </c>
      <c r="Y109" s="925">
        <f t="shared" si="33"/>
        <v>0</v>
      </c>
      <c r="Z109" s="925">
        <f t="shared" si="34"/>
        <v>0</v>
      </c>
      <c r="AA109"/>
      <c r="AB109"/>
      <c r="AC109"/>
      <c r="AD109"/>
      <c r="AE109"/>
    </row>
    <row r="110" spans="1:31" ht="15.75">
      <c r="A110" s="713">
        <f>'Budget with Assumptions'!A110</f>
        <v>0</v>
      </c>
      <c r="B110" s="46"/>
      <c r="C110" s="46"/>
      <c r="D110" s="366">
        <f>'Budget with Assumptions'!J110</f>
        <v>0</v>
      </c>
      <c r="E110" s="901"/>
      <c r="F110" s="366">
        <f>'Budget with Assumptions'!L110</f>
        <v>0</v>
      </c>
      <c r="G110" s="901"/>
      <c r="H110" s="366">
        <f>'Budget with Assumptions'!N110</f>
        <v>0</v>
      </c>
      <c r="I110" s="901"/>
      <c r="J110" s="366">
        <f>'Budget with Assumptions'!P110</f>
        <v>0</v>
      </c>
      <c r="K110" s="902"/>
      <c r="L110" s="366">
        <f>'Budget with Assumptions'!R110</f>
        <v>0</v>
      </c>
      <c r="M110" s="890"/>
      <c r="N110" s="366">
        <f>'Budget with Assumptions'!T110</f>
        <v>0</v>
      </c>
      <c r="O110"/>
      <c r="P110" s="916">
        <f t="shared" si="25"/>
        <v>0</v>
      </c>
      <c r="Q110" s="916">
        <f t="shared" si="26"/>
        <v>0</v>
      </c>
      <c r="R110" s="916">
        <f t="shared" si="27"/>
        <v>0</v>
      </c>
      <c r="S110" s="916">
        <f t="shared" si="28"/>
        <v>0</v>
      </c>
      <c r="T110" s="916">
        <f t="shared" si="29"/>
        <v>0</v>
      </c>
      <c r="U110"/>
      <c r="V110" s="925">
        <f t="shared" si="30"/>
        <v>0</v>
      </c>
      <c r="W110" s="925">
        <f t="shared" si="31"/>
        <v>0</v>
      </c>
      <c r="X110" s="925">
        <f t="shared" si="32"/>
        <v>0</v>
      </c>
      <c r="Y110" s="925">
        <f t="shared" si="33"/>
        <v>0</v>
      </c>
      <c r="Z110" s="925">
        <f t="shared" si="34"/>
        <v>0</v>
      </c>
      <c r="AA110"/>
      <c r="AB110"/>
      <c r="AC110"/>
      <c r="AD110"/>
      <c r="AE110"/>
    </row>
    <row r="111" spans="1:31" ht="15.75">
      <c r="A111" s="713">
        <f>'Budget with Assumptions'!A111</f>
        <v>0</v>
      </c>
      <c r="B111" s="46"/>
      <c r="C111" s="46"/>
      <c r="D111" s="366">
        <f>'Budget with Assumptions'!J111</f>
        <v>0</v>
      </c>
      <c r="E111" s="901"/>
      <c r="F111" s="366">
        <f>'Budget with Assumptions'!L111</f>
        <v>0</v>
      </c>
      <c r="G111" s="901"/>
      <c r="H111" s="366">
        <f>'Budget with Assumptions'!N111</f>
        <v>0</v>
      </c>
      <c r="I111" s="901"/>
      <c r="J111" s="366">
        <f>'Budget with Assumptions'!P111</f>
        <v>0</v>
      </c>
      <c r="K111" s="902"/>
      <c r="L111" s="366">
        <f>'Budget with Assumptions'!R111</f>
        <v>0</v>
      </c>
      <c r="M111" s="890"/>
      <c r="N111" s="366">
        <f>'Budget with Assumptions'!T111</f>
        <v>0</v>
      </c>
      <c r="O111"/>
      <c r="P111" s="916">
        <f t="shared" si="25"/>
        <v>0</v>
      </c>
      <c r="Q111" s="916">
        <f t="shared" si="26"/>
        <v>0</v>
      </c>
      <c r="R111" s="916">
        <f t="shared" si="27"/>
        <v>0</v>
      </c>
      <c r="S111" s="916">
        <f t="shared" si="28"/>
        <v>0</v>
      </c>
      <c r="T111" s="916">
        <f t="shared" si="29"/>
        <v>0</v>
      </c>
      <c r="U111"/>
      <c r="V111" s="925">
        <f t="shared" si="30"/>
        <v>0</v>
      </c>
      <c r="W111" s="925">
        <f t="shared" si="31"/>
        <v>0</v>
      </c>
      <c r="X111" s="925">
        <f t="shared" si="32"/>
        <v>0</v>
      </c>
      <c r="Y111" s="925">
        <f t="shared" si="33"/>
        <v>0</v>
      </c>
      <c r="Z111" s="925">
        <f t="shared" si="34"/>
        <v>0</v>
      </c>
      <c r="AA111"/>
      <c r="AB111"/>
      <c r="AC111"/>
      <c r="AD111"/>
      <c r="AE111"/>
    </row>
    <row r="112" spans="1:31" ht="15.75">
      <c r="A112" s="713">
        <f>'Budget with Assumptions'!A112</f>
        <v>0</v>
      </c>
      <c r="B112" s="46"/>
      <c r="C112" s="46"/>
      <c r="D112" s="366">
        <f>'Budget with Assumptions'!J112</f>
        <v>0</v>
      </c>
      <c r="E112" s="901"/>
      <c r="F112" s="366">
        <f>'Budget with Assumptions'!L112</f>
        <v>0</v>
      </c>
      <c r="G112" s="901"/>
      <c r="H112" s="366">
        <f>'Budget with Assumptions'!N112</f>
        <v>0</v>
      </c>
      <c r="I112" s="901"/>
      <c r="J112" s="366">
        <f>'Budget with Assumptions'!P112</f>
        <v>0</v>
      </c>
      <c r="K112" s="902"/>
      <c r="L112" s="366">
        <f>'Budget with Assumptions'!R112</f>
        <v>0</v>
      </c>
      <c r="M112" s="890"/>
      <c r="N112" s="366">
        <f>'Budget with Assumptions'!T112</f>
        <v>0</v>
      </c>
      <c r="O112"/>
      <c r="P112" s="916">
        <f t="shared" si="25"/>
        <v>0</v>
      </c>
      <c r="Q112" s="916">
        <f t="shared" si="26"/>
        <v>0</v>
      </c>
      <c r="R112" s="916">
        <f t="shared" si="27"/>
        <v>0</v>
      </c>
      <c r="S112" s="916">
        <f t="shared" si="28"/>
        <v>0</v>
      </c>
      <c r="T112" s="916">
        <f t="shared" si="29"/>
        <v>0</v>
      </c>
      <c r="U112"/>
      <c r="V112" s="925">
        <f t="shared" si="30"/>
        <v>0</v>
      </c>
      <c r="W112" s="925">
        <f t="shared" si="31"/>
        <v>0</v>
      </c>
      <c r="X112" s="925">
        <f t="shared" si="32"/>
        <v>0</v>
      </c>
      <c r="Y112" s="925">
        <f t="shared" si="33"/>
        <v>0</v>
      </c>
      <c r="Z112" s="925">
        <f t="shared" si="34"/>
        <v>0</v>
      </c>
      <c r="AA112"/>
      <c r="AB112"/>
      <c r="AC112"/>
      <c r="AD112"/>
      <c r="AE112"/>
    </row>
    <row r="113" spans="1:31" ht="15.75">
      <c r="A113" s="713">
        <f>'Budget with Assumptions'!A113</f>
        <v>0</v>
      </c>
      <c r="B113" s="46"/>
      <c r="C113" s="46"/>
      <c r="D113" s="366">
        <f>'Budget with Assumptions'!J113</f>
        <v>0</v>
      </c>
      <c r="E113" s="901"/>
      <c r="F113" s="366">
        <f>'Budget with Assumptions'!L113</f>
        <v>0</v>
      </c>
      <c r="G113" s="901"/>
      <c r="H113" s="366">
        <f>'Budget with Assumptions'!N113</f>
        <v>0</v>
      </c>
      <c r="I113" s="901"/>
      <c r="J113" s="366">
        <f>'Budget with Assumptions'!P113</f>
        <v>0</v>
      </c>
      <c r="K113" s="902"/>
      <c r="L113" s="366">
        <f>'Budget with Assumptions'!R113</f>
        <v>0</v>
      </c>
      <c r="M113" s="890"/>
      <c r="N113" s="366">
        <f>'Budget with Assumptions'!T113</f>
        <v>0</v>
      </c>
      <c r="O113"/>
      <c r="P113" s="916">
        <f t="shared" si="25"/>
        <v>0</v>
      </c>
      <c r="Q113" s="916">
        <f t="shared" si="26"/>
        <v>0</v>
      </c>
      <c r="R113" s="916">
        <f t="shared" si="27"/>
        <v>0</v>
      </c>
      <c r="S113" s="916">
        <f t="shared" si="28"/>
        <v>0</v>
      </c>
      <c r="T113" s="916">
        <f t="shared" si="29"/>
        <v>0</v>
      </c>
      <c r="U113"/>
      <c r="V113" s="925">
        <f t="shared" si="30"/>
        <v>0</v>
      </c>
      <c r="W113" s="925">
        <f t="shared" si="31"/>
        <v>0</v>
      </c>
      <c r="X113" s="925">
        <f t="shared" si="32"/>
        <v>0</v>
      </c>
      <c r="Y113" s="925">
        <f t="shared" si="33"/>
        <v>0</v>
      </c>
      <c r="Z113" s="925">
        <f t="shared" si="34"/>
        <v>0</v>
      </c>
      <c r="AA113"/>
      <c r="AB113"/>
      <c r="AC113"/>
      <c r="AD113"/>
      <c r="AE113"/>
    </row>
    <row r="114" spans="1:31" ht="15.75">
      <c r="A114" s="704">
        <f>'Budget with Assumptions'!A114</f>
        <v>0</v>
      </c>
      <c r="B114" s="46"/>
      <c r="C114" s="46"/>
      <c r="D114" s="366">
        <f>'Budget with Assumptions'!J114</f>
        <v>0</v>
      </c>
      <c r="E114" s="901"/>
      <c r="F114" s="366">
        <f>'Budget with Assumptions'!L114</f>
        <v>0</v>
      </c>
      <c r="G114" s="901"/>
      <c r="H114" s="366">
        <f>'Budget with Assumptions'!N114</f>
        <v>0</v>
      </c>
      <c r="I114" s="901"/>
      <c r="J114" s="366">
        <f>'Budget with Assumptions'!P114</f>
        <v>0</v>
      </c>
      <c r="K114" s="902"/>
      <c r="L114" s="366">
        <f>'Budget with Assumptions'!R114</f>
        <v>0</v>
      </c>
      <c r="M114" s="890"/>
      <c r="N114" s="366">
        <f>'Budget with Assumptions'!T114</f>
        <v>0</v>
      </c>
      <c r="O114"/>
      <c r="P114" s="916">
        <f t="shared" si="25"/>
        <v>0</v>
      </c>
      <c r="Q114" s="916">
        <f t="shared" si="26"/>
        <v>0</v>
      </c>
      <c r="R114" s="916">
        <f t="shared" si="27"/>
        <v>0</v>
      </c>
      <c r="S114" s="916">
        <f t="shared" si="28"/>
        <v>0</v>
      </c>
      <c r="T114" s="916">
        <f t="shared" si="29"/>
        <v>0</v>
      </c>
      <c r="U114"/>
      <c r="V114" s="925">
        <f t="shared" si="30"/>
        <v>0</v>
      </c>
      <c r="W114" s="925">
        <f t="shared" si="31"/>
        <v>0</v>
      </c>
      <c r="X114" s="925">
        <f t="shared" si="32"/>
        <v>0</v>
      </c>
      <c r="Y114" s="925">
        <f t="shared" si="33"/>
        <v>0</v>
      </c>
      <c r="Z114" s="925">
        <f t="shared" si="34"/>
        <v>0</v>
      </c>
      <c r="AA114"/>
      <c r="AB114"/>
      <c r="AC114"/>
      <c r="AD114"/>
      <c r="AE114"/>
    </row>
    <row r="115" spans="1:31" ht="16.5" thickBot="1">
      <c r="A115" s="40"/>
      <c r="B115" s="46"/>
      <c r="C115" s="46"/>
      <c r="D115" s="908"/>
      <c r="E115" s="901"/>
      <c r="F115" s="908"/>
      <c r="G115" s="901"/>
      <c r="H115" s="908"/>
      <c r="I115" s="901"/>
      <c r="J115" s="908"/>
      <c r="K115" s="902"/>
      <c r="L115" s="882"/>
      <c r="M115" s="890"/>
      <c r="N115" s="882"/>
      <c r="O115"/>
      <c r="P115" s="917"/>
      <c r="Q115" s="917"/>
      <c r="R115" s="917"/>
      <c r="S115" s="917"/>
      <c r="T115" s="917"/>
      <c r="U115"/>
      <c r="V115" s="741"/>
      <c r="W115" s="741"/>
      <c r="X115" s="741"/>
      <c r="Y115" s="741"/>
      <c r="Z115" s="741"/>
      <c r="AA115"/>
      <c r="AB115"/>
      <c r="AC115"/>
      <c r="AD115"/>
      <c r="AE115"/>
    </row>
    <row r="116" spans="1:31" ht="16.5" thickBot="1">
      <c r="A116" s="385" t="str">
        <f>'Budget with Assumptions'!H116</f>
        <v>Total Office Administration</v>
      </c>
      <c r="B116" s="42"/>
      <c r="C116" s="42"/>
      <c r="D116" s="486">
        <f>SUM(D95:D114)</f>
        <v>8000</v>
      </c>
      <c r="E116" s="362"/>
      <c r="F116" s="486">
        <f>SUM(F95:F114)</f>
        <v>175203.41018</v>
      </c>
      <c r="G116" s="362"/>
      <c r="H116" s="486">
        <f>SUM(H95:H114)</f>
        <v>198014.27869500002</v>
      </c>
      <c r="I116" s="362"/>
      <c r="J116" s="486">
        <f>SUM(J95:J114)</f>
        <v>243671.53483249998</v>
      </c>
      <c r="K116" s="363"/>
      <c r="L116" s="486">
        <f>SUM(L95:L114)</f>
        <v>252551.37169277496</v>
      </c>
      <c r="M116" s="875"/>
      <c r="N116" s="486">
        <f>SUM(N95:N114)</f>
        <v>241534.68368905823</v>
      </c>
      <c r="O116"/>
      <c r="P116" s="707">
        <f>SUM(P95:P114)</f>
        <v>0.1090583178441497</v>
      </c>
      <c r="Q116" s="707">
        <f>SUM(Q95:Q114)</f>
        <v>0.09498279457935045</v>
      </c>
      <c r="R116" s="707">
        <f>SUM(R95:R114)</f>
        <v>0.09379292079149495</v>
      </c>
      <c r="S116" s="707">
        <f>SUM(S95:S114)</f>
        <v>0.09572194589874129</v>
      </c>
      <c r="T116" s="707">
        <f>SUM(T95:T114)</f>
        <v>0.09009202798819627</v>
      </c>
      <c r="U116"/>
      <c r="V116" s="709">
        <f>SUM(V95:V114)</f>
        <v>1752.0341018</v>
      </c>
      <c r="W116" s="709">
        <f>SUM(W95:W114)</f>
        <v>1131.5101639714285</v>
      </c>
      <c r="X116" s="709">
        <f>SUM(X95:X114)</f>
        <v>974.68613933</v>
      </c>
      <c r="Y116" s="709">
        <f>SUM(Y95:Y114)</f>
        <v>1010.2054867711</v>
      </c>
      <c r="Z116" s="709">
        <f>SUM(Z95:Z114)</f>
        <v>966.138734756233</v>
      </c>
      <c r="AA116"/>
      <c r="AB116"/>
      <c r="AC116"/>
      <c r="AD116"/>
      <c r="AE116"/>
    </row>
    <row r="117" spans="1:31" ht="16.5" thickBot="1">
      <c r="A117" s="53"/>
      <c r="B117" s="38"/>
      <c r="C117" s="38"/>
      <c r="D117" s="741"/>
      <c r="E117" s="741"/>
      <c r="F117" s="741"/>
      <c r="G117" s="741"/>
      <c r="H117" s="741"/>
      <c r="I117" s="741"/>
      <c r="J117" s="741"/>
      <c r="K117" s="876"/>
      <c r="L117" s="741"/>
      <c r="M117" s="876"/>
      <c r="N117" s="741"/>
      <c r="P117" s="917"/>
      <c r="Q117" s="917"/>
      <c r="R117" s="917"/>
      <c r="S117" s="917"/>
      <c r="T117" s="917"/>
      <c r="V117" s="741"/>
      <c r="W117" s="741"/>
      <c r="X117" s="741"/>
      <c r="Y117" s="741"/>
      <c r="Z117" s="741"/>
      <c r="AA117"/>
      <c r="AB117"/>
      <c r="AC117"/>
      <c r="AD117"/>
      <c r="AE117"/>
    </row>
    <row r="118" spans="1:31" ht="18.75" thickBot="1">
      <c r="A118" s="705" t="s">
        <v>242</v>
      </c>
      <c r="B118" s="55"/>
      <c r="C118" s="55"/>
      <c r="D118" s="908"/>
      <c r="E118" s="901"/>
      <c r="F118" s="908"/>
      <c r="G118" s="901"/>
      <c r="H118" s="908"/>
      <c r="I118" s="901"/>
      <c r="J118" s="908"/>
      <c r="K118" s="902"/>
      <c r="L118" s="908"/>
      <c r="M118" s="890"/>
      <c r="N118" s="908"/>
      <c r="O118"/>
      <c r="P118" s="917"/>
      <c r="Q118" s="917"/>
      <c r="R118" s="917"/>
      <c r="S118" s="917"/>
      <c r="T118" s="917"/>
      <c r="U118"/>
      <c r="V118" s="741"/>
      <c r="W118" s="741"/>
      <c r="X118" s="741"/>
      <c r="Y118" s="741"/>
      <c r="Z118" s="741"/>
      <c r="AA118"/>
      <c r="AB118"/>
      <c r="AC118"/>
      <c r="AD118"/>
      <c r="AE118"/>
    </row>
    <row r="119" spans="1:31" ht="18.75" customHeight="1">
      <c r="A119" s="713" t="str">
        <f>'Budget with Assumptions'!A119</f>
        <v>Rent</v>
      </c>
      <c r="B119" s="38"/>
      <c r="C119" s="38"/>
      <c r="D119" s="366">
        <f>'Budget with Assumptions'!J119</f>
        <v>30000</v>
      </c>
      <c r="E119" s="901"/>
      <c r="F119" s="366">
        <f>'Budget with Assumptions'!L119</f>
        <v>120000</v>
      </c>
      <c r="G119" s="901"/>
      <c r="H119" s="366">
        <f>'Budget with Assumptions'!N119</f>
        <v>123600</v>
      </c>
      <c r="I119" s="901"/>
      <c r="J119" s="366">
        <f>'Budget with Assumptions'!P119</f>
        <v>127308</v>
      </c>
      <c r="K119" s="902"/>
      <c r="L119" s="366">
        <f>'Budget with Assumptions'!R119</f>
        <v>131127.24</v>
      </c>
      <c r="M119" s="890"/>
      <c r="N119" s="366">
        <f>'Budget with Assumptions'!T119</f>
        <v>135061.05719999998</v>
      </c>
      <c r="O119"/>
      <c r="P119" s="916">
        <f aca="true" t="shared" si="35" ref="P119:P136">F119/$F$159</f>
        <v>0.07469602405485531</v>
      </c>
      <c r="Q119" s="916">
        <f aca="true" t="shared" si="36" ref="Q119:Q136">H119/$H$159</f>
        <v>0.059288014416831826</v>
      </c>
      <c r="R119" s="916">
        <f aca="true" t="shared" si="37" ref="R119:R136">J119/$J$159</f>
        <v>0.04900280686593783</v>
      </c>
      <c r="S119" s="916">
        <f aca="true" t="shared" si="38" ref="S119:S136">L119/$L$159</f>
        <v>0.04969980756390541</v>
      </c>
      <c r="T119" s="916">
        <f aca="true" t="shared" si="39" ref="T119:T136">N119/$N$159</f>
        <v>0.05037754561594251</v>
      </c>
      <c r="U119"/>
      <c r="V119" s="925">
        <f>F119/$F$178</f>
        <v>1200</v>
      </c>
      <c r="W119" s="925">
        <f>H119/$H$178</f>
        <v>706.2857142857143</v>
      </c>
      <c r="X119" s="925">
        <f>J119/$J$178</f>
        <v>509.232</v>
      </c>
      <c r="Y119" s="925">
        <f>L119/$L$178</f>
        <v>524.50896</v>
      </c>
      <c r="Z119" s="925">
        <f>N119/$N$178</f>
        <v>540.2442288</v>
      </c>
      <c r="AA119"/>
      <c r="AB119"/>
      <c r="AC119"/>
      <c r="AD119"/>
      <c r="AE119"/>
    </row>
    <row r="120" spans="1:31" ht="15.75">
      <c r="A120" s="713" t="str">
        <f>'Budget with Assumptions'!A120</f>
        <v>Utilities</v>
      </c>
      <c r="B120" s="42"/>
      <c r="C120" s="42"/>
      <c r="D120" s="366">
        <f>'Budget with Assumptions'!J120</f>
        <v>1500</v>
      </c>
      <c r="E120" s="901"/>
      <c r="F120" s="366">
        <f>'Budget with Assumptions'!L120</f>
        <v>6000</v>
      </c>
      <c r="G120" s="901"/>
      <c r="H120" s="366">
        <f>'Budget with Assumptions'!N120</f>
        <v>6000</v>
      </c>
      <c r="I120" s="901"/>
      <c r="J120" s="366">
        <f>'Budget with Assumptions'!P120</f>
        <v>6000</v>
      </c>
      <c r="K120" s="902"/>
      <c r="L120" s="366">
        <f>'Budget with Assumptions'!R120</f>
        <v>6000</v>
      </c>
      <c r="M120" s="890"/>
      <c r="N120" s="366">
        <f>'Budget with Assumptions'!T120</f>
        <v>6000</v>
      </c>
      <c r="O120"/>
      <c r="P120" s="916">
        <f t="shared" si="35"/>
        <v>0.003734801202742766</v>
      </c>
      <c r="Q120" s="916">
        <f t="shared" si="36"/>
        <v>0.0028780589522733897</v>
      </c>
      <c r="R120" s="916">
        <f t="shared" si="37"/>
        <v>0.0023094922643952225</v>
      </c>
      <c r="S120" s="916">
        <f t="shared" si="38"/>
        <v>0.0022741182181782557</v>
      </c>
      <c r="T120" s="916">
        <f t="shared" si="39"/>
        <v>0.002237989839277336</v>
      </c>
      <c r="U120"/>
      <c r="V120" s="925">
        <f aca="true" t="shared" si="40" ref="V120:V136">F120/$F$178</f>
        <v>60</v>
      </c>
      <c r="W120" s="925">
        <f aca="true" t="shared" si="41" ref="W120:W136">H120/$H$178</f>
        <v>34.285714285714285</v>
      </c>
      <c r="X120" s="925">
        <f aca="true" t="shared" si="42" ref="X120:X136">J120/$J$178</f>
        <v>24</v>
      </c>
      <c r="Y120" s="925">
        <f aca="true" t="shared" si="43" ref="Y120:Y136">L120/$L$178</f>
        <v>24</v>
      </c>
      <c r="Z120" s="925">
        <f aca="true" t="shared" si="44" ref="Z120:Z136">N120/$N$178</f>
        <v>24</v>
      </c>
      <c r="AA120"/>
      <c r="AB120"/>
      <c r="AC120"/>
      <c r="AD120"/>
      <c r="AE120"/>
    </row>
    <row r="121" spans="1:31" ht="15.75">
      <c r="A121" s="713" t="str">
        <f>'Budget with Assumptions'!A121</f>
        <v>Repairs &amp; Maintenance</v>
      </c>
      <c r="B121" s="42"/>
      <c r="C121" s="42"/>
      <c r="D121" s="366">
        <f>'Budget with Assumptions'!J121</f>
        <v>2250</v>
      </c>
      <c r="E121" s="901"/>
      <c r="F121" s="366">
        <f>'Budget with Assumptions'!L121</f>
        <v>9000</v>
      </c>
      <c r="G121" s="901"/>
      <c r="H121" s="366">
        <f>'Budget with Assumptions'!N121</f>
        <v>9000</v>
      </c>
      <c r="I121" s="901"/>
      <c r="J121" s="366">
        <f>'Budget with Assumptions'!P121</f>
        <v>9000</v>
      </c>
      <c r="K121" s="902"/>
      <c r="L121" s="366">
        <f>'Budget with Assumptions'!R121</f>
        <v>9000</v>
      </c>
      <c r="M121" s="890"/>
      <c r="N121" s="366">
        <f>'Budget with Assumptions'!T121</f>
        <v>9000</v>
      </c>
      <c r="O121"/>
      <c r="P121" s="916">
        <f t="shared" si="35"/>
        <v>0.005602201804114149</v>
      </c>
      <c r="Q121" s="916">
        <f t="shared" si="36"/>
        <v>0.0043170884284100845</v>
      </c>
      <c r="R121" s="916">
        <f t="shared" si="37"/>
        <v>0.003464238396592834</v>
      </c>
      <c r="S121" s="916">
        <f t="shared" si="38"/>
        <v>0.0034111773272673834</v>
      </c>
      <c r="T121" s="916">
        <f t="shared" si="39"/>
        <v>0.0033569847589160037</v>
      </c>
      <c r="U121"/>
      <c r="V121" s="925">
        <f t="shared" si="40"/>
        <v>90</v>
      </c>
      <c r="W121" s="925">
        <f t="shared" si="41"/>
        <v>51.42857142857143</v>
      </c>
      <c r="X121" s="925">
        <f t="shared" si="42"/>
        <v>36</v>
      </c>
      <c r="Y121" s="925">
        <f t="shared" si="43"/>
        <v>36</v>
      </c>
      <c r="Z121" s="925">
        <f t="shared" si="44"/>
        <v>36</v>
      </c>
      <c r="AA121"/>
      <c r="AB121"/>
      <c r="AC121"/>
      <c r="AD121"/>
      <c r="AE121"/>
    </row>
    <row r="122" spans="1:31" ht="15.75">
      <c r="A122" s="713" t="str">
        <f>'Budget with Assumptions'!A122</f>
        <v>Supplies</v>
      </c>
      <c r="B122" s="42"/>
      <c r="C122" s="42"/>
      <c r="D122" s="366">
        <f>'Budget with Assumptions'!J122</f>
        <v>0</v>
      </c>
      <c r="E122" s="901"/>
      <c r="F122" s="366">
        <f>'Budget with Assumptions'!L122</f>
        <v>1000</v>
      </c>
      <c r="G122" s="901"/>
      <c r="H122" s="366">
        <f>'Budget with Assumptions'!N122</f>
        <v>1000</v>
      </c>
      <c r="I122" s="901"/>
      <c r="J122" s="366">
        <f>'Budget with Assumptions'!P122</f>
        <v>1000</v>
      </c>
      <c r="K122" s="902"/>
      <c r="L122" s="366">
        <f>'Budget with Assumptions'!R122</f>
        <v>1000</v>
      </c>
      <c r="M122" s="890"/>
      <c r="N122" s="366">
        <f>'Budget with Assumptions'!T122</f>
        <v>1000</v>
      </c>
      <c r="O122"/>
      <c r="P122" s="916">
        <f t="shared" si="35"/>
        <v>0.0006224668671237943</v>
      </c>
      <c r="Q122" s="916">
        <f t="shared" si="36"/>
        <v>0.00047967649204556494</v>
      </c>
      <c r="R122" s="916">
        <f t="shared" si="37"/>
        <v>0.0003849153773992038</v>
      </c>
      <c r="S122" s="916">
        <f t="shared" si="38"/>
        <v>0.00037901970302970923</v>
      </c>
      <c r="T122" s="916">
        <f t="shared" si="39"/>
        <v>0.00037299830654622263</v>
      </c>
      <c r="U122"/>
      <c r="V122" s="925">
        <f t="shared" si="40"/>
        <v>10</v>
      </c>
      <c r="W122" s="925">
        <f t="shared" si="41"/>
        <v>5.714285714285714</v>
      </c>
      <c r="X122" s="925">
        <f t="shared" si="42"/>
        <v>4</v>
      </c>
      <c r="Y122" s="925">
        <f t="shared" si="43"/>
        <v>4</v>
      </c>
      <c r="Z122" s="925">
        <f t="shared" si="44"/>
        <v>4</v>
      </c>
      <c r="AA122"/>
      <c r="AB122"/>
      <c r="AC122"/>
      <c r="AD122"/>
      <c r="AE122"/>
    </row>
    <row r="123" spans="1:31" ht="15.75">
      <c r="A123" s="713" t="str">
        <f>'Budget with Assumptions'!A123</f>
        <v>Contracted Services-Security</v>
      </c>
      <c r="B123" s="42"/>
      <c r="C123" s="42"/>
      <c r="D123" s="366">
        <f>'Budget with Assumptions'!J123</f>
        <v>0</v>
      </c>
      <c r="E123" s="901"/>
      <c r="F123" s="366">
        <f>'Budget with Assumptions'!L123</f>
        <v>0</v>
      </c>
      <c r="G123" s="901"/>
      <c r="H123" s="366">
        <f>'Budget with Assumptions'!N123</f>
        <v>0</v>
      </c>
      <c r="I123" s="901"/>
      <c r="J123" s="366">
        <f>'Budget with Assumptions'!P123</f>
        <v>0</v>
      </c>
      <c r="K123" s="902"/>
      <c r="L123" s="366">
        <f>'Budget with Assumptions'!R123</f>
        <v>0</v>
      </c>
      <c r="M123" s="890"/>
      <c r="N123" s="366">
        <f>'Budget with Assumptions'!T123</f>
        <v>0</v>
      </c>
      <c r="O123"/>
      <c r="P123" s="916">
        <f t="shared" si="35"/>
        <v>0</v>
      </c>
      <c r="Q123" s="916">
        <f t="shared" si="36"/>
        <v>0</v>
      </c>
      <c r="R123" s="916">
        <f t="shared" si="37"/>
        <v>0</v>
      </c>
      <c r="S123" s="916">
        <f t="shared" si="38"/>
        <v>0</v>
      </c>
      <c r="T123" s="916">
        <f t="shared" si="39"/>
        <v>0</v>
      </c>
      <c r="U123"/>
      <c r="V123" s="925">
        <f t="shared" si="40"/>
        <v>0</v>
      </c>
      <c r="W123" s="925">
        <f t="shared" si="41"/>
        <v>0</v>
      </c>
      <c r="X123" s="925">
        <f t="shared" si="42"/>
        <v>0</v>
      </c>
      <c r="Y123" s="925">
        <f t="shared" si="43"/>
        <v>0</v>
      </c>
      <c r="Z123" s="925">
        <f t="shared" si="44"/>
        <v>0</v>
      </c>
      <c r="AA123"/>
      <c r="AB123"/>
      <c r="AC123"/>
      <c r="AD123"/>
      <c r="AE123"/>
    </row>
    <row r="124" spans="1:31" ht="15.75">
      <c r="A124" s="713" t="str">
        <f>'Budget with Assumptions'!A124</f>
        <v>Contracted Services-Custodial</v>
      </c>
      <c r="B124" s="42"/>
      <c r="C124" s="42"/>
      <c r="D124" s="366">
        <f>'Budget with Assumptions'!J124</f>
        <v>0</v>
      </c>
      <c r="E124" s="901"/>
      <c r="F124" s="366">
        <f>'Budget with Assumptions'!L124</f>
        <v>0</v>
      </c>
      <c r="G124" s="901"/>
      <c r="H124" s="366">
        <f>'Budget with Assumptions'!N124</f>
        <v>0</v>
      </c>
      <c r="I124" s="901"/>
      <c r="J124" s="366">
        <f>'Budget with Assumptions'!P124</f>
        <v>0</v>
      </c>
      <c r="K124" s="902"/>
      <c r="L124" s="366">
        <f>'Budget with Assumptions'!R124</f>
        <v>0</v>
      </c>
      <c r="M124" s="890"/>
      <c r="N124" s="366">
        <f>'Budget with Assumptions'!T124</f>
        <v>0</v>
      </c>
      <c r="O124"/>
      <c r="P124" s="916">
        <f t="shared" si="35"/>
        <v>0</v>
      </c>
      <c r="Q124" s="916">
        <f t="shared" si="36"/>
        <v>0</v>
      </c>
      <c r="R124" s="916">
        <f t="shared" si="37"/>
        <v>0</v>
      </c>
      <c r="S124" s="916">
        <f t="shared" si="38"/>
        <v>0</v>
      </c>
      <c r="T124" s="916">
        <f t="shared" si="39"/>
        <v>0</v>
      </c>
      <c r="U124"/>
      <c r="V124" s="925">
        <f t="shared" si="40"/>
        <v>0</v>
      </c>
      <c r="W124" s="925">
        <f t="shared" si="41"/>
        <v>0</v>
      </c>
      <c r="X124" s="925">
        <f t="shared" si="42"/>
        <v>0</v>
      </c>
      <c r="Y124" s="925">
        <f t="shared" si="43"/>
        <v>0</v>
      </c>
      <c r="Z124" s="925">
        <f t="shared" si="44"/>
        <v>0</v>
      </c>
      <c r="AA124"/>
      <c r="AB124"/>
      <c r="AC124"/>
      <c r="AD124"/>
      <c r="AE124"/>
    </row>
    <row r="125" spans="1:31" ht="15.75">
      <c r="A125" s="713" t="str">
        <f>'Budget with Assumptions'!A125</f>
        <v>Contracted Services-(Trash Removal, Snow Removal, Grounds, etc.)</v>
      </c>
      <c r="B125" s="42"/>
      <c r="C125" s="42"/>
      <c r="D125" s="366">
        <f>'Budget with Assumptions'!J125</f>
        <v>0</v>
      </c>
      <c r="E125" s="901"/>
      <c r="F125" s="366">
        <f>'Budget with Assumptions'!L125</f>
        <v>6000</v>
      </c>
      <c r="G125" s="901"/>
      <c r="H125" s="366">
        <f>'Budget with Assumptions'!N125</f>
        <v>6000</v>
      </c>
      <c r="I125" s="901"/>
      <c r="J125" s="366">
        <f>'Budget with Assumptions'!P125</f>
        <v>6000</v>
      </c>
      <c r="K125" s="902"/>
      <c r="L125" s="366">
        <f>'Budget with Assumptions'!R125</f>
        <v>6000</v>
      </c>
      <c r="M125" s="890"/>
      <c r="N125" s="366">
        <f>'Budget with Assumptions'!T125</f>
        <v>6000</v>
      </c>
      <c r="O125"/>
      <c r="P125" s="916">
        <f t="shared" si="35"/>
        <v>0.003734801202742766</v>
      </c>
      <c r="Q125" s="916">
        <f t="shared" si="36"/>
        <v>0.0028780589522733897</v>
      </c>
      <c r="R125" s="916">
        <f t="shared" si="37"/>
        <v>0.0023094922643952225</v>
      </c>
      <c r="S125" s="916">
        <f t="shared" si="38"/>
        <v>0.0022741182181782557</v>
      </c>
      <c r="T125" s="916">
        <f t="shared" si="39"/>
        <v>0.002237989839277336</v>
      </c>
      <c r="U125"/>
      <c r="V125" s="925">
        <f t="shared" si="40"/>
        <v>60</v>
      </c>
      <c r="W125" s="925">
        <f t="shared" si="41"/>
        <v>34.285714285714285</v>
      </c>
      <c r="X125" s="925">
        <f t="shared" si="42"/>
        <v>24</v>
      </c>
      <c r="Y125" s="925">
        <f t="shared" si="43"/>
        <v>24</v>
      </c>
      <c r="Z125" s="925">
        <f t="shared" si="44"/>
        <v>24</v>
      </c>
      <c r="AA125"/>
      <c r="AB125"/>
      <c r="AC125"/>
      <c r="AD125"/>
      <c r="AE125"/>
    </row>
    <row r="126" spans="1:31" ht="15.75">
      <c r="A126" s="713" t="str">
        <f>'Budget with Assumptions'!A126</f>
        <v>Contracted Services-Other</v>
      </c>
      <c r="B126" s="42"/>
      <c r="C126" s="42"/>
      <c r="D126" s="366">
        <f>'Budget with Assumptions'!J126</f>
        <v>0</v>
      </c>
      <c r="E126" s="901"/>
      <c r="F126" s="366">
        <f>'Budget with Assumptions'!L126</f>
        <v>0</v>
      </c>
      <c r="G126" s="901"/>
      <c r="H126" s="366">
        <f>'Budget with Assumptions'!N126</f>
        <v>0</v>
      </c>
      <c r="I126" s="901"/>
      <c r="J126" s="366">
        <f>'Budget with Assumptions'!P126</f>
        <v>0</v>
      </c>
      <c r="K126" s="902"/>
      <c r="L126" s="366">
        <f>'Budget with Assumptions'!R126</f>
        <v>0</v>
      </c>
      <c r="M126" s="890"/>
      <c r="N126" s="366">
        <f>'Budget with Assumptions'!T126</f>
        <v>0</v>
      </c>
      <c r="O126"/>
      <c r="P126" s="916">
        <f t="shared" si="35"/>
        <v>0</v>
      </c>
      <c r="Q126" s="916">
        <f t="shared" si="36"/>
        <v>0</v>
      </c>
      <c r="R126" s="916">
        <f t="shared" si="37"/>
        <v>0</v>
      </c>
      <c r="S126" s="916">
        <f t="shared" si="38"/>
        <v>0</v>
      </c>
      <c r="T126" s="916">
        <f t="shared" si="39"/>
        <v>0</v>
      </c>
      <c r="U126"/>
      <c r="V126" s="925">
        <f t="shared" si="40"/>
        <v>0</v>
      </c>
      <c r="W126" s="925">
        <f t="shared" si="41"/>
        <v>0</v>
      </c>
      <c r="X126" s="925">
        <f t="shared" si="42"/>
        <v>0</v>
      </c>
      <c r="Y126" s="925">
        <f t="shared" si="43"/>
        <v>0</v>
      </c>
      <c r="Z126" s="925">
        <f t="shared" si="44"/>
        <v>0</v>
      </c>
      <c r="AA126"/>
      <c r="AB126"/>
      <c r="AC126"/>
      <c r="AD126"/>
      <c r="AE126"/>
    </row>
    <row r="127" spans="1:31" ht="15.75">
      <c r="A127" s="713" t="str">
        <f>'Budget with Assumptions'!A127</f>
        <v>Insurance</v>
      </c>
      <c r="B127" s="46"/>
      <c r="C127" s="46"/>
      <c r="D127" s="366">
        <f>'Budget with Assumptions'!J127</f>
        <v>0</v>
      </c>
      <c r="E127" s="901"/>
      <c r="F127" s="366">
        <f>'Budget with Assumptions'!L127</f>
        <v>12664.875</v>
      </c>
      <c r="G127" s="901"/>
      <c r="H127" s="366">
        <f>'Budget with Assumptions'!N127</f>
        <v>11240.6475</v>
      </c>
      <c r="I127" s="901"/>
      <c r="J127" s="366">
        <f>'Budget with Assumptions'!P127</f>
        <v>10099.614112500001</v>
      </c>
      <c r="K127" s="902"/>
      <c r="L127" s="366">
        <f>'Budget with Assumptions'!R127</f>
        <v>10370.202535875</v>
      </c>
      <c r="M127" s="890"/>
      <c r="N127" s="366">
        <f>'Budget with Assumptions'!T127</f>
        <v>10632.708611951251</v>
      </c>
      <c r="O127"/>
      <c r="P127" s="916">
        <f t="shared" si="35"/>
        <v>0.007883465063764465</v>
      </c>
      <c r="Q127" s="916">
        <f t="shared" si="36"/>
        <v>0.005391874361120749</v>
      </c>
      <c r="R127" s="916">
        <f t="shared" si="37"/>
        <v>0.0038874967776992625</v>
      </c>
      <c r="S127" s="916">
        <f t="shared" si="38"/>
        <v>0.00393051108550528</v>
      </c>
      <c r="T127" s="916">
        <f t="shared" si="39"/>
        <v>0.003965982306257255</v>
      </c>
      <c r="U127"/>
      <c r="V127" s="925">
        <f t="shared" si="40"/>
        <v>126.64875</v>
      </c>
      <c r="W127" s="925">
        <f t="shared" si="41"/>
        <v>64.23227142857142</v>
      </c>
      <c r="X127" s="925">
        <f t="shared" si="42"/>
        <v>40.398456450000005</v>
      </c>
      <c r="Y127" s="925">
        <f t="shared" si="43"/>
        <v>41.4808101435</v>
      </c>
      <c r="Z127" s="925">
        <f t="shared" si="44"/>
        <v>42.530834447805006</v>
      </c>
      <c r="AA127"/>
      <c r="AB127"/>
      <c r="AC127"/>
      <c r="AD127"/>
      <c r="AE127"/>
    </row>
    <row r="128" spans="1:31" ht="15.75">
      <c r="A128" s="713" t="str">
        <f>'Budget with Assumptions'!A128</f>
        <v>Facility Loan Debt Service (P &amp; I)</v>
      </c>
      <c r="B128" s="46"/>
      <c r="C128" s="46"/>
      <c r="D128" s="366">
        <f>'Budget with Assumptions'!J128</f>
        <v>0</v>
      </c>
      <c r="E128" s="901"/>
      <c r="F128" s="366">
        <f>'Budget with Assumptions'!L128</f>
        <v>0</v>
      </c>
      <c r="G128" s="901"/>
      <c r="H128" s="366">
        <f>'Budget with Assumptions'!N128</f>
        <v>0</v>
      </c>
      <c r="I128" s="901"/>
      <c r="J128" s="366">
        <f>'Budget with Assumptions'!P128</f>
        <v>0</v>
      </c>
      <c r="K128" s="902"/>
      <c r="L128" s="366">
        <f>'Budget with Assumptions'!R128</f>
        <v>0</v>
      </c>
      <c r="M128" s="890"/>
      <c r="N128" s="366">
        <f>'Budget with Assumptions'!T128</f>
        <v>0</v>
      </c>
      <c r="O128"/>
      <c r="P128" s="916">
        <f t="shared" si="35"/>
        <v>0</v>
      </c>
      <c r="Q128" s="916">
        <f t="shared" si="36"/>
        <v>0</v>
      </c>
      <c r="R128" s="916">
        <f t="shared" si="37"/>
        <v>0</v>
      </c>
      <c r="S128" s="916">
        <f t="shared" si="38"/>
        <v>0</v>
      </c>
      <c r="T128" s="916">
        <f t="shared" si="39"/>
        <v>0</v>
      </c>
      <c r="U128"/>
      <c r="V128" s="925">
        <f t="shared" si="40"/>
        <v>0</v>
      </c>
      <c r="W128" s="925">
        <f t="shared" si="41"/>
        <v>0</v>
      </c>
      <c r="X128" s="925">
        <f t="shared" si="42"/>
        <v>0</v>
      </c>
      <c r="Y128" s="925">
        <f t="shared" si="43"/>
        <v>0</v>
      </c>
      <c r="Z128" s="925">
        <f t="shared" si="44"/>
        <v>0</v>
      </c>
      <c r="AA128"/>
      <c r="AB128"/>
      <c r="AC128"/>
      <c r="AD128"/>
      <c r="AE128"/>
    </row>
    <row r="129" spans="1:31" ht="15.75">
      <c r="A129" s="713">
        <f>'Budget with Assumptions'!A129</f>
        <v>0</v>
      </c>
      <c r="B129" s="46"/>
      <c r="C129" s="46"/>
      <c r="D129" s="366">
        <f>'Budget with Assumptions'!J129</f>
        <v>0</v>
      </c>
      <c r="E129" s="901"/>
      <c r="F129" s="366">
        <f>'Budget with Assumptions'!L129</f>
        <v>0</v>
      </c>
      <c r="G129" s="901"/>
      <c r="H129" s="366">
        <f>'Budget with Assumptions'!N129</f>
        <v>0</v>
      </c>
      <c r="I129" s="901"/>
      <c r="J129" s="366">
        <f>'Budget with Assumptions'!P129</f>
        <v>0</v>
      </c>
      <c r="K129" s="902"/>
      <c r="L129" s="366">
        <f>'Budget with Assumptions'!R129</f>
        <v>0</v>
      </c>
      <c r="M129" s="890"/>
      <c r="N129" s="366">
        <f>'Budget with Assumptions'!T129</f>
        <v>0</v>
      </c>
      <c r="O129"/>
      <c r="P129" s="916">
        <f t="shared" si="35"/>
        <v>0</v>
      </c>
      <c r="Q129" s="916">
        <f t="shared" si="36"/>
        <v>0</v>
      </c>
      <c r="R129" s="916">
        <f t="shared" si="37"/>
        <v>0</v>
      </c>
      <c r="S129" s="916">
        <f t="shared" si="38"/>
        <v>0</v>
      </c>
      <c r="T129" s="916">
        <f t="shared" si="39"/>
        <v>0</v>
      </c>
      <c r="U129"/>
      <c r="V129" s="925">
        <f t="shared" si="40"/>
        <v>0</v>
      </c>
      <c r="W129" s="925">
        <f t="shared" si="41"/>
        <v>0</v>
      </c>
      <c r="X129" s="925">
        <f t="shared" si="42"/>
        <v>0</v>
      </c>
      <c r="Y129" s="925">
        <f t="shared" si="43"/>
        <v>0</v>
      </c>
      <c r="Z129" s="925">
        <f t="shared" si="44"/>
        <v>0</v>
      </c>
      <c r="AA129"/>
      <c r="AB129"/>
      <c r="AC129"/>
      <c r="AD129"/>
      <c r="AE129"/>
    </row>
    <row r="130" spans="1:31" ht="15.75">
      <c r="A130" s="713">
        <f>'Budget with Assumptions'!A130</f>
        <v>0</v>
      </c>
      <c r="B130" s="46"/>
      <c r="C130" s="46"/>
      <c r="D130" s="366">
        <f>'Budget with Assumptions'!J130</f>
        <v>0</v>
      </c>
      <c r="E130" s="901"/>
      <c r="F130" s="366">
        <f>'Budget with Assumptions'!L130</f>
        <v>0</v>
      </c>
      <c r="G130" s="901"/>
      <c r="H130" s="366">
        <f>'Budget with Assumptions'!N130</f>
        <v>0</v>
      </c>
      <c r="I130" s="901"/>
      <c r="J130" s="366">
        <f>'Budget with Assumptions'!P130</f>
        <v>0</v>
      </c>
      <c r="K130" s="902"/>
      <c r="L130" s="366">
        <f>'Budget with Assumptions'!R130</f>
        <v>0</v>
      </c>
      <c r="M130" s="890"/>
      <c r="N130" s="366">
        <f>'Budget with Assumptions'!T130</f>
        <v>0</v>
      </c>
      <c r="O130"/>
      <c r="P130" s="916">
        <f t="shared" si="35"/>
        <v>0</v>
      </c>
      <c r="Q130" s="916">
        <f t="shared" si="36"/>
        <v>0</v>
      </c>
      <c r="R130" s="916">
        <f t="shared" si="37"/>
        <v>0</v>
      </c>
      <c r="S130" s="916">
        <f t="shared" si="38"/>
        <v>0</v>
      </c>
      <c r="T130" s="916">
        <f t="shared" si="39"/>
        <v>0</v>
      </c>
      <c r="U130"/>
      <c r="V130" s="925">
        <f t="shared" si="40"/>
        <v>0</v>
      </c>
      <c r="W130" s="925">
        <f t="shared" si="41"/>
        <v>0</v>
      </c>
      <c r="X130" s="925">
        <f t="shared" si="42"/>
        <v>0</v>
      </c>
      <c r="Y130" s="925">
        <f t="shared" si="43"/>
        <v>0</v>
      </c>
      <c r="Z130" s="925">
        <f t="shared" si="44"/>
        <v>0</v>
      </c>
      <c r="AA130"/>
      <c r="AB130"/>
      <c r="AC130"/>
      <c r="AD130"/>
      <c r="AE130"/>
    </row>
    <row r="131" spans="1:31" ht="15.75">
      <c r="A131" s="713">
        <f>'Budget with Assumptions'!A131</f>
        <v>0</v>
      </c>
      <c r="B131" s="46"/>
      <c r="C131" s="46"/>
      <c r="D131" s="366">
        <f>'Budget with Assumptions'!J131</f>
        <v>0</v>
      </c>
      <c r="E131" s="901"/>
      <c r="F131" s="366">
        <f>'Budget with Assumptions'!L131</f>
        <v>0</v>
      </c>
      <c r="G131" s="901"/>
      <c r="H131" s="366">
        <f>'Budget with Assumptions'!N131</f>
        <v>0</v>
      </c>
      <c r="I131" s="901"/>
      <c r="J131" s="366">
        <f>'Budget with Assumptions'!P131</f>
        <v>0</v>
      </c>
      <c r="K131" s="902"/>
      <c r="L131" s="366">
        <f>'Budget with Assumptions'!R131</f>
        <v>0</v>
      </c>
      <c r="M131" s="890"/>
      <c r="N131" s="366">
        <f>'Budget with Assumptions'!T131</f>
        <v>0</v>
      </c>
      <c r="O131"/>
      <c r="P131" s="916">
        <f t="shared" si="35"/>
        <v>0</v>
      </c>
      <c r="Q131" s="916">
        <f t="shared" si="36"/>
        <v>0</v>
      </c>
      <c r="R131" s="916">
        <f t="shared" si="37"/>
        <v>0</v>
      </c>
      <c r="S131" s="916">
        <f t="shared" si="38"/>
        <v>0</v>
      </c>
      <c r="T131" s="916">
        <f t="shared" si="39"/>
        <v>0</v>
      </c>
      <c r="U131"/>
      <c r="V131" s="925">
        <f t="shared" si="40"/>
        <v>0</v>
      </c>
      <c r="W131" s="925">
        <f t="shared" si="41"/>
        <v>0</v>
      </c>
      <c r="X131" s="925">
        <f t="shared" si="42"/>
        <v>0</v>
      </c>
      <c r="Y131" s="925">
        <f t="shared" si="43"/>
        <v>0</v>
      </c>
      <c r="Z131" s="925">
        <f t="shared" si="44"/>
        <v>0</v>
      </c>
      <c r="AA131"/>
      <c r="AB131"/>
      <c r="AC131"/>
      <c r="AD131"/>
      <c r="AE131"/>
    </row>
    <row r="132" spans="1:31" ht="15.75">
      <c r="A132" s="713">
        <f>'Budget with Assumptions'!A132</f>
        <v>0</v>
      </c>
      <c r="B132" s="46"/>
      <c r="C132" s="46"/>
      <c r="D132" s="366">
        <f>'Budget with Assumptions'!J132</f>
        <v>0</v>
      </c>
      <c r="E132" s="901"/>
      <c r="F132" s="366">
        <f>'Budget with Assumptions'!L132</f>
        <v>0</v>
      </c>
      <c r="G132" s="901"/>
      <c r="H132" s="366">
        <f>'Budget with Assumptions'!N132</f>
        <v>0</v>
      </c>
      <c r="I132" s="901"/>
      <c r="J132" s="366">
        <f>'Budget with Assumptions'!P132</f>
        <v>0</v>
      </c>
      <c r="K132" s="902"/>
      <c r="L132" s="366">
        <f>'Budget with Assumptions'!R132</f>
        <v>0</v>
      </c>
      <c r="M132" s="890"/>
      <c r="N132" s="366">
        <f>'Budget with Assumptions'!T132</f>
        <v>0</v>
      </c>
      <c r="O132"/>
      <c r="P132" s="916">
        <f t="shared" si="35"/>
        <v>0</v>
      </c>
      <c r="Q132" s="916">
        <f t="shared" si="36"/>
        <v>0</v>
      </c>
      <c r="R132" s="916">
        <f t="shared" si="37"/>
        <v>0</v>
      </c>
      <c r="S132" s="916">
        <f t="shared" si="38"/>
        <v>0</v>
      </c>
      <c r="T132" s="916">
        <f t="shared" si="39"/>
        <v>0</v>
      </c>
      <c r="U132"/>
      <c r="V132" s="925">
        <f t="shared" si="40"/>
        <v>0</v>
      </c>
      <c r="W132" s="925">
        <f t="shared" si="41"/>
        <v>0</v>
      </c>
      <c r="X132" s="925">
        <f t="shared" si="42"/>
        <v>0</v>
      </c>
      <c r="Y132" s="925">
        <f t="shared" si="43"/>
        <v>0</v>
      </c>
      <c r="Z132" s="925">
        <f t="shared" si="44"/>
        <v>0</v>
      </c>
      <c r="AA132"/>
      <c r="AB132"/>
      <c r="AC132"/>
      <c r="AD132"/>
      <c r="AE132"/>
    </row>
    <row r="133" spans="1:31" ht="15.75">
      <c r="A133" s="713">
        <f>'Budget with Assumptions'!A133</f>
        <v>0</v>
      </c>
      <c r="B133" s="46"/>
      <c r="C133" s="46"/>
      <c r="D133" s="366">
        <f>'Budget with Assumptions'!J133</f>
        <v>0</v>
      </c>
      <c r="E133" s="901"/>
      <c r="F133" s="366">
        <f>'Budget with Assumptions'!L133</f>
        <v>0</v>
      </c>
      <c r="G133" s="901"/>
      <c r="H133" s="366">
        <f>'Budget with Assumptions'!N133</f>
        <v>0</v>
      </c>
      <c r="I133" s="901"/>
      <c r="J133" s="366">
        <f>'Budget with Assumptions'!P133</f>
        <v>0</v>
      </c>
      <c r="K133" s="902"/>
      <c r="L133" s="366">
        <f>'Budget with Assumptions'!R133</f>
        <v>0</v>
      </c>
      <c r="M133" s="890"/>
      <c r="N133" s="366">
        <f>'Budget with Assumptions'!T133</f>
        <v>0</v>
      </c>
      <c r="O133"/>
      <c r="P133" s="916">
        <f t="shared" si="35"/>
        <v>0</v>
      </c>
      <c r="Q133" s="916">
        <f t="shared" si="36"/>
        <v>0</v>
      </c>
      <c r="R133" s="916">
        <f t="shared" si="37"/>
        <v>0</v>
      </c>
      <c r="S133" s="916">
        <f t="shared" si="38"/>
        <v>0</v>
      </c>
      <c r="T133" s="916">
        <f t="shared" si="39"/>
        <v>0</v>
      </c>
      <c r="U133"/>
      <c r="V133" s="925">
        <f t="shared" si="40"/>
        <v>0</v>
      </c>
      <c r="W133" s="925">
        <f t="shared" si="41"/>
        <v>0</v>
      </c>
      <c r="X133" s="925">
        <f t="shared" si="42"/>
        <v>0</v>
      </c>
      <c r="Y133" s="925">
        <f t="shared" si="43"/>
        <v>0</v>
      </c>
      <c r="Z133" s="925">
        <f t="shared" si="44"/>
        <v>0</v>
      </c>
      <c r="AA133"/>
      <c r="AB133"/>
      <c r="AC133"/>
      <c r="AD133"/>
      <c r="AE133"/>
    </row>
    <row r="134" spans="1:31" ht="15.75">
      <c r="A134" s="713">
        <f>'Budget with Assumptions'!A134</f>
        <v>0</v>
      </c>
      <c r="B134" s="46"/>
      <c r="C134" s="46"/>
      <c r="D134" s="366">
        <f>'Budget with Assumptions'!J134</f>
        <v>0</v>
      </c>
      <c r="E134" s="901"/>
      <c r="F134" s="366">
        <f>'Budget with Assumptions'!L134</f>
        <v>0</v>
      </c>
      <c r="G134" s="901"/>
      <c r="H134" s="366">
        <f>'Budget with Assumptions'!N134</f>
        <v>0</v>
      </c>
      <c r="I134" s="901"/>
      <c r="J134" s="366">
        <f>'Budget with Assumptions'!P134</f>
        <v>0</v>
      </c>
      <c r="K134" s="902"/>
      <c r="L134" s="366">
        <f>'Budget with Assumptions'!R134</f>
        <v>0</v>
      </c>
      <c r="M134" s="890"/>
      <c r="N134" s="366">
        <f>'Budget with Assumptions'!T134</f>
        <v>0</v>
      </c>
      <c r="O134"/>
      <c r="P134" s="916">
        <f t="shared" si="35"/>
        <v>0</v>
      </c>
      <c r="Q134" s="916">
        <f t="shared" si="36"/>
        <v>0</v>
      </c>
      <c r="R134" s="916">
        <f t="shared" si="37"/>
        <v>0</v>
      </c>
      <c r="S134" s="916">
        <f t="shared" si="38"/>
        <v>0</v>
      </c>
      <c r="T134" s="916">
        <f t="shared" si="39"/>
        <v>0</v>
      </c>
      <c r="U134"/>
      <c r="V134" s="925">
        <f t="shared" si="40"/>
        <v>0</v>
      </c>
      <c r="W134" s="925">
        <f t="shared" si="41"/>
        <v>0</v>
      </c>
      <c r="X134" s="925">
        <f t="shared" si="42"/>
        <v>0</v>
      </c>
      <c r="Y134" s="925">
        <f t="shared" si="43"/>
        <v>0</v>
      </c>
      <c r="Z134" s="925">
        <f t="shared" si="44"/>
        <v>0</v>
      </c>
      <c r="AA134"/>
      <c r="AB134"/>
      <c r="AC134"/>
      <c r="AD134"/>
      <c r="AE134"/>
    </row>
    <row r="135" spans="1:31" ht="15.75">
      <c r="A135" s="713">
        <f>'Budget with Assumptions'!A135</f>
        <v>0</v>
      </c>
      <c r="B135" s="46"/>
      <c r="C135" s="46"/>
      <c r="D135" s="366">
        <f>'Budget with Assumptions'!J135</f>
        <v>0</v>
      </c>
      <c r="E135" s="901"/>
      <c r="F135" s="366">
        <f>'Budget with Assumptions'!L135</f>
        <v>0</v>
      </c>
      <c r="G135" s="901"/>
      <c r="H135" s="366">
        <f>'Budget with Assumptions'!N135</f>
        <v>0</v>
      </c>
      <c r="I135" s="901"/>
      <c r="J135" s="366">
        <f>'Budget with Assumptions'!P135</f>
        <v>0</v>
      </c>
      <c r="K135" s="902"/>
      <c r="L135" s="366">
        <f>'Budget with Assumptions'!R135</f>
        <v>0</v>
      </c>
      <c r="M135" s="890"/>
      <c r="N135" s="366">
        <f>'Budget with Assumptions'!T135</f>
        <v>0</v>
      </c>
      <c r="O135"/>
      <c r="P135" s="916">
        <f t="shared" si="35"/>
        <v>0</v>
      </c>
      <c r="Q135" s="916">
        <f t="shared" si="36"/>
        <v>0</v>
      </c>
      <c r="R135" s="916">
        <f t="shared" si="37"/>
        <v>0</v>
      </c>
      <c r="S135" s="916">
        <f t="shared" si="38"/>
        <v>0</v>
      </c>
      <c r="T135" s="916">
        <f t="shared" si="39"/>
        <v>0</v>
      </c>
      <c r="U135"/>
      <c r="V135" s="925">
        <f t="shared" si="40"/>
        <v>0</v>
      </c>
      <c r="W135" s="925">
        <f t="shared" si="41"/>
        <v>0</v>
      </c>
      <c r="X135" s="925">
        <f t="shared" si="42"/>
        <v>0</v>
      </c>
      <c r="Y135" s="925">
        <f t="shared" si="43"/>
        <v>0</v>
      </c>
      <c r="Z135" s="925">
        <f t="shared" si="44"/>
        <v>0</v>
      </c>
      <c r="AA135"/>
      <c r="AB135"/>
      <c r="AC135"/>
      <c r="AD135"/>
      <c r="AE135"/>
    </row>
    <row r="136" spans="1:31" ht="15.75">
      <c r="A136" s="713">
        <f>'Budget with Assumptions'!A136</f>
        <v>0</v>
      </c>
      <c r="B136" s="46"/>
      <c r="C136" s="46"/>
      <c r="D136" s="366">
        <f>'Budget with Assumptions'!J136</f>
        <v>0</v>
      </c>
      <c r="E136" s="901"/>
      <c r="F136" s="366">
        <f>'Budget with Assumptions'!L136</f>
        <v>0</v>
      </c>
      <c r="G136" s="901"/>
      <c r="H136" s="366">
        <f>'Budget with Assumptions'!N136</f>
        <v>0</v>
      </c>
      <c r="I136" s="901"/>
      <c r="J136" s="366">
        <f>'Budget with Assumptions'!P136</f>
        <v>0</v>
      </c>
      <c r="K136" s="902"/>
      <c r="L136" s="366">
        <f>'Budget with Assumptions'!R136</f>
        <v>0</v>
      </c>
      <c r="M136" s="890"/>
      <c r="N136" s="366">
        <f>'Budget with Assumptions'!T136</f>
        <v>0</v>
      </c>
      <c r="O136"/>
      <c r="P136" s="916">
        <f t="shared" si="35"/>
        <v>0</v>
      </c>
      <c r="Q136" s="916">
        <f t="shared" si="36"/>
        <v>0</v>
      </c>
      <c r="R136" s="916">
        <f t="shared" si="37"/>
        <v>0</v>
      </c>
      <c r="S136" s="916">
        <f t="shared" si="38"/>
        <v>0</v>
      </c>
      <c r="T136" s="916">
        <f t="shared" si="39"/>
        <v>0</v>
      </c>
      <c r="U136"/>
      <c r="V136" s="925">
        <f t="shared" si="40"/>
        <v>0</v>
      </c>
      <c r="W136" s="925">
        <f t="shared" si="41"/>
        <v>0</v>
      </c>
      <c r="X136" s="925">
        <f t="shared" si="42"/>
        <v>0</v>
      </c>
      <c r="Y136" s="925">
        <f t="shared" si="43"/>
        <v>0</v>
      </c>
      <c r="Z136" s="925">
        <f t="shared" si="44"/>
        <v>0</v>
      </c>
      <c r="AA136"/>
      <c r="AB136"/>
      <c r="AC136"/>
      <c r="AD136"/>
      <c r="AE136"/>
    </row>
    <row r="137" spans="1:31" ht="16.5" thickBot="1">
      <c r="A137" s="45"/>
      <c r="B137" s="46"/>
      <c r="C137" s="46"/>
      <c r="D137" s="908"/>
      <c r="E137" s="901"/>
      <c r="F137" s="908"/>
      <c r="G137" s="901"/>
      <c r="H137" s="908"/>
      <c r="I137" s="901"/>
      <c r="J137" s="908"/>
      <c r="K137" s="902"/>
      <c r="L137" s="882"/>
      <c r="M137" s="890"/>
      <c r="N137" s="882"/>
      <c r="O137"/>
      <c r="P137" s="917"/>
      <c r="Q137" s="917"/>
      <c r="R137" s="917"/>
      <c r="S137" s="917"/>
      <c r="T137" s="917"/>
      <c r="U137"/>
      <c r="V137" s="741"/>
      <c r="W137" s="741"/>
      <c r="X137" s="741"/>
      <c r="Y137" s="741"/>
      <c r="Z137" s="741"/>
      <c r="AA137"/>
      <c r="AB137"/>
      <c r="AC137"/>
      <c r="AD137"/>
      <c r="AE137"/>
    </row>
    <row r="138" spans="1:31" ht="16.5" thickBot="1">
      <c r="A138" s="385" t="str">
        <f>'Budget with Assumptions'!H138</f>
        <v>Total Occupancy</v>
      </c>
      <c r="B138" s="46"/>
      <c r="C138" s="46"/>
      <c r="D138" s="486">
        <f>SUM(D119:D136)</f>
        <v>33750</v>
      </c>
      <c r="E138" s="362"/>
      <c r="F138" s="486">
        <f>SUM(F119:F136)</f>
        <v>154664.875</v>
      </c>
      <c r="G138" s="362"/>
      <c r="H138" s="486">
        <f>SUM(H119:H136)</f>
        <v>156840.6475</v>
      </c>
      <c r="I138" s="362"/>
      <c r="J138" s="486">
        <f>SUM(J119:J136)</f>
        <v>159407.6141125</v>
      </c>
      <c r="K138" s="363"/>
      <c r="L138" s="486">
        <f>SUM(L119:L136)</f>
        <v>163497.442535875</v>
      </c>
      <c r="M138" s="875"/>
      <c r="N138" s="486">
        <f>SUM(N119:N136)</f>
        <v>167693.76581195122</v>
      </c>
      <c r="O138"/>
      <c r="P138" s="707">
        <f>SUM(P119:P136)</f>
        <v>0.09627376019534326</v>
      </c>
      <c r="Q138" s="707">
        <f>SUM(Q119:Q136)</f>
        <v>0.07523277160295501</v>
      </c>
      <c r="R138" s="707">
        <f>SUM(R119:R136)</f>
        <v>0.06135844194641958</v>
      </c>
      <c r="S138" s="707">
        <f>SUM(S119:S136)</f>
        <v>0.0619687521160643</v>
      </c>
      <c r="T138" s="707">
        <f>SUM(T119:T136)</f>
        <v>0.06254949066621666</v>
      </c>
      <c r="U138"/>
      <c r="V138" s="709">
        <f>SUM(V119:V136)</f>
        <v>1546.64875</v>
      </c>
      <c r="W138" s="709">
        <f>SUM(W119:W136)</f>
        <v>896.2322714285715</v>
      </c>
      <c r="X138" s="709">
        <f>SUM(X119:X136)</f>
        <v>637.63045645</v>
      </c>
      <c r="Y138" s="709">
        <f>SUM(Y119:Y136)</f>
        <v>653.9897701435</v>
      </c>
      <c r="Z138" s="709">
        <f>SUM(Z119:Z136)</f>
        <v>670.775063247805</v>
      </c>
      <c r="AA138"/>
      <c r="AB138"/>
      <c r="AC138"/>
      <c r="AD138"/>
      <c r="AE138"/>
    </row>
    <row r="139" spans="1:31" ht="16.5" thickBot="1">
      <c r="A139" s="57"/>
      <c r="B139" s="38"/>
      <c r="C139" s="38"/>
      <c r="D139" s="908"/>
      <c r="E139" s="909"/>
      <c r="F139" s="908"/>
      <c r="G139" s="909"/>
      <c r="H139" s="908"/>
      <c r="I139" s="909"/>
      <c r="J139" s="908"/>
      <c r="K139" s="910"/>
      <c r="L139" s="882"/>
      <c r="M139" s="884"/>
      <c r="N139" s="882"/>
      <c r="O139"/>
      <c r="P139" s="917"/>
      <c r="Q139" s="917"/>
      <c r="R139" s="917"/>
      <c r="S139" s="917"/>
      <c r="T139" s="917"/>
      <c r="U139"/>
      <c r="V139" s="741"/>
      <c r="W139" s="741"/>
      <c r="X139" s="741"/>
      <c r="Y139" s="741"/>
      <c r="Z139" s="741"/>
      <c r="AA139"/>
      <c r="AB139"/>
      <c r="AC139"/>
      <c r="AD139"/>
      <c r="AE139"/>
    </row>
    <row r="140" spans="1:31" ht="16.5" thickBot="1">
      <c r="A140" s="290" t="str">
        <f>'Budget with Assumptions'!H140</f>
        <v>Education Management Organization Fee</v>
      </c>
      <c r="B140" s="58"/>
      <c r="C140" s="58"/>
      <c r="D140" s="366">
        <f>'Budget with Assumptions'!J140</f>
        <v>0</v>
      </c>
      <c r="E140" s="362"/>
      <c r="F140" s="366">
        <f>'Budget with Assumptions'!L140</f>
        <v>0</v>
      </c>
      <c r="G140" s="901"/>
      <c r="H140" s="366">
        <f>'Budget with Assumptions'!N140</f>
        <v>0</v>
      </c>
      <c r="I140" s="901"/>
      <c r="J140" s="366">
        <f>'Budget with Assumptions'!P140</f>
        <v>0</v>
      </c>
      <c r="K140" s="902"/>
      <c r="L140" s="366">
        <f>'Budget with Assumptions'!R140</f>
        <v>0</v>
      </c>
      <c r="M140" s="890"/>
      <c r="N140" s="366">
        <f>'Budget with Assumptions'!T140</f>
        <v>0</v>
      </c>
      <c r="O140"/>
      <c r="P140" s="918">
        <f>F140/$F$159</f>
        <v>0</v>
      </c>
      <c r="Q140" s="918">
        <f>H140/$H$159</f>
        <v>0</v>
      </c>
      <c r="R140" s="918">
        <f>J140/$J$159</f>
        <v>0</v>
      </c>
      <c r="S140" s="918">
        <f>L140/$L$159</f>
        <v>0</v>
      </c>
      <c r="T140" s="918">
        <f>N140/$N$159</f>
        <v>0</v>
      </c>
      <c r="U140"/>
      <c r="V140" s="923">
        <f>F140/$F$178</f>
        <v>0</v>
      </c>
      <c r="W140" s="923">
        <f>H140/$H$178</f>
        <v>0</v>
      </c>
      <c r="X140" s="923">
        <f>J140/$J$178</f>
        <v>0</v>
      </c>
      <c r="Y140" s="923">
        <f>L140/$L$178</f>
        <v>0</v>
      </c>
      <c r="Z140" s="923">
        <f>N140/$N$178</f>
        <v>0</v>
      </c>
      <c r="AA140"/>
      <c r="AB140"/>
      <c r="AC140"/>
      <c r="AD140"/>
      <c r="AE140"/>
    </row>
    <row r="141" spans="1:31" ht="18.75" customHeight="1" thickBot="1">
      <c r="A141" s="57"/>
      <c r="B141" s="38"/>
      <c r="C141" s="38"/>
      <c r="D141" s="741"/>
      <c r="E141" s="741"/>
      <c r="F141" s="741"/>
      <c r="G141" s="741"/>
      <c r="H141" s="741"/>
      <c r="I141" s="741"/>
      <c r="J141" s="741"/>
      <c r="K141" s="876"/>
      <c r="L141" s="741"/>
      <c r="M141" s="876"/>
      <c r="N141" s="741"/>
      <c r="P141" s="917"/>
      <c r="Q141" s="917"/>
      <c r="R141" s="917"/>
      <c r="S141" s="917"/>
      <c r="T141" s="917"/>
      <c r="V141" s="741"/>
      <c r="W141" s="741"/>
      <c r="X141" s="741"/>
      <c r="Y141" s="741"/>
      <c r="Z141" s="741"/>
      <c r="AA141"/>
      <c r="AB141"/>
      <c r="AC141"/>
      <c r="AD141"/>
      <c r="AE141"/>
    </row>
    <row r="142" spans="1:31" ht="18.75" thickBot="1">
      <c r="A142" s="705" t="s">
        <v>243</v>
      </c>
      <c r="B142" s="58"/>
      <c r="C142" s="58"/>
      <c r="D142" s="908"/>
      <c r="E142" s="909"/>
      <c r="F142" s="908"/>
      <c r="G142" s="909"/>
      <c r="H142" s="908"/>
      <c r="I142" s="909"/>
      <c r="J142" s="908"/>
      <c r="K142" s="910"/>
      <c r="L142" s="882"/>
      <c r="M142" s="884"/>
      <c r="N142" s="882"/>
      <c r="O142"/>
      <c r="P142" s="917"/>
      <c r="Q142" s="917"/>
      <c r="R142" s="917"/>
      <c r="S142" s="917"/>
      <c r="T142" s="917"/>
      <c r="U142"/>
      <c r="V142" s="741"/>
      <c r="W142" s="741"/>
      <c r="X142" s="741"/>
      <c r="Y142" s="741"/>
      <c r="Z142" s="741"/>
      <c r="AA142"/>
      <c r="AB142"/>
      <c r="AC142"/>
      <c r="AD142"/>
      <c r="AE142"/>
    </row>
    <row r="143" spans="1:31" ht="18.75" customHeight="1">
      <c r="A143" s="713" t="str">
        <f>'Budget with Assumptions'!A143</f>
        <v>Insurance</v>
      </c>
      <c r="B143" s="55"/>
      <c r="C143" s="55"/>
      <c r="D143" s="366">
        <f>'Budget with Assumptions'!J143</f>
        <v>0</v>
      </c>
      <c r="E143" s="901"/>
      <c r="F143" s="366">
        <f>'Budget with Assumptions'!L143</f>
        <v>0</v>
      </c>
      <c r="G143" s="901"/>
      <c r="H143" s="366">
        <f>'Budget with Assumptions'!N143</f>
        <v>0</v>
      </c>
      <c r="I143" s="901"/>
      <c r="J143" s="366">
        <f>'Budget with Assumptions'!P143</f>
        <v>0</v>
      </c>
      <c r="K143" s="902"/>
      <c r="L143" s="366">
        <f>'Budget with Assumptions'!R143</f>
        <v>0</v>
      </c>
      <c r="M143" s="890"/>
      <c r="N143" s="366">
        <f>'Budget with Assumptions'!T143</f>
        <v>0</v>
      </c>
      <c r="O143"/>
      <c r="P143" s="916">
        <f>F143/$F$159</f>
        <v>0</v>
      </c>
      <c r="Q143" s="916">
        <f>H143/$H$159</f>
        <v>0</v>
      </c>
      <c r="R143" s="916">
        <f>J143/$J$159</f>
        <v>0</v>
      </c>
      <c r="S143" s="916">
        <f>L143/$L$159</f>
        <v>0</v>
      </c>
      <c r="T143" s="916">
        <f>N143/$N$159</f>
        <v>0</v>
      </c>
      <c r="U143"/>
      <c r="V143" s="925">
        <f>F143/$F$178</f>
        <v>0</v>
      </c>
      <c r="W143" s="925">
        <f>H143/$H$178</f>
        <v>0</v>
      </c>
      <c r="X143" s="925">
        <f>J143/$J$178</f>
        <v>0</v>
      </c>
      <c r="Y143" s="925">
        <f>L143/$L$178</f>
        <v>0</v>
      </c>
      <c r="Z143" s="925">
        <f>N143/$N$178</f>
        <v>0</v>
      </c>
      <c r="AA143"/>
      <c r="AB143"/>
      <c r="AC143"/>
      <c r="AD143"/>
      <c r="AE143"/>
    </row>
    <row r="144" spans="1:31" ht="15.75">
      <c r="A144" s="713" t="str">
        <f>'Budget with Assumptions'!A144</f>
        <v>Non-Facility Loan Payments (P &amp; I)</v>
      </c>
      <c r="B144" s="42"/>
      <c r="C144" s="42"/>
      <c r="D144" s="366">
        <f>'Budget with Assumptions'!J144</f>
        <v>0</v>
      </c>
      <c r="E144" s="901"/>
      <c r="F144" s="366">
        <f>'Budget with Assumptions'!L144</f>
        <v>0</v>
      </c>
      <c r="G144" s="901"/>
      <c r="H144" s="366">
        <f>'Budget with Assumptions'!N144</f>
        <v>0</v>
      </c>
      <c r="I144" s="901"/>
      <c r="J144" s="366">
        <f>'Budget with Assumptions'!P144</f>
        <v>0</v>
      </c>
      <c r="K144" s="902"/>
      <c r="L144" s="366">
        <f>'Budget with Assumptions'!R144</f>
        <v>0</v>
      </c>
      <c r="M144" s="890"/>
      <c r="N144" s="366">
        <f>'Budget with Assumptions'!T144</f>
        <v>0</v>
      </c>
      <c r="O144"/>
      <c r="P144" s="916">
        <f aca="true" t="shared" si="45" ref="P144:P155">F144/$F$159</f>
        <v>0</v>
      </c>
      <c r="Q144" s="916">
        <f aca="true" t="shared" si="46" ref="Q144:Q155">H144/$H$159</f>
        <v>0</v>
      </c>
      <c r="R144" s="916">
        <f aca="true" t="shared" si="47" ref="R144:R155">J144/$J$159</f>
        <v>0</v>
      </c>
      <c r="S144" s="916">
        <f aca="true" t="shared" si="48" ref="S144:S155">L144/$L$159</f>
        <v>0</v>
      </c>
      <c r="T144" s="916">
        <f aca="true" t="shared" si="49" ref="T144:T155">N144/$N$159</f>
        <v>0</v>
      </c>
      <c r="U144"/>
      <c r="V144" s="925">
        <f aca="true" t="shared" si="50" ref="V144:V155">F144/$F$178</f>
        <v>0</v>
      </c>
      <c r="W144" s="925">
        <f aca="true" t="shared" si="51" ref="W144:W155">H144/$H$178</f>
        <v>0</v>
      </c>
      <c r="X144" s="925">
        <f aca="true" t="shared" si="52" ref="X144:X155">J144/$J$178</f>
        <v>0</v>
      </c>
      <c r="Y144" s="925">
        <f aca="true" t="shared" si="53" ref="Y144:Y155">L144/$L$178</f>
        <v>0</v>
      </c>
      <c r="Z144" s="925">
        <f aca="true" t="shared" si="54" ref="Z144:Z155">N144/$N$178</f>
        <v>0</v>
      </c>
      <c r="AA144"/>
      <c r="AB144"/>
      <c r="AC144"/>
      <c r="AD144"/>
      <c r="AE144"/>
    </row>
    <row r="145" spans="1:31" ht="15.75">
      <c r="A145" s="713" t="str">
        <f>'Budget with Assumptions'!A145</f>
        <v>Fundraising Expense</v>
      </c>
      <c r="B145" s="42"/>
      <c r="C145" s="42"/>
      <c r="D145" s="366">
        <f>'Budget with Assumptions'!J145</f>
        <v>0</v>
      </c>
      <c r="E145" s="901"/>
      <c r="F145" s="366">
        <f>'Budget with Assumptions'!L145</f>
        <v>0</v>
      </c>
      <c r="G145" s="901"/>
      <c r="H145" s="366">
        <f>'Budget with Assumptions'!N145</f>
        <v>0</v>
      </c>
      <c r="I145" s="901"/>
      <c r="J145" s="366">
        <f>'Budget with Assumptions'!P145</f>
        <v>0</v>
      </c>
      <c r="K145" s="902"/>
      <c r="L145" s="366">
        <f>'Budget with Assumptions'!R145</f>
        <v>0</v>
      </c>
      <c r="M145" s="890"/>
      <c r="N145" s="366">
        <f>'Budget with Assumptions'!T145</f>
        <v>0</v>
      </c>
      <c r="P145" s="916">
        <f t="shared" si="45"/>
        <v>0</v>
      </c>
      <c r="Q145" s="916">
        <f t="shared" si="46"/>
        <v>0</v>
      </c>
      <c r="R145" s="916">
        <f t="shared" si="47"/>
        <v>0</v>
      </c>
      <c r="S145" s="916">
        <f t="shared" si="48"/>
        <v>0</v>
      </c>
      <c r="T145" s="916">
        <f t="shared" si="49"/>
        <v>0</v>
      </c>
      <c r="U145"/>
      <c r="V145" s="925">
        <f t="shared" si="50"/>
        <v>0</v>
      </c>
      <c r="W145" s="925">
        <f t="shared" si="51"/>
        <v>0</v>
      </c>
      <c r="X145" s="925">
        <f t="shared" si="52"/>
        <v>0</v>
      </c>
      <c r="Y145" s="925">
        <f t="shared" si="53"/>
        <v>0</v>
      </c>
      <c r="Z145" s="925">
        <f t="shared" si="54"/>
        <v>0</v>
      </c>
      <c r="AA145"/>
      <c r="AB145"/>
      <c r="AC145"/>
      <c r="AD145"/>
      <c r="AE145"/>
    </row>
    <row r="146" spans="1:31" ht="15.75">
      <c r="A146" s="713" t="str">
        <f>'Budget with Assumptions'!A146</f>
        <v>Contingency</v>
      </c>
      <c r="B146" s="42"/>
      <c r="C146" s="42"/>
      <c r="D146" s="366">
        <f>'Budget with Assumptions'!J146</f>
        <v>0</v>
      </c>
      <c r="E146" s="901"/>
      <c r="F146" s="366">
        <f>'Budget with Assumptions'!L146</f>
        <v>0</v>
      </c>
      <c r="G146" s="901"/>
      <c r="H146" s="366">
        <f>'Budget with Assumptions'!N146</f>
        <v>0</v>
      </c>
      <c r="I146" s="901"/>
      <c r="J146" s="366">
        <f>'Budget with Assumptions'!P146</f>
        <v>0</v>
      </c>
      <c r="K146" s="902"/>
      <c r="L146" s="366">
        <f>'Budget with Assumptions'!R146</f>
        <v>0</v>
      </c>
      <c r="M146" s="890"/>
      <c r="N146" s="366">
        <f>'Budget with Assumptions'!T146</f>
        <v>0</v>
      </c>
      <c r="P146" s="916">
        <f t="shared" si="45"/>
        <v>0</v>
      </c>
      <c r="Q146" s="916">
        <f t="shared" si="46"/>
        <v>0</v>
      </c>
      <c r="R146" s="916">
        <f t="shared" si="47"/>
        <v>0</v>
      </c>
      <c r="S146" s="916">
        <f t="shared" si="48"/>
        <v>0</v>
      </c>
      <c r="T146" s="916">
        <f t="shared" si="49"/>
        <v>0</v>
      </c>
      <c r="U146"/>
      <c r="V146" s="925">
        <f t="shared" si="50"/>
        <v>0</v>
      </c>
      <c r="W146" s="925">
        <f t="shared" si="51"/>
        <v>0</v>
      </c>
      <c r="X146" s="925">
        <f t="shared" si="52"/>
        <v>0</v>
      </c>
      <c r="Y146" s="925">
        <f t="shared" si="53"/>
        <v>0</v>
      </c>
      <c r="Z146" s="925">
        <f t="shared" si="54"/>
        <v>0</v>
      </c>
      <c r="AA146"/>
      <c r="AB146"/>
      <c r="AC146"/>
      <c r="AD146"/>
      <c r="AE146"/>
    </row>
    <row r="147" spans="1:31" ht="15.75">
      <c r="A147" s="713" t="str">
        <f>'Budget with Assumptions'!A147</f>
        <v>Replacement Reserve</v>
      </c>
      <c r="B147" s="42"/>
      <c r="C147" s="42"/>
      <c r="D147" s="366">
        <f>'Budget with Assumptions'!J147</f>
        <v>0</v>
      </c>
      <c r="E147" s="901"/>
      <c r="F147" s="366">
        <f>'Budget with Assumptions'!L147</f>
        <v>0</v>
      </c>
      <c r="G147" s="901"/>
      <c r="H147" s="366">
        <f>'Budget with Assumptions'!N147</f>
        <v>0</v>
      </c>
      <c r="I147" s="901"/>
      <c r="J147" s="366">
        <f>'Budget with Assumptions'!P147</f>
        <v>0</v>
      </c>
      <c r="K147" s="902"/>
      <c r="L147" s="366">
        <f>'Budget with Assumptions'!R147</f>
        <v>0</v>
      </c>
      <c r="M147" s="890"/>
      <c r="N147" s="366">
        <f>'Budget with Assumptions'!T147</f>
        <v>0</v>
      </c>
      <c r="P147" s="916">
        <f t="shared" si="45"/>
        <v>0</v>
      </c>
      <c r="Q147" s="916">
        <f t="shared" si="46"/>
        <v>0</v>
      </c>
      <c r="R147" s="916">
        <f t="shared" si="47"/>
        <v>0</v>
      </c>
      <c r="S147" s="916">
        <f t="shared" si="48"/>
        <v>0</v>
      </c>
      <c r="T147" s="916">
        <f t="shared" si="49"/>
        <v>0</v>
      </c>
      <c r="U147"/>
      <c r="V147" s="925">
        <f t="shared" si="50"/>
        <v>0</v>
      </c>
      <c r="W147" s="925">
        <f t="shared" si="51"/>
        <v>0</v>
      </c>
      <c r="X147" s="925">
        <f t="shared" si="52"/>
        <v>0</v>
      </c>
      <c r="Y147" s="925">
        <f t="shared" si="53"/>
        <v>0</v>
      </c>
      <c r="Z147" s="925">
        <f t="shared" si="54"/>
        <v>0</v>
      </c>
      <c r="AA147"/>
      <c r="AB147"/>
      <c r="AC147"/>
      <c r="AD147"/>
      <c r="AE147"/>
    </row>
    <row r="148" spans="1:31" ht="15.75">
      <c r="A148" s="713">
        <f>'Budget with Assumptions'!A148</f>
        <v>0</v>
      </c>
      <c r="B148" s="42"/>
      <c r="C148" s="42"/>
      <c r="D148" s="366">
        <f>'Budget with Assumptions'!J148</f>
        <v>0</v>
      </c>
      <c r="E148" s="901"/>
      <c r="F148" s="366">
        <f>'Budget with Assumptions'!L148</f>
        <v>0</v>
      </c>
      <c r="G148" s="901"/>
      <c r="H148" s="366">
        <f>'Budget with Assumptions'!N148</f>
        <v>0</v>
      </c>
      <c r="I148" s="901"/>
      <c r="J148" s="366">
        <f>'Budget with Assumptions'!P148</f>
        <v>0</v>
      </c>
      <c r="K148" s="902"/>
      <c r="L148" s="366">
        <f>'Budget with Assumptions'!R148</f>
        <v>0</v>
      </c>
      <c r="M148" s="890"/>
      <c r="N148" s="366">
        <f>'Budget with Assumptions'!T148</f>
        <v>0</v>
      </c>
      <c r="P148" s="916">
        <f t="shared" si="45"/>
        <v>0</v>
      </c>
      <c r="Q148" s="916">
        <f t="shared" si="46"/>
        <v>0</v>
      </c>
      <c r="R148" s="916">
        <f t="shared" si="47"/>
        <v>0</v>
      </c>
      <c r="S148" s="916">
        <f t="shared" si="48"/>
        <v>0</v>
      </c>
      <c r="T148" s="916">
        <f t="shared" si="49"/>
        <v>0</v>
      </c>
      <c r="U148"/>
      <c r="V148" s="925">
        <f t="shared" si="50"/>
        <v>0</v>
      </c>
      <c r="W148" s="925">
        <f t="shared" si="51"/>
        <v>0</v>
      </c>
      <c r="X148" s="925">
        <f t="shared" si="52"/>
        <v>0</v>
      </c>
      <c r="Y148" s="925">
        <f t="shared" si="53"/>
        <v>0</v>
      </c>
      <c r="Z148" s="925">
        <f t="shared" si="54"/>
        <v>0</v>
      </c>
      <c r="AA148"/>
      <c r="AB148"/>
      <c r="AC148"/>
      <c r="AD148"/>
      <c r="AE148"/>
    </row>
    <row r="149" spans="1:31" ht="15.75">
      <c r="A149" s="713">
        <f>'Budget with Assumptions'!A149</f>
        <v>0</v>
      </c>
      <c r="B149" s="42"/>
      <c r="C149" s="42"/>
      <c r="D149" s="366">
        <f>'Budget with Assumptions'!J149</f>
        <v>0</v>
      </c>
      <c r="E149" s="901"/>
      <c r="F149" s="366">
        <f>'Budget with Assumptions'!L149</f>
        <v>0</v>
      </c>
      <c r="G149" s="901"/>
      <c r="H149" s="366">
        <f>'Budget with Assumptions'!N149</f>
        <v>0</v>
      </c>
      <c r="I149" s="901"/>
      <c r="J149" s="366">
        <f>'Budget with Assumptions'!P149</f>
        <v>0</v>
      </c>
      <c r="K149" s="902"/>
      <c r="L149" s="366">
        <f>'Budget with Assumptions'!R149</f>
        <v>0</v>
      </c>
      <c r="M149" s="890"/>
      <c r="N149" s="366">
        <f>'Budget with Assumptions'!T149</f>
        <v>0</v>
      </c>
      <c r="P149" s="916">
        <f t="shared" si="45"/>
        <v>0</v>
      </c>
      <c r="Q149" s="916">
        <f t="shared" si="46"/>
        <v>0</v>
      </c>
      <c r="R149" s="916">
        <f t="shared" si="47"/>
        <v>0</v>
      </c>
      <c r="S149" s="916">
        <f t="shared" si="48"/>
        <v>0</v>
      </c>
      <c r="T149" s="916">
        <f t="shared" si="49"/>
        <v>0</v>
      </c>
      <c r="U149"/>
      <c r="V149" s="925">
        <f t="shared" si="50"/>
        <v>0</v>
      </c>
      <c r="W149" s="925">
        <f t="shared" si="51"/>
        <v>0</v>
      </c>
      <c r="X149" s="925">
        <f t="shared" si="52"/>
        <v>0</v>
      </c>
      <c r="Y149" s="925">
        <f t="shared" si="53"/>
        <v>0</v>
      </c>
      <c r="Z149" s="925">
        <f t="shared" si="54"/>
        <v>0</v>
      </c>
      <c r="AA149"/>
      <c r="AB149"/>
      <c r="AC149"/>
      <c r="AD149"/>
      <c r="AE149"/>
    </row>
    <row r="150" spans="1:31" ht="15.75">
      <c r="A150" s="713">
        <f>'Budget with Assumptions'!A150</f>
        <v>0</v>
      </c>
      <c r="B150" s="42"/>
      <c r="C150" s="42"/>
      <c r="D150" s="366">
        <f>'Budget with Assumptions'!J150</f>
        <v>0</v>
      </c>
      <c r="E150" s="901"/>
      <c r="F150" s="366">
        <f>'Budget with Assumptions'!L150</f>
        <v>0</v>
      </c>
      <c r="G150" s="901"/>
      <c r="H150" s="366">
        <f>'Budget with Assumptions'!N150</f>
        <v>0</v>
      </c>
      <c r="I150" s="901"/>
      <c r="J150" s="366">
        <f>'Budget with Assumptions'!P150</f>
        <v>0</v>
      </c>
      <c r="K150" s="902"/>
      <c r="L150" s="366">
        <f>'Budget with Assumptions'!R150</f>
        <v>0</v>
      </c>
      <c r="M150" s="890"/>
      <c r="N150" s="366">
        <f>'Budget with Assumptions'!T150</f>
        <v>0</v>
      </c>
      <c r="P150" s="916">
        <f t="shared" si="45"/>
        <v>0</v>
      </c>
      <c r="Q150" s="916">
        <f t="shared" si="46"/>
        <v>0</v>
      </c>
      <c r="R150" s="916">
        <f t="shared" si="47"/>
        <v>0</v>
      </c>
      <c r="S150" s="916">
        <f t="shared" si="48"/>
        <v>0</v>
      </c>
      <c r="T150" s="916">
        <f t="shared" si="49"/>
        <v>0</v>
      </c>
      <c r="U150"/>
      <c r="V150" s="925">
        <f t="shared" si="50"/>
        <v>0</v>
      </c>
      <c r="W150" s="925">
        <f t="shared" si="51"/>
        <v>0</v>
      </c>
      <c r="X150" s="925">
        <f t="shared" si="52"/>
        <v>0</v>
      </c>
      <c r="Y150" s="925">
        <f t="shared" si="53"/>
        <v>0</v>
      </c>
      <c r="Z150" s="925">
        <f t="shared" si="54"/>
        <v>0</v>
      </c>
      <c r="AA150"/>
      <c r="AB150"/>
      <c r="AC150"/>
      <c r="AD150"/>
      <c r="AE150"/>
    </row>
    <row r="151" spans="1:31" ht="15.75">
      <c r="A151" s="713">
        <f>'Budget with Assumptions'!A151</f>
        <v>0</v>
      </c>
      <c r="B151" s="42"/>
      <c r="C151" s="42"/>
      <c r="D151" s="366">
        <f>'Budget with Assumptions'!J151</f>
        <v>0</v>
      </c>
      <c r="E151" s="901"/>
      <c r="F151" s="366">
        <f>'Budget with Assumptions'!L151</f>
        <v>0</v>
      </c>
      <c r="G151" s="901"/>
      <c r="H151" s="366">
        <f>'Budget with Assumptions'!N151</f>
        <v>0</v>
      </c>
      <c r="I151" s="901"/>
      <c r="J151" s="366">
        <f>'Budget with Assumptions'!P151</f>
        <v>0</v>
      </c>
      <c r="K151" s="902"/>
      <c r="L151" s="366">
        <f>'Budget with Assumptions'!R151</f>
        <v>0</v>
      </c>
      <c r="M151" s="890"/>
      <c r="N151" s="366">
        <f>'Budget with Assumptions'!T151</f>
        <v>0</v>
      </c>
      <c r="P151" s="916">
        <f t="shared" si="45"/>
        <v>0</v>
      </c>
      <c r="Q151" s="916">
        <f t="shared" si="46"/>
        <v>0</v>
      </c>
      <c r="R151" s="916">
        <f t="shared" si="47"/>
        <v>0</v>
      </c>
      <c r="S151" s="916">
        <f t="shared" si="48"/>
        <v>0</v>
      </c>
      <c r="T151" s="916">
        <f t="shared" si="49"/>
        <v>0</v>
      </c>
      <c r="U151"/>
      <c r="V151" s="925">
        <f t="shared" si="50"/>
        <v>0</v>
      </c>
      <c r="W151" s="925">
        <f t="shared" si="51"/>
        <v>0</v>
      </c>
      <c r="X151" s="925">
        <f t="shared" si="52"/>
        <v>0</v>
      </c>
      <c r="Y151" s="925">
        <f t="shared" si="53"/>
        <v>0</v>
      </c>
      <c r="Z151" s="925">
        <f t="shared" si="54"/>
        <v>0</v>
      </c>
      <c r="AA151"/>
      <c r="AB151"/>
      <c r="AC151"/>
      <c r="AD151"/>
      <c r="AE151"/>
    </row>
    <row r="152" spans="1:31" ht="15.75">
      <c r="A152" s="713">
        <f>'Budget with Assumptions'!A152</f>
        <v>0</v>
      </c>
      <c r="B152" s="42"/>
      <c r="C152" s="42"/>
      <c r="D152" s="366">
        <f>'Budget with Assumptions'!J152</f>
        <v>0</v>
      </c>
      <c r="E152" s="901"/>
      <c r="F152" s="366">
        <f>'Budget with Assumptions'!L152</f>
        <v>0</v>
      </c>
      <c r="G152" s="901"/>
      <c r="H152" s="366">
        <f>'Budget with Assumptions'!N152</f>
        <v>0</v>
      </c>
      <c r="I152" s="901"/>
      <c r="J152" s="366">
        <f>'Budget with Assumptions'!P152</f>
        <v>0</v>
      </c>
      <c r="K152" s="902"/>
      <c r="L152" s="366">
        <f>'Budget with Assumptions'!R152</f>
        <v>0</v>
      </c>
      <c r="M152" s="890"/>
      <c r="N152" s="366">
        <f>'Budget with Assumptions'!T152</f>
        <v>0</v>
      </c>
      <c r="P152" s="916">
        <f t="shared" si="45"/>
        <v>0</v>
      </c>
      <c r="Q152" s="916">
        <f t="shared" si="46"/>
        <v>0</v>
      </c>
      <c r="R152" s="916">
        <f t="shared" si="47"/>
        <v>0</v>
      </c>
      <c r="S152" s="916">
        <f t="shared" si="48"/>
        <v>0</v>
      </c>
      <c r="T152" s="916">
        <f t="shared" si="49"/>
        <v>0</v>
      </c>
      <c r="U152"/>
      <c r="V152" s="925">
        <f>F152/$F$178</f>
        <v>0</v>
      </c>
      <c r="W152" s="925">
        <f>H152/$H$178</f>
        <v>0</v>
      </c>
      <c r="X152" s="925">
        <f>J152/$J$178</f>
        <v>0</v>
      </c>
      <c r="Y152" s="925">
        <f>L152/$L$178</f>
        <v>0</v>
      </c>
      <c r="Z152" s="925">
        <f>N152/$N$178</f>
        <v>0</v>
      </c>
      <c r="AA152"/>
      <c r="AB152"/>
      <c r="AC152"/>
      <c r="AD152"/>
      <c r="AE152"/>
    </row>
    <row r="153" spans="1:31" ht="15.75">
      <c r="A153" s="713">
        <f>'Budget with Assumptions'!A153</f>
        <v>0</v>
      </c>
      <c r="B153" s="42"/>
      <c r="C153" s="42"/>
      <c r="D153" s="366">
        <f>'Budget with Assumptions'!J153</f>
        <v>0</v>
      </c>
      <c r="E153" s="901"/>
      <c r="F153" s="366">
        <f>'Budget with Assumptions'!L153</f>
        <v>0</v>
      </c>
      <c r="G153" s="901"/>
      <c r="H153" s="366">
        <f>'Budget with Assumptions'!N153</f>
        <v>0</v>
      </c>
      <c r="I153" s="901"/>
      <c r="J153" s="366">
        <f>'Budget with Assumptions'!P153</f>
        <v>0</v>
      </c>
      <c r="K153" s="902"/>
      <c r="L153" s="366">
        <f>'Budget with Assumptions'!R153</f>
        <v>0</v>
      </c>
      <c r="M153" s="890"/>
      <c r="N153" s="366">
        <f>'Budget with Assumptions'!T153</f>
        <v>0</v>
      </c>
      <c r="P153" s="916">
        <f t="shared" si="45"/>
        <v>0</v>
      </c>
      <c r="Q153" s="916">
        <f t="shared" si="46"/>
        <v>0</v>
      </c>
      <c r="R153" s="916">
        <f t="shared" si="47"/>
        <v>0</v>
      </c>
      <c r="S153" s="916">
        <f t="shared" si="48"/>
        <v>0</v>
      </c>
      <c r="T153" s="916">
        <f t="shared" si="49"/>
        <v>0</v>
      </c>
      <c r="U153"/>
      <c r="V153" s="925">
        <f>F153/$F$178</f>
        <v>0</v>
      </c>
      <c r="W153" s="925">
        <f>H153/$H$178</f>
        <v>0</v>
      </c>
      <c r="X153" s="925">
        <f>J153/$J$178</f>
        <v>0</v>
      </c>
      <c r="Y153" s="925">
        <f>L153/$L$178</f>
        <v>0</v>
      </c>
      <c r="Z153" s="925">
        <f>N153/$N$178</f>
        <v>0</v>
      </c>
      <c r="AA153"/>
      <c r="AB153"/>
      <c r="AC153"/>
      <c r="AD153"/>
      <c r="AE153"/>
    </row>
    <row r="154" spans="1:31" ht="15.75">
      <c r="A154" s="713">
        <f>'Budget with Assumptions'!A154</f>
        <v>0</v>
      </c>
      <c r="B154" s="46"/>
      <c r="C154" s="46"/>
      <c r="D154" s="366">
        <f>'Budget with Assumptions'!J154</f>
        <v>0</v>
      </c>
      <c r="E154" s="901"/>
      <c r="F154" s="366">
        <f>'Budget with Assumptions'!L154</f>
        <v>0</v>
      </c>
      <c r="G154" s="901"/>
      <c r="H154" s="366">
        <f>'Budget with Assumptions'!N154</f>
        <v>0</v>
      </c>
      <c r="I154" s="901"/>
      <c r="J154" s="366">
        <f>'Budget with Assumptions'!P154</f>
        <v>0</v>
      </c>
      <c r="K154" s="902"/>
      <c r="L154" s="366">
        <f>'Budget with Assumptions'!R154</f>
        <v>0</v>
      </c>
      <c r="M154" s="890"/>
      <c r="N154" s="366">
        <f>'Budget with Assumptions'!T154</f>
        <v>0</v>
      </c>
      <c r="P154" s="916">
        <f t="shared" si="45"/>
        <v>0</v>
      </c>
      <c r="Q154" s="916">
        <f t="shared" si="46"/>
        <v>0</v>
      </c>
      <c r="R154" s="916">
        <f t="shared" si="47"/>
        <v>0</v>
      </c>
      <c r="S154" s="916">
        <f t="shared" si="48"/>
        <v>0</v>
      </c>
      <c r="T154" s="916">
        <f t="shared" si="49"/>
        <v>0</v>
      </c>
      <c r="U154"/>
      <c r="V154" s="925">
        <f t="shared" si="50"/>
        <v>0</v>
      </c>
      <c r="W154" s="925">
        <f t="shared" si="51"/>
        <v>0</v>
      </c>
      <c r="X154" s="925">
        <f t="shared" si="52"/>
        <v>0</v>
      </c>
      <c r="Y154" s="925">
        <f t="shared" si="53"/>
        <v>0</v>
      </c>
      <c r="Z154" s="925">
        <f t="shared" si="54"/>
        <v>0</v>
      </c>
      <c r="AA154"/>
      <c r="AB154"/>
      <c r="AC154"/>
      <c r="AD154"/>
      <c r="AE154"/>
    </row>
    <row r="155" spans="1:31" ht="15.75">
      <c r="A155" s="713">
        <f>'Budget with Assumptions'!A155</f>
        <v>0</v>
      </c>
      <c r="B155" s="46"/>
      <c r="C155" s="46"/>
      <c r="D155" s="366">
        <f>'Budget with Assumptions'!J155</f>
        <v>0</v>
      </c>
      <c r="E155" s="901"/>
      <c r="F155" s="366">
        <f>'Budget with Assumptions'!L155</f>
        <v>0</v>
      </c>
      <c r="G155" s="901"/>
      <c r="H155" s="366">
        <f>'Budget with Assumptions'!N155</f>
        <v>0</v>
      </c>
      <c r="I155" s="901"/>
      <c r="J155" s="366">
        <f>'Budget with Assumptions'!P155</f>
        <v>0</v>
      </c>
      <c r="K155" s="902"/>
      <c r="L155" s="366">
        <f>'Budget with Assumptions'!R155</f>
        <v>0</v>
      </c>
      <c r="M155" s="890"/>
      <c r="N155" s="366">
        <f>'Budget with Assumptions'!T155</f>
        <v>0</v>
      </c>
      <c r="P155" s="916">
        <f t="shared" si="45"/>
        <v>0</v>
      </c>
      <c r="Q155" s="916">
        <f t="shared" si="46"/>
        <v>0</v>
      </c>
      <c r="R155" s="916">
        <f t="shared" si="47"/>
        <v>0</v>
      </c>
      <c r="S155" s="916">
        <f t="shared" si="48"/>
        <v>0</v>
      </c>
      <c r="T155" s="916">
        <f t="shared" si="49"/>
        <v>0</v>
      </c>
      <c r="U155"/>
      <c r="V155" s="925">
        <f t="shared" si="50"/>
        <v>0</v>
      </c>
      <c r="W155" s="925">
        <f t="shared" si="51"/>
        <v>0</v>
      </c>
      <c r="X155" s="925">
        <f t="shared" si="52"/>
        <v>0</v>
      </c>
      <c r="Y155" s="925">
        <f t="shared" si="53"/>
        <v>0</v>
      </c>
      <c r="Z155" s="925">
        <f t="shared" si="54"/>
        <v>0</v>
      </c>
      <c r="AA155"/>
      <c r="AB155"/>
      <c r="AC155"/>
      <c r="AD155"/>
      <c r="AE155"/>
    </row>
    <row r="156" spans="1:31" ht="16.5" thickBot="1">
      <c r="A156" s="40"/>
      <c r="B156" s="46"/>
      <c r="C156" s="46"/>
      <c r="D156" s="908"/>
      <c r="E156" s="901"/>
      <c r="F156" s="908"/>
      <c r="G156" s="901"/>
      <c r="H156" s="908"/>
      <c r="I156" s="901"/>
      <c r="J156" s="908"/>
      <c r="K156" s="902"/>
      <c r="L156" s="882"/>
      <c r="M156" s="890"/>
      <c r="N156" s="882"/>
      <c r="P156" s="917"/>
      <c r="Q156" s="917"/>
      <c r="R156" s="917"/>
      <c r="S156" s="917"/>
      <c r="T156" s="917"/>
      <c r="U156"/>
      <c r="V156" s="741"/>
      <c r="W156" s="741"/>
      <c r="X156" s="741"/>
      <c r="Y156" s="741"/>
      <c r="Z156" s="741"/>
      <c r="AA156"/>
      <c r="AB156"/>
      <c r="AC156"/>
      <c r="AD156"/>
      <c r="AE156"/>
    </row>
    <row r="157" spans="1:31" ht="16.5" thickBot="1">
      <c r="A157" s="290" t="s">
        <v>24</v>
      </c>
      <c r="B157" s="42"/>
      <c r="C157" s="42"/>
      <c r="D157" s="486">
        <f>SUM(D143:D155)</f>
        <v>0</v>
      </c>
      <c r="E157" s="362"/>
      <c r="F157" s="486">
        <f>SUM(F143:F155)</f>
        <v>0</v>
      </c>
      <c r="G157" s="362"/>
      <c r="H157" s="486">
        <f>SUM(H143:H155)</f>
        <v>0</v>
      </c>
      <c r="I157" s="362"/>
      <c r="J157" s="486">
        <f>SUM(J143:J155)</f>
        <v>0</v>
      </c>
      <c r="K157" s="363"/>
      <c r="L157" s="486">
        <f>SUM(L143:L155)</f>
        <v>0</v>
      </c>
      <c r="M157" s="875"/>
      <c r="N157" s="486">
        <f>SUM(N143:N155)</f>
        <v>0</v>
      </c>
      <c r="O157" s="113"/>
      <c r="P157" s="707">
        <f>SUM(P143:P155)</f>
        <v>0</v>
      </c>
      <c r="Q157" s="707">
        <f>SUM(Q143:Q155)</f>
        <v>0</v>
      </c>
      <c r="R157" s="707">
        <f>SUM(R143:R155)</f>
        <v>0</v>
      </c>
      <c r="S157" s="707">
        <f>SUM(S143:S155)</f>
        <v>0</v>
      </c>
      <c r="T157" s="707">
        <f>SUM(T143:T155)</f>
        <v>0</v>
      </c>
      <c r="U157"/>
      <c r="V157" s="709">
        <f>SUM(V143:V155)</f>
        <v>0</v>
      </c>
      <c r="W157" s="709">
        <f>SUM(W143:W155)</f>
        <v>0</v>
      </c>
      <c r="X157" s="709">
        <f>SUM(X143:X155)</f>
        <v>0</v>
      </c>
      <c r="Y157" s="709">
        <f>SUM(Y143:Y155)</f>
        <v>0</v>
      </c>
      <c r="Z157" s="709">
        <f>SUM(Z143:Z155)</f>
        <v>0</v>
      </c>
      <c r="AA157"/>
      <c r="AB157"/>
      <c r="AC157"/>
      <c r="AD157"/>
      <c r="AE157"/>
    </row>
    <row r="158" spans="1:31" ht="16.5" thickBot="1">
      <c r="A158" s="61"/>
      <c r="B158" s="38"/>
      <c r="C158" s="38"/>
      <c r="D158" s="741"/>
      <c r="E158" s="741"/>
      <c r="F158" s="741"/>
      <c r="G158" s="741"/>
      <c r="H158" s="741"/>
      <c r="I158" s="741"/>
      <c r="J158" s="741"/>
      <c r="K158" s="876"/>
      <c r="L158" s="741"/>
      <c r="M158" s="876"/>
      <c r="N158" s="741"/>
      <c r="P158" s="917"/>
      <c r="Q158" s="917"/>
      <c r="R158" s="917"/>
      <c r="S158" s="917"/>
      <c r="T158" s="917"/>
      <c r="V158" s="741"/>
      <c r="W158" s="741"/>
      <c r="X158" s="741"/>
      <c r="Y158" s="741"/>
      <c r="Z158" s="741"/>
      <c r="AA158"/>
      <c r="AB158"/>
      <c r="AC158"/>
      <c r="AD158"/>
      <c r="AE158"/>
    </row>
    <row r="159" spans="1:31" ht="16.5" thickBot="1">
      <c r="A159" s="293" t="s">
        <v>25</v>
      </c>
      <c r="B159" s="62"/>
      <c r="C159" s="62"/>
      <c r="D159" s="486">
        <f>D64+D92+D116+D138+D140+D157</f>
        <v>145461.625</v>
      </c>
      <c r="E159" s="877"/>
      <c r="F159" s="486">
        <f>F64+F92+F116+F138+F140+F157</f>
        <v>1606511.21018</v>
      </c>
      <c r="G159" s="877"/>
      <c r="H159" s="486">
        <f>H64+H92+H116+H138+H140+H157</f>
        <v>2084738.394695</v>
      </c>
      <c r="I159" s="877"/>
      <c r="J159" s="486">
        <f>J64+J92+J116+J138+J140+J157</f>
        <v>2597973.6293125</v>
      </c>
      <c r="K159" s="878"/>
      <c r="L159" s="486">
        <f>L64+L92+L116+L138+L140+L157</f>
        <v>2638385.266007175</v>
      </c>
      <c r="M159" s="879"/>
      <c r="N159" s="486">
        <f>N64+N92+N116+N138+N140+N157</f>
        <v>2680977.319332891</v>
      </c>
      <c r="P159" s="921">
        <f>P64+P92+P116+P138+P140+P157</f>
        <v>0.9999999999999999</v>
      </c>
      <c r="Q159" s="921">
        <f>Q64+Q92+Q116+Q138+Q140+Q157</f>
        <v>1</v>
      </c>
      <c r="R159" s="921">
        <f>R64+R92+R116+R138+R140+R157</f>
        <v>1</v>
      </c>
      <c r="S159" s="921">
        <f>S64+S92+S116+S138+S140+S157</f>
        <v>0.9999999999999998</v>
      </c>
      <c r="T159" s="921">
        <f>T64+T92+T116+T138+T140+T157</f>
        <v>0.9999999999999999</v>
      </c>
      <c r="U159"/>
      <c r="V159" s="926">
        <f>V64+V92+V116+V138+V140+V157</f>
        <v>16065.1121018</v>
      </c>
      <c r="W159" s="926">
        <f>W64+W92+W116+W138+W140+W157</f>
        <v>11912.790826828572</v>
      </c>
      <c r="X159" s="926">
        <f>X64+X92+X116+X138+X140+X157</f>
        <v>10391.894517249999</v>
      </c>
      <c r="Y159" s="926">
        <f>Y64+Y92+Y116+Y138+Y140+Y157</f>
        <v>10553.5410640287</v>
      </c>
      <c r="Z159" s="926">
        <f>Z64+Z92+Z116+Z138+Z140+Z157</f>
        <v>10723.909277331562</v>
      </c>
      <c r="AA159"/>
      <c r="AB159"/>
      <c r="AC159"/>
      <c r="AD159"/>
      <c r="AE159"/>
    </row>
    <row r="160" spans="1:31" ht="16.5" thickBot="1">
      <c r="A160" s="288"/>
      <c r="B160" s="64"/>
      <c r="C160" s="64"/>
      <c r="D160" s="741"/>
      <c r="E160" s="741"/>
      <c r="F160" s="741"/>
      <c r="G160" s="741"/>
      <c r="H160" s="741"/>
      <c r="I160" s="741"/>
      <c r="J160" s="741"/>
      <c r="K160" s="876"/>
      <c r="L160" s="741"/>
      <c r="M160" s="876"/>
      <c r="N160" s="741"/>
      <c r="AA160"/>
      <c r="AB160"/>
      <c r="AC160"/>
      <c r="AD160"/>
      <c r="AE160"/>
    </row>
    <row r="161" spans="1:31" ht="16.5" thickBot="1">
      <c r="A161" s="376" t="s">
        <v>30</v>
      </c>
      <c r="B161" s="62"/>
      <c r="C161" s="62"/>
      <c r="D161" s="880">
        <f>D35-D159</f>
        <v>6538.375</v>
      </c>
      <c r="E161" s="881"/>
      <c r="F161" s="880">
        <f>F35-F159</f>
        <v>-245289.20417999988</v>
      </c>
      <c r="G161" s="881"/>
      <c r="H161" s="880">
        <f>H35-H159</f>
        <v>18066.465804999927</v>
      </c>
      <c r="I161" s="877"/>
      <c r="J161" s="880">
        <f>J35-J159</f>
        <v>374619.58043750003</v>
      </c>
      <c r="K161" s="878"/>
      <c r="L161" s="880">
        <f>L35-L159</f>
        <v>268912.41108532436</v>
      </c>
      <c r="M161" s="935"/>
      <c r="N161" s="880">
        <f>N35-N159</f>
        <v>231969.56512238365</v>
      </c>
      <c r="P161" s="701"/>
      <c r="Q161" s="701"/>
      <c r="R161" s="701"/>
      <c r="S161" s="701"/>
      <c r="T161" s="701"/>
      <c r="U161"/>
      <c r="V161"/>
      <c r="W161"/>
      <c r="X161"/>
      <c r="Y161"/>
      <c r="Z161"/>
      <c r="AA161"/>
      <c r="AB161"/>
      <c r="AC161"/>
      <c r="AD161"/>
      <c r="AE161"/>
    </row>
    <row r="162" spans="1:31" ht="16.5" thickBot="1">
      <c r="A162" s="372"/>
      <c r="B162" s="375"/>
      <c r="C162" s="369"/>
      <c r="D162" s="882"/>
      <c r="E162" s="882"/>
      <c r="F162" s="882"/>
      <c r="G162" s="882"/>
      <c r="H162" s="882"/>
      <c r="I162" s="882"/>
      <c r="J162" s="882"/>
      <c r="K162" s="883"/>
      <c r="L162" s="882"/>
      <c r="M162" s="884"/>
      <c r="N162" s="882"/>
      <c r="P162" s="701"/>
      <c r="Q162" s="701"/>
      <c r="R162" s="701"/>
      <c r="S162" s="701"/>
      <c r="T162" s="701"/>
      <c r="U162"/>
      <c r="V162" s="708"/>
      <c r="W162" s="708"/>
      <c r="X162" s="708"/>
      <c r="Y162" s="708"/>
      <c r="Z162" s="708"/>
      <c r="AA162"/>
      <c r="AB162"/>
      <c r="AC162"/>
      <c r="AD162"/>
      <c r="AE162"/>
    </row>
    <row r="163" spans="1:31" ht="16.5" thickBot="1">
      <c r="A163" s="373" t="s">
        <v>213</v>
      </c>
      <c r="B163" s="56"/>
      <c r="C163" s="56"/>
      <c r="D163" s="484">
        <f>0</f>
        <v>0</v>
      </c>
      <c r="E163" s="882"/>
      <c r="F163" s="488">
        <f>D165</f>
        <v>6538.375</v>
      </c>
      <c r="G163" s="885"/>
      <c r="H163" s="488">
        <f>F165</f>
        <v>-238750.82917999988</v>
      </c>
      <c r="I163" s="885"/>
      <c r="J163" s="488">
        <f>H165</f>
        <v>-220684.36337499996</v>
      </c>
      <c r="K163" s="886"/>
      <c r="L163" s="488">
        <f>J165</f>
        <v>153935.21706250007</v>
      </c>
      <c r="M163" s="886"/>
      <c r="N163" s="488">
        <f>L165</f>
        <v>422847.62814782443</v>
      </c>
      <c r="P163" s="701"/>
      <c r="Q163" s="701"/>
      <c r="R163" s="701"/>
      <c r="S163" s="701"/>
      <c r="T163" s="701"/>
      <c r="U163"/>
      <c r="V163" s="708"/>
      <c r="W163" s="708"/>
      <c r="X163" s="708"/>
      <c r="Y163" s="708"/>
      <c r="Z163" s="708"/>
      <c r="AA163"/>
      <c r="AB163"/>
      <c r="AC163"/>
      <c r="AD163"/>
      <c r="AE163"/>
    </row>
    <row r="164" spans="1:31" ht="16.5" thickBot="1">
      <c r="A164" s="374" t="s">
        <v>214</v>
      </c>
      <c r="B164" s="56"/>
      <c r="C164" s="56"/>
      <c r="D164" s="488">
        <f>D161</f>
        <v>6538.375</v>
      </c>
      <c r="E164" s="68"/>
      <c r="F164" s="488">
        <f>F161</f>
        <v>-245289.20417999988</v>
      </c>
      <c r="G164" s="654"/>
      <c r="H164" s="488">
        <f>H161</f>
        <v>18066.465804999927</v>
      </c>
      <c r="I164" s="654"/>
      <c r="J164" s="488">
        <f>J161</f>
        <v>374619.58043750003</v>
      </c>
      <c r="K164" s="655"/>
      <c r="L164" s="488">
        <f>L161</f>
        <v>268912.41108532436</v>
      </c>
      <c r="M164" s="655"/>
      <c r="N164" s="488">
        <f>N161</f>
        <v>231969.56512238365</v>
      </c>
      <c r="O164"/>
      <c r="P164" s="701"/>
      <c r="Q164" s="701"/>
      <c r="R164" s="701"/>
      <c r="S164" s="701"/>
      <c r="T164" s="701"/>
      <c r="U164"/>
      <c r="V164"/>
      <c r="W164"/>
      <c r="X164"/>
      <c r="Y164"/>
      <c r="Z164"/>
      <c r="AA164"/>
      <c r="AB164"/>
      <c r="AC164"/>
      <c r="AD164"/>
      <c r="AE164"/>
    </row>
    <row r="165" spans="1:31" ht="16.5" thickBot="1">
      <c r="A165" s="451" t="s">
        <v>215</v>
      </c>
      <c r="B165" s="67"/>
      <c r="C165" s="67"/>
      <c r="D165" s="488">
        <f>D163+D164</f>
        <v>6538.375</v>
      </c>
      <c r="E165" s="67"/>
      <c r="F165" s="488">
        <f>F163+F164</f>
        <v>-238750.82917999988</v>
      </c>
      <c r="G165" s="887"/>
      <c r="H165" s="488">
        <f>H163+H164</f>
        <v>-220684.36337499996</v>
      </c>
      <c r="I165" s="887"/>
      <c r="J165" s="488">
        <f>J163+J164</f>
        <v>153935.21706250007</v>
      </c>
      <c r="K165" s="888"/>
      <c r="L165" s="488">
        <f>L163+L164</f>
        <v>422847.62814782443</v>
      </c>
      <c r="M165" s="655"/>
      <c r="N165" s="488">
        <f>N163+N164</f>
        <v>654817.1932702081</v>
      </c>
      <c r="O165"/>
      <c r="P165" s="701"/>
      <c r="Q165" s="701"/>
      <c r="R165" s="701"/>
      <c r="S165" s="701"/>
      <c r="T165" s="701"/>
      <c r="U165"/>
      <c r="V165"/>
      <c r="W165"/>
      <c r="X165"/>
      <c r="Y165"/>
      <c r="Z165"/>
      <c r="AA165"/>
      <c r="AB165"/>
      <c r="AC165"/>
      <c r="AD165"/>
      <c r="AE165"/>
    </row>
    <row r="166" spans="1:31" ht="15.75">
      <c r="A166" s="35"/>
      <c r="B166" s="65"/>
      <c r="C166" s="65"/>
      <c r="D166" s="889"/>
      <c r="E166" s="66"/>
      <c r="F166" s="889"/>
      <c r="G166" s="66"/>
      <c r="H166" s="889"/>
      <c r="I166" s="66"/>
      <c r="J166" s="889"/>
      <c r="K166" s="875"/>
      <c r="L166" s="889"/>
      <c r="M166" s="890"/>
      <c r="N166" s="741"/>
      <c r="O166"/>
      <c r="P166" s="701"/>
      <c r="Q166" s="701"/>
      <c r="R166" s="701"/>
      <c r="S166" s="701"/>
      <c r="T166" s="701"/>
      <c r="U166"/>
      <c r="V166"/>
      <c r="W166"/>
      <c r="X166"/>
      <c r="Y166"/>
      <c r="Z166"/>
      <c r="AA166"/>
      <c r="AB166"/>
      <c r="AC166"/>
      <c r="AD166"/>
      <c r="AE166"/>
    </row>
    <row r="167" spans="1:31" ht="15.75">
      <c r="A167" s="35"/>
      <c r="B167" s="35"/>
      <c r="C167" s="35"/>
      <c r="D167" s="741"/>
      <c r="E167" s="741"/>
      <c r="F167" s="741"/>
      <c r="G167" s="741"/>
      <c r="H167" s="741"/>
      <c r="I167" s="741"/>
      <c r="J167" s="741"/>
      <c r="K167" s="876"/>
      <c r="L167" s="741"/>
      <c r="M167" s="876"/>
      <c r="N167" s="741"/>
      <c r="O167"/>
      <c r="P167" s="701"/>
      <c r="Q167" s="701"/>
      <c r="R167" s="701"/>
      <c r="S167" s="701"/>
      <c r="T167" s="701"/>
      <c r="U167"/>
      <c r="V167"/>
      <c r="W167"/>
      <c r="X167"/>
      <c r="Y167"/>
      <c r="Z167"/>
      <c r="AA167"/>
      <c r="AB167"/>
      <c r="AC167"/>
      <c r="AD167"/>
      <c r="AE167"/>
    </row>
    <row r="168" spans="1:31" ht="15.75">
      <c r="A168" s="35"/>
      <c r="B168" s="35"/>
      <c r="C168" s="35"/>
      <c r="D168" s="889"/>
      <c r="E168" s="66"/>
      <c r="F168" s="889"/>
      <c r="G168" s="66"/>
      <c r="H168" s="889"/>
      <c r="I168" s="66"/>
      <c r="J168" s="889"/>
      <c r="K168" s="875"/>
      <c r="L168" s="889"/>
      <c r="M168" s="890"/>
      <c r="N168" s="741"/>
      <c r="O168"/>
      <c r="P168" s="701"/>
      <c r="Q168" s="701"/>
      <c r="R168" s="701"/>
      <c r="S168" s="701"/>
      <c r="T168" s="701"/>
      <c r="U168"/>
      <c r="V168"/>
      <c r="W168"/>
      <c r="X168"/>
      <c r="Y168"/>
      <c r="Z168"/>
      <c r="AA168"/>
      <c r="AB168"/>
      <c r="AC168"/>
      <c r="AD168"/>
      <c r="AE168"/>
    </row>
    <row r="169" spans="2:31" ht="15.75">
      <c r="B169" s="35"/>
      <c r="C169" s="35"/>
      <c r="D169" s="889"/>
      <c r="E169" s="66"/>
      <c r="F169" s="889"/>
      <c r="G169" s="66"/>
      <c r="H169" s="889"/>
      <c r="I169" s="66"/>
      <c r="J169" s="889"/>
      <c r="K169" s="875"/>
      <c r="L169" s="889"/>
      <c r="M169" s="890"/>
      <c r="N169" s="741"/>
      <c r="O169"/>
      <c r="P169" s="701"/>
      <c r="Q169" s="701"/>
      <c r="R169" s="701"/>
      <c r="S169" s="701"/>
      <c r="T169" s="701"/>
      <c r="U169"/>
      <c r="V169"/>
      <c r="W169"/>
      <c r="X169"/>
      <c r="Y169"/>
      <c r="Z169"/>
      <c r="AA169"/>
      <c r="AB169"/>
      <c r="AC169"/>
      <c r="AD169"/>
      <c r="AE169"/>
    </row>
    <row r="170" spans="4:14" ht="12.75">
      <c r="D170" s="741"/>
      <c r="E170" s="741"/>
      <c r="F170" s="741"/>
      <c r="G170" s="741"/>
      <c r="H170" s="741"/>
      <c r="I170" s="741"/>
      <c r="J170" s="741"/>
      <c r="K170" s="876"/>
      <c r="L170" s="741"/>
      <c r="M170" s="876"/>
      <c r="N170" s="741"/>
    </row>
    <row r="171" spans="4:14" ht="12.75">
      <c r="D171" s="741"/>
      <c r="E171" s="741"/>
      <c r="F171" s="741"/>
      <c r="G171" s="741"/>
      <c r="H171" s="741"/>
      <c r="I171" s="741"/>
      <c r="J171" s="741"/>
      <c r="K171" s="876"/>
      <c r="L171" s="741"/>
      <c r="M171" s="876"/>
      <c r="N171" s="741"/>
    </row>
    <row r="172" spans="3:14" ht="12.75">
      <c r="C172" s="165"/>
      <c r="D172" s="741"/>
      <c r="E172" s="741"/>
      <c r="F172" s="741"/>
      <c r="G172" s="741"/>
      <c r="H172" s="741"/>
      <c r="I172" s="741"/>
      <c r="J172" s="741"/>
      <c r="K172" s="876"/>
      <c r="L172" s="741"/>
      <c r="M172" s="876"/>
      <c r="N172" s="741"/>
    </row>
    <row r="173" spans="3:14" ht="13.5" thickBot="1">
      <c r="C173" s="165"/>
      <c r="D173" s="741"/>
      <c r="E173" s="741"/>
      <c r="F173" s="741"/>
      <c r="G173" s="741"/>
      <c r="H173" s="741"/>
      <c r="I173" s="741"/>
      <c r="J173" s="741"/>
      <c r="K173" s="876"/>
      <c r="L173" s="741"/>
      <c r="M173" s="876"/>
      <c r="N173" s="741"/>
    </row>
    <row r="174" spans="3:14" ht="13.5" thickBot="1">
      <c r="C174" s="320"/>
      <c r="D174" s="1106" t="s">
        <v>205</v>
      </c>
      <c r="E174" s="1107"/>
      <c r="F174" s="1107"/>
      <c r="G174" s="1107"/>
      <c r="H174" s="1107"/>
      <c r="I174" s="1107"/>
      <c r="J174" s="1107"/>
      <c r="K174" s="1107"/>
      <c r="L174" s="1107"/>
      <c r="M174" s="1107"/>
      <c r="N174" s="1108"/>
    </row>
    <row r="175" spans="3:14" ht="16.5" customHeight="1" thickBot="1">
      <c r="C175" s="165"/>
      <c r="D175" s="398" t="s">
        <v>172</v>
      </c>
      <c r="E175" s="911"/>
      <c r="F175" s="428">
        <f>F9</f>
        <v>17</v>
      </c>
      <c r="G175" s="911"/>
      <c r="H175" s="428">
        <f>H9</f>
        <v>18</v>
      </c>
      <c r="I175" s="911"/>
      <c r="J175" s="428">
        <f>J9</f>
        <v>19</v>
      </c>
      <c r="K175" s="911"/>
      <c r="L175" s="428">
        <f>L9</f>
        <v>20</v>
      </c>
      <c r="M175" s="911"/>
      <c r="N175" s="428">
        <f>N9</f>
        <v>21</v>
      </c>
    </row>
    <row r="176" spans="3:14" ht="40.5" customHeight="1" thickBot="1">
      <c r="C176" s="97"/>
      <c r="D176" s="398" t="s">
        <v>183</v>
      </c>
      <c r="E176" s="912"/>
      <c r="F176" s="633">
        <f>Personnel!G191</f>
        <v>14.5</v>
      </c>
      <c r="G176" s="911"/>
      <c r="H176" s="633">
        <f>Personnel!I191</f>
        <v>19.92</v>
      </c>
      <c r="I176" s="911"/>
      <c r="J176" s="633">
        <f>Personnel!K191</f>
        <v>24.17</v>
      </c>
      <c r="K176" s="911"/>
      <c r="L176" s="633">
        <f>Personnel!M191</f>
        <v>24.17</v>
      </c>
      <c r="M176" s="911"/>
      <c r="N176" s="633">
        <f>Personnel!O191</f>
        <v>24.17</v>
      </c>
    </row>
    <row r="177" spans="3:14" ht="40.5" customHeight="1" thickBot="1">
      <c r="C177" s="97"/>
      <c r="D177" s="398" t="s">
        <v>184</v>
      </c>
      <c r="E177" s="912"/>
      <c r="F177" s="862">
        <f>Personnel!G189</f>
        <v>711350</v>
      </c>
      <c r="G177" s="912"/>
      <c r="H177" s="862">
        <f>Personnel!I189</f>
        <v>973247</v>
      </c>
      <c r="I177" s="912"/>
      <c r="J177" s="862">
        <f>Personnel!K189</f>
        <v>1197384.785</v>
      </c>
      <c r="K177" s="912"/>
      <c r="L177" s="862">
        <f>Personnel!M189</f>
        <v>1233306.32855</v>
      </c>
      <c r="M177" s="912"/>
      <c r="N177" s="862">
        <f>Personnel!O189</f>
        <v>1270305.5184065003</v>
      </c>
    </row>
    <row r="178" spans="3:14" ht="40.5" customHeight="1" thickBot="1">
      <c r="C178" s="97"/>
      <c r="D178" s="398" t="s">
        <v>248</v>
      </c>
      <c r="E178" s="913"/>
      <c r="F178" s="633">
        <f>'Revenues-Fed, State, &amp; Expan. '!E97</f>
        <v>100</v>
      </c>
      <c r="G178" s="913"/>
      <c r="H178" s="633">
        <f>'Revenues-Fed, State, &amp; Expan. '!G97</f>
        <v>175</v>
      </c>
      <c r="I178" s="913"/>
      <c r="J178" s="633">
        <f>'Revenues-Fed, State, &amp; Expan. '!I97</f>
        <v>250</v>
      </c>
      <c r="K178" s="913"/>
      <c r="L178" s="633">
        <f>'Revenues-Fed, State, &amp; Expan. '!K97</f>
        <v>250</v>
      </c>
      <c r="M178" s="913"/>
      <c r="N178" s="633">
        <f>'Revenues-Fed, State, &amp; Expan. '!M97</f>
        <v>250</v>
      </c>
    </row>
    <row r="179" ht="12.75">
      <c r="C179" s="97"/>
    </row>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sheetData>
  <sheetProtection password="CC59" sheet="1" formatColumns="0" formatRows="0"/>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60" r:id="rId1"/>
</worksheet>
</file>

<file path=xl/worksheets/sheet8.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E9" sqref="E9"/>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762" t="s">
        <v>387</v>
      </c>
      <c r="B1" s="1135" t="str">
        <f>'Budget with Assumptions'!A2</f>
        <v>Catapult Academy</v>
      </c>
      <c r="C1" s="1136"/>
    </row>
    <row r="2" spans="1:3" ht="16.5" thickBot="1">
      <c r="A2" s="739"/>
      <c r="B2" s="740"/>
      <c r="C2" s="740"/>
    </row>
    <row r="3" spans="1:3" ht="13.5" thickBot="1">
      <c r="A3" s="1137" t="s">
        <v>418</v>
      </c>
      <c r="B3" s="1138"/>
      <c r="C3" s="1139"/>
    </row>
    <row r="4" spans="1:3" ht="12.75">
      <c r="A4" s="741"/>
      <c r="B4" s="741"/>
      <c r="C4" s="741"/>
    </row>
    <row r="5" spans="1:3" ht="13.5" thickBot="1">
      <c r="A5" s="741"/>
      <c r="B5" s="741"/>
      <c r="C5" s="741"/>
    </row>
    <row r="6" spans="1:3" ht="16.5" thickBot="1">
      <c r="A6" s="763" t="s">
        <v>462</v>
      </c>
      <c r="B6" s="764"/>
      <c r="C6" s="765"/>
    </row>
    <row r="7" spans="1:3" ht="13.5" thickBot="1">
      <c r="A7" s="766" t="s">
        <v>559</v>
      </c>
      <c r="B7" s="764"/>
      <c r="C7" s="765"/>
    </row>
    <row r="8" spans="1:3" ht="13.5" thickBot="1">
      <c r="A8" s="742"/>
      <c r="B8" s="208"/>
      <c r="C8" s="743"/>
    </row>
    <row r="9" spans="1:3" ht="12.75">
      <c r="A9" s="751" t="s">
        <v>388</v>
      </c>
      <c r="B9" s="752"/>
      <c r="C9" s="753"/>
    </row>
    <row r="10" spans="1:3" ht="12.75">
      <c r="A10" s="761" t="s">
        <v>419</v>
      </c>
      <c r="B10" s="755"/>
      <c r="C10" s="756"/>
    </row>
    <row r="11" spans="1:3" ht="12.75">
      <c r="A11" s="754" t="s">
        <v>389</v>
      </c>
      <c r="B11" s="755"/>
      <c r="C11" s="756"/>
    </row>
    <row r="12" spans="1:3" ht="13.5" thickBot="1">
      <c r="A12" s="760" t="s">
        <v>456</v>
      </c>
      <c r="B12" s="757"/>
      <c r="C12" s="758"/>
    </row>
    <row r="13" spans="1:3" ht="13.5" thickBot="1">
      <c r="A13" s="744"/>
      <c r="B13" s="107"/>
      <c r="C13" s="745"/>
    </row>
    <row r="14" spans="1:3" ht="13.5" thickBot="1">
      <c r="A14" s="641" t="s">
        <v>393</v>
      </c>
      <c r="B14" s="107"/>
      <c r="C14" s="745"/>
    </row>
    <row r="15" spans="1:3" ht="12.75">
      <c r="A15" s="767" t="s">
        <v>33</v>
      </c>
      <c r="B15" s="792"/>
      <c r="C15" s="745"/>
    </row>
    <row r="16" spans="1:3" ht="12.75">
      <c r="A16" s="768" t="s">
        <v>390</v>
      </c>
      <c r="B16" s="793"/>
      <c r="C16" s="745"/>
    </row>
    <row r="17" spans="1:3" ht="13.5" thickBot="1">
      <c r="A17" s="769" t="s">
        <v>391</v>
      </c>
      <c r="B17" s="794"/>
      <c r="C17" s="745"/>
    </row>
    <row r="18" spans="1:3" ht="26.25" thickBot="1">
      <c r="A18" s="770" t="s">
        <v>392</v>
      </c>
      <c r="B18" s="530">
        <f>-IF(SUM(B15:B17)=0,0,PMT(B17/12,B16,B15)*12)</f>
        <v>0</v>
      </c>
      <c r="C18" s="745"/>
    </row>
    <row r="19" spans="1:3" ht="12.75">
      <c r="A19" s="744"/>
      <c r="B19" s="107"/>
      <c r="C19" s="745"/>
    </row>
    <row r="20" spans="1:3" ht="12.75">
      <c r="A20" s="781"/>
      <c r="B20" s="780"/>
      <c r="C20" s="747"/>
    </row>
    <row r="22" ht="13.5" thickBot="1"/>
    <row r="23" spans="1:3" ht="16.5" thickBot="1">
      <c r="A23" s="763" t="s">
        <v>463</v>
      </c>
      <c r="B23" s="764"/>
      <c r="C23" s="765"/>
    </row>
    <row r="24" spans="1:3" ht="13.5" thickBot="1">
      <c r="A24" s="766" t="s">
        <v>466</v>
      </c>
      <c r="B24" s="764"/>
      <c r="C24" s="765"/>
    </row>
    <row r="25" spans="1:3" ht="13.5" thickBot="1">
      <c r="A25" s="744"/>
      <c r="B25" s="208"/>
      <c r="C25" s="743"/>
    </row>
    <row r="26" spans="1:3" ht="12.75">
      <c r="A26" s="759" t="s">
        <v>388</v>
      </c>
      <c r="B26" s="752"/>
      <c r="C26" s="753"/>
    </row>
    <row r="27" spans="1:3" ht="12.75">
      <c r="A27" s="761" t="s">
        <v>455</v>
      </c>
      <c r="B27" s="755"/>
      <c r="C27" s="756"/>
    </row>
    <row r="28" spans="1:3" ht="13.5" thickBot="1">
      <c r="A28" s="760" t="s">
        <v>457</v>
      </c>
      <c r="B28" s="757"/>
      <c r="C28" s="758"/>
    </row>
    <row r="29" spans="1:3" ht="12.75">
      <c r="A29" s="744"/>
      <c r="B29" s="208"/>
      <c r="C29" s="743"/>
    </row>
    <row r="30" spans="1:3" ht="13.5" thickBot="1">
      <c r="A30" s="744"/>
      <c r="B30" s="208"/>
      <c r="C30" s="743"/>
    </row>
    <row r="31" spans="1:3" ht="13.5" thickBot="1">
      <c r="A31" s="641" t="s">
        <v>397</v>
      </c>
      <c r="B31" s="208"/>
      <c r="C31" s="743"/>
    </row>
    <row r="32" spans="1:3" ht="12.75">
      <c r="A32" s="767" t="s">
        <v>33</v>
      </c>
      <c r="B32" s="792"/>
      <c r="C32" s="745"/>
    </row>
    <row r="33" spans="1:3" ht="12.75">
      <c r="A33" s="768" t="s">
        <v>390</v>
      </c>
      <c r="B33" s="793"/>
      <c r="C33" s="745"/>
    </row>
    <row r="34" spans="1:3" ht="13.5" thickBot="1">
      <c r="A34" s="769" t="s">
        <v>391</v>
      </c>
      <c r="B34" s="795"/>
      <c r="C34" s="745"/>
    </row>
    <row r="35" spans="1:3" ht="26.25" thickBot="1">
      <c r="A35" s="770" t="s">
        <v>392</v>
      </c>
      <c r="B35" s="530">
        <f>-IF(SUM(B32:B34)=0,0,PMT(B34/12,B33,B32)*12)</f>
        <v>0</v>
      </c>
      <c r="C35" s="745"/>
    </row>
    <row r="36" spans="1:3" ht="12.75">
      <c r="A36" s="748"/>
      <c r="B36" s="749"/>
      <c r="C36" s="750"/>
    </row>
    <row r="37" spans="1:3" ht="12.75">
      <c r="A37" s="746"/>
      <c r="B37" s="780"/>
      <c r="C37" s="747"/>
    </row>
    <row r="38" ht="12.75">
      <c r="A38" s="741"/>
    </row>
  </sheetData>
  <sheetProtection password="CC59" sheet="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9.xml><?xml version="1.0" encoding="utf-8"?>
<worksheet xmlns="http://schemas.openxmlformats.org/spreadsheetml/2006/main" xmlns:r="http://schemas.openxmlformats.org/officeDocument/2006/relationships">
  <dimension ref="A1:F6"/>
  <sheetViews>
    <sheetView zoomScalePageLayoutView="0" workbookViewId="0" topLeftCell="A1">
      <selection activeCell="A1" sqref="A1"/>
    </sheetView>
  </sheetViews>
  <sheetFormatPr defaultColWidth="9.140625" defaultRowHeight="12.75"/>
  <cols>
    <col min="1" max="1" width="62.7109375" style="0" customWidth="1"/>
  </cols>
  <sheetData>
    <row r="1" spans="1:6" ht="13.5" thickBot="1">
      <c r="A1" s="933" t="str">
        <f>'Budget with Assumptions'!A2</f>
        <v>Catapult Academy</v>
      </c>
      <c r="B1" s="730"/>
      <c r="C1" s="730"/>
      <c r="D1" s="730"/>
      <c r="E1" s="730"/>
      <c r="F1" s="624"/>
    </row>
    <row r="2" ht="12.75">
      <c r="A2" s="11"/>
    </row>
    <row r="4" spans="1:6" ht="12.75">
      <c r="A4" s="7" t="s">
        <v>372</v>
      </c>
      <c r="B4" s="7"/>
      <c r="C4" s="7"/>
      <c r="D4" s="7"/>
      <c r="E4" s="7"/>
      <c r="F4" s="7"/>
    </row>
    <row r="5" spans="1:6" ht="12.75">
      <c r="A5" s="97"/>
      <c r="B5" s="97"/>
      <c r="C5" s="97"/>
      <c r="D5" s="97"/>
      <c r="E5" s="97"/>
      <c r="F5" s="97"/>
    </row>
    <row r="6" spans="1:6" ht="12.75">
      <c r="A6" s="97"/>
      <c r="B6" s="97"/>
      <c r="C6" s="97"/>
      <c r="D6" s="97"/>
      <c r="E6" s="97"/>
      <c r="F6" s="9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Chicago Public Schools</cp:lastModifiedBy>
  <cp:lastPrinted>2015-04-02T19:19:49Z</cp:lastPrinted>
  <dcterms:created xsi:type="dcterms:W3CDTF">2008-07-31T19:00:10Z</dcterms:created>
  <dcterms:modified xsi:type="dcterms:W3CDTF">2015-04-17T19:46:19Z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PublishingExpirationDate">
    <vt:lpwstr/>
  </property>
  <property fmtid="{D5CDD505-2E9C-101B-9397-08002B2CF9AE}" pid="5" name="PublishingStartDate">
    <vt:lpwstr/>
  </property>
</Properties>
</file>