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4865" windowHeight="7305" tabRatio="822" activeTab="5"/>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 name="CMO Costs" sheetId="11" r:id="rId11"/>
  </sheets>
  <definedNames>
    <definedName name="_xlnm.Print_Titles" localSheetId="5">'Budget Summary '!$A:$A,'Budget Summary '!$7:$9</definedName>
    <definedName name="_xlnm.Print_Titles" localSheetId="4">'Budget with Assumptions'!$A:$A,'Budget with Assumptions'!$7:$9</definedName>
  </definedNames>
  <calcPr fullCalcOnLoad="1"/>
</workbook>
</file>

<file path=xl/comments11.xml><?xml version="1.0" encoding="utf-8"?>
<comments xmlns="http://schemas.openxmlformats.org/spreadsheetml/2006/main">
  <authors>
    <author>Mitch</author>
  </authors>
  <commentList>
    <comment ref="A42" authorId="0">
      <text>
        <r>
          <rPr>
            <b/>
            <sz val="9"/>
            <rFont val="Tahoma"/>
            <family val="2"/>
          </rPr>
          <t>Mitch:</t>
        </r>
        <r>
          <rPr>
            <sz val="9"/>
            <rFont val="Tahoma"/>
            <family val="2"/>
          </rPr>
          <t xml:space="preserve">
blue font denotes Y0 allocation</t>
        </r>
      </text>
    </comment>
  </commentList>
</comments>
</file>

<file path=xl/sharedStrings.xml><?xml version="1.0" encoding="utf-8"?>
<sst xmlns="http://schemas.openxmlformats.org/spreadsheetml/2006/main" count="1869" uniqueCount="720">
  <si>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</si>
  <si>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</si>
  <si>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</si>
  <si>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</si>
  <si>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</si>
  <si>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</si>
  <si>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</si>
  <si>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</si>
  <si>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</si>
  <si>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</si>
  <si>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</si>
  <si>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</si>
  <si>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</si>
  <si>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</si>
  <si>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</si>
  <si>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</si>
  <si>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</si>
  <si>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</si>
  <si>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</si>
  <si>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</si>
  <si>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</si>
  <si>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</si>
  <si>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</si>
  <si>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</si>
  <si>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</si>
  <si>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</si>
  <si>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</si>
  <si>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</si>
  <si>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</si>
  <si>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</si>
  <si>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</si>
  <si>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</si>
  <si>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</si>
  <si>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</si>
  <si>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</si>
  <si>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</si>
  <si>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</si>
  <si>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</si>
  <si>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</si>
  <si>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</si>
  <si>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</si>
  <si>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</si>
  <si>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</si>
  <si>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</si>
  <si>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</si>
  <si>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</si>
  <si>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</si>
  <si>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</si>
  <si>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</si>
  <si>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</si>
  <si>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</si>
  <si>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</si>
  <si>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</si>
  <si>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</si>
  <si>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</si>
  <si>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</si>
  <si>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</si>
  <si>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</si>
  <si>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</si>
  <si>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</si>
  <si>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</si>
  <si>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</si>
  <si>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</si>
  <si>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</si>
  <si>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</si>
  <si>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</si>
  <si>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</si>
  <si>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</si>
  <si>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</si>
  <si>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</si>
  <si>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</si>
  <si>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</si>
  <si>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</si>
  <si>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</si>
  <si>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</si>
  <si>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</si>
  <si>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</si>
  <si>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Counselors</t>
  </si>
  <si>
    <t>Librarians</t>
  </si>
  <si>
    <t>Deans</t>
  </si>
  <si>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</si>
  <si>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</si>
  <si>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</si>
  <si>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</si>
  <si>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</si>
  <si>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r>
      <t xml:space="preserve">Positions that Do </t>
    </r>
    <r>
      <rPr>
        <b/>
        <u val="single"/>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</si>
  <si>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</si>
  <si>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</si>
  <si>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</si>
  <si>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</si>
  <si>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</si>
  <si>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</si>
  <si>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</si>
  <si>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</si>
  <si>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</si>
  <si>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</si>
  <si>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</si>
  <si>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</si>
  <si>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</si>
  <si>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</si>
  <si>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</si>
  <si>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</si>
  <si>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</si>
  <si>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</si>
  <si>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</si>
  <si>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</si>
  <si>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</si>
  <si>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</si>
  <si>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</si>
  <si>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</si>
  <si>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</si>
  <si>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</si>
  <si>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</si>
  <si>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</si>
  <si>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</si>
  <si>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</si>
  <si>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</si>
  <si>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</si>
  <si>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</si>
  <si>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</si>
  <si>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</si>
  <si>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</si>
  <si>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</si>
  <si>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</si>
  <si>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</si>
  <si>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</si>
  <si>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</si>
  <si>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</si>
  <si>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</si>
  <si>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</si>
  <si>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</si>
  <si>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</si>
  <si>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</si>
  <si>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</si>
  <si>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</si>
  <si>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</si>
  <si>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</si>
  <si>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</si>
  <si>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</si>
  <si>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</si>
  <si>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</si>
  <si>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</si>
  <si>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</si>
  <si>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</si>
  <si>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</si>
  <si>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</si>
  <si>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</si>
  <si>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</si>
  <si>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</si>
  <si>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</si>
  <si>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</si>
  <si>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</si>
  <si>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</si>
  <si>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</si>
  <si>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</si>
  <si>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</si>
  <si>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</si>
  <si>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</si>
  <si>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</si>
  <si>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</si>
  <si>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</si>
  <si>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</si>
  <si>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</si>
  <si>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</si>
  <si>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</si>
  <si>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</si>
  <si>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</si>
  <si>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</si>
  <si>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</si>
  <si>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</si>
  <si>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</si>
  <si>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</si>
  <si>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</si>
  <si>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</si>
  <si>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</si>
  <si>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</si>
  <si>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</si>
  <si>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</si>
  <si>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</si>
  <si>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</si>
  <si>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</si>
  <si>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</si>
  <si>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</si>
  <si>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</si>
  <si>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</si>
  <si>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</si>
  <si>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</si>
  <si>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</si>
  <si>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</si>
  <si>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</si>
  <si>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</si>
  <si>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</si>
  <si>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</si>
  <si>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</si>
  <si>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</si>
  <si>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</si>
  <si>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</si>
  <si>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</si>
  <si>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</si>
  <si>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</si>
  <si>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</si>
  <si>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</si>
  <si>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</si>
  <si>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</si>
  <si>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</si>
  <si>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</si>
  <si>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</si>
  <si>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</si>
  <si>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</si>
  <si>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</si>
  <si>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</si>
  <si>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</si>
  <si>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</si>
  <si>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</si>
  <si>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</si>
  <si>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</si>
  <si>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</si>
  <si>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</si>
  <si>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</si>
  <si>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</si>
  <si>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</si>
  <si>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</si>
  <si>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</si>
  <si>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</si>
  <si>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</si>
  <si>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</si>
  <si>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</si>
  <si>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</si>
  <si>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</si>
  <si>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</si>
  <si>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</si>
  <si>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</si>
  <si>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</si>
  <si>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</si>
  <si>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</si>
  <si>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</si>
  <si>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</si>
  <si>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</si>
  <si>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</si>
  <si>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</si>
  <si>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</si>
  <si>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</si>
  <si>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</si>
  <si>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</si>
  <si>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</si>
  <si>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</si>
  <si>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</si>
  <si>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</si>
  <si>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</si>
  <si>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</si>
  <si>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</si>
  <si>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</si>
  <si>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</si>
  <si>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</si>
  <si>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</si>
  <si>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</si>
  <si>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</si>
  <si>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</si>
  <si>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</si>
  <si>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</si>
  <si>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</si>
  <si>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</si>
  <si>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</si>
  <si>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</si>
  <si>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</si>
  <si>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</si>
  <si>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</si>
  <si>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</si>
  <si>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</si>
  <si>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</si>
  <si>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</si>
  <si>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</si>
  <si>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</si>
  <si>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</si>
  <si>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</si>
  <si>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</si>
  <si>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</si>
  <si>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</si>
  <si>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</si>
  <si>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</si>
  <si>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</si>
  <si>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</si>
  <si>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</si>
  <si>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</si>
  <si>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</si>
  <si>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</si>
  <si>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</si>
  <si>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</si>
  <si>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</si>
  <si>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</si>
  <si>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</si>
  <si>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</si>
  <si>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</si>
  <si>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</si>
  <si>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</si>
  <si>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</si>
  <si>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</si>
  <si>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</si>
  <si>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</si>
  <si>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</si>
  <si>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</si>
  <si>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</si>
  <si>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</si>
  <si>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</si>
  <si>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</si>
  <si>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</si>
  <si>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</si>
  <si>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</si>
  <si>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</si>
  <si>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</si>
  <si>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</si>
  <si>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</si>
  <si>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</si>
  <si>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</si>
  <si>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</si>
  <si>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</si>
  <si>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</si>
  <si>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</si>
  <si>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</si>
  <si>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</si>
  <si>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</si>
  <si>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</si>
  <si>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</si>
  <si>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</si>
  <si>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</si>
  <si>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</si>
  <si>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</si>
  <si>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</si>
  <si>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</si>
  <si>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</si>
  <si>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</si>
  <si>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</si>
  <si>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</si>
  <si>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</si>
  <si>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</si>
  <si>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</si>
  <si>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</si>
  <si>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</si>
  <si>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</si>
  <si>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</si>
  <si>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</si>
  <si>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</si>
  <si>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</si>
  <si>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</si>
  <si>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</si>
  <si>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</si>
  <si>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</si>
  <si>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</si>
  <si>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</si>
  <si>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</si>
  <si>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</si>
  <si>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</si>
  <si>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</si>
  <si>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</si>
  <si>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</si>
  <si>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</si>
  <si>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</si>
  <si>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</si>
  <si>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</si>
  <si>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</si>
  <si>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</si>
  <si>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</si>
  <si>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</si>
  <si>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</si>
  <si>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</si>
  <si>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</si>
  <si>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</si>
  <si>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</si>
  <si>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</si>
  <si>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</si>
  <si>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</si>
  <si>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</si>
  <si>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</si>
  <si>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</si>
  <si>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</si>
  <si>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</si>
  <si>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</si>
  <si>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</si>
  <si>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</si>
  <si>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</si>
  <si>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</si>
  <si>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</si>
  <si>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</si>
  <si>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</si>
  <si>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</si>
  <si>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</si>
  <si>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</si>
  <si>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</si>
  <si>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</si>
  <si>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</si>
  <si>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</si>
  <si>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</si>
  <si>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</si>
  <si>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</si>
  <si>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</si>
  <si>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</si>
  <si>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</si>
  <si>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</si>
  <si>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</si>
  <si>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</si>
  <si>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</si>
  <si>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</si>
  <si>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</si>
  <si>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</si>
  <si>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</si>
  <si>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</si>
  <si>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</si>
  <si>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</si>
  <si>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</si>
  <si>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</si>
  <si>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</si>
  <si>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</si>
  <si>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</si>
  <si>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</si>
  <si>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</si>
  <si>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</si>
  <si>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</si>
  <si>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</si>
  <si>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</si>
  <si>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</si>
  <si>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</si>
  <si>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</si>
  <si>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</si>
  <si>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</si>
  <si>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</si>
  <si>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</si>
  <si>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</si>
  <si>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</si>
  <si>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</si>
  <si>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</si>
  <si>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</si>
  <si>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</si>
  <si>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</si>
  <si>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</si>
  <si>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</si>
  <si>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</si>
  <si>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</si>
  <si>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</si>
  <si>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</si>
  <si>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</si>
  <si>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</si>
  <si>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</si>
  <si>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</si>
  <si>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</si>
  <si>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</si>
  <si>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</si>
  <si>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</si>
  <si>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</si>
  <si>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</si>
  <si>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</si>
  <si>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</si>
  <si>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</si>
  <si>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</si>
  <si>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</si>
  <si>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</si>
  <si>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</si>
  <si>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</si>
  <si>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</si>
  <si>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</si>
  <si>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</si>
  <si>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</si>
  <si>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</si>
  <si>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</si>
  <si>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</si>
  <si>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</si>
  <si>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</si>
  <si>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</si>
  <si>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</si>
  <si>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</si>
  <si>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</si>
  <si>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</si>
  <si>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</si>
  <si>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</si>
  <si>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</si>
  <si>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</si>
  <si>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</si>
  <si>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</si>
  <si>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</si>
  <si>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</si>
  <si>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</si>
  <si>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</si>
  <si>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</si>
  <si>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</si>
  <si>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</si>
  <si>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</si>
  <si>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</si>
  <si>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</si>
  <si>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</si>
  <si>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</si>
  <si>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</si>
  <si>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</si>
  <si>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</si>
  <si>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</si>
  <si>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</si>
  <si>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</si>
  <si>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</si>
  <si>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</si>
  <si>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</si>
  <si>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</si>
  <si>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</si>
  <si>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</si>
  <si>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</si>
  <si>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</si>
  <si>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</si>
  <si>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</si>
  <si>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</si>
  <si>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</si>
  <si>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</si>
  <si>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</si>
  <si>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</si>
  <si>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</si>
  <si>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</si>
  <si>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</si>
  <si>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</si>
  <si>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</si>
  <si>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</si>
  <si>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</si>
  <si>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</si>
  <si>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</si>
  <si>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</si>
  <si>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</si>
  <si>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</si>
  <si>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</si>
  <si>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</si>
  <si>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</si>
  <si>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</si>
  <si>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</si>
  <si>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</si>
  <si>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</si>
  <si>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</si>
  <si>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</si>
  <si>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</si>
  <si>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</si>
  <si>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</si>
  <si>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</si>
  <si>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</si>
  <si>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</si>
  <si>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</si>
  <si>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</si>
  <si>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</si>
  <si>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</si>
  <si>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</si>
  <si>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</si>
  <si>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</si>
  <si>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</si>
  <si>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</si>
  <si>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</si>
  <si>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</si>
  <si>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</si>
  <si>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</si>
  <si>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</si>
  <si>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</si>
  <si>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</si>
  <si>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</si>
  <si>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</si>
  <si>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</si>
  <si>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</si>
  <si>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</si>
  <si>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</si>
  <si>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</si>
  <si>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</si>
  <si>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</si>
  <si>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</si>
  <si>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</si>
  <si>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</si>
  <si>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</si>
  <si>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</si>
  <si>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</si>
  <si>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</si>
  <si>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</si>
  <si>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</si>
  <si>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</si>
  <si>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</si>
  <si>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</si>
  <si>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</si>
  <si>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</si>
  <si>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</si>
  <si>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</si>
  <si>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</si>
  <si>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</si>
  <si>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</si>
  <si>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</si>
  <si>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</si>
  <si>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</si>
  <si>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</si>
  <si>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</si>
  <si>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</si>
  <si>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CMO Year:</t>
  </si>
  <si>
    <t>Opening Schedule</t>
  </si>
  <si>
    <t>(x = actual opening; o = template reflected opening)</t>
  </si>
  <si>
    <t>x o</t>
  </si>
  <si>
    <t>o</t>
  </si>
  <si>
    <t>x</t>
  </si>
  <si>
    <t>Fundraising Assumptions</t>
  </si>
  <si>
    <t>Org</t>
  </si>
  <si>
    <t>$</t>
  </si>
  <si>
    <t>Assumption</t>
  </si>
  <si>
    <t>WIA</t>
  </si>
  <si>
    <t>NGLC</t>
  </si>
  <si>
    <t>Walton</t>
  </si>
  <si>
    <t>$250K in Y1 of every campus</t>
  </si>
  <si>
    <t>CFA Board</t>
  </si>
  <si>
    <t>$50K per year distrinbuted equally between all campuses</t>
  </si>
  <si>
    <t>Fundraising</t>
  </si>
  <si>
    <t>Rates are based on estimates from comparable Chicago charter school serving alternative student population.</t>
  </si>
  <si>
    <t>Rates are based on estimates from comparable Chicago charter school.</t>
  </si>
  <si>
    <t>Rates are based on estimates from comparable Chicago charter school applicant.</t>
  </si>
  <si>
    <t>$130 per day, each teacher gets 5 days of substitutes</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</si>
  <si>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</si>
  <si>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</si>
  <si>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</si>
  <si>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Pension-CTPF(Charter School's Share of 9% of Employee w/h)</t>
  </si>
  <si>
    <t>Y1</t>
  </si>
  <si>
    <t>Y2</t>
  </si>
  <si>
    <t>Y3</t>
  </si>
  <si>
    <t>Y4</t>
  </si>
  <si>
    <t>Y5</t>
  </si>
  <si>
    <t>Two times estimated student fees</t>
  </si>
  <si>
    <t>Total Fringe Benefits (a)</t>
  </si>
  <si>
    <t>Total CTPF Salary (b)</t>
  </si>
  <si>
    <t>Fringe Benefit's % of Salary (a/b)</t>
  </si>
  <si>
    <t>Total</t>
  </si>
  <si>
    <t>Postions</t>
  </si>
  <si>
    <t>CAO</t>
  </si>
  <si>
    <t>Accounting Manager</t>
  </si>
  <si>
    <t>HR Manager</t>
  </si>
  <si>
    <t>Ops Manager</t>
  </si>
  <si>
    <t>Salaries &amp; Benefits</t>
  </si>
  <si>
    <t>Inflation Factor</t>
  </si>
  <si>
    <t>Benefit Load</t>
  </si>
  <si>
    <t>I</t>
  </si>
  <si>
    <t>J</t>
  </si>
  <si>
    <t>CMO total enrollment</t>
  </si>
  <si>
    <t>CMO Staff - Charge per pupil</t>
  </si>
  <si>
    <t>Rates are based on estimates from comparable Chicago charter school. Employer share at $400/month/employee</t>
  </si>
  <si>
    <t>CMO Fees</t>
  </si>
  <si>
    <t>CMO Non-Personnel Breakout</t>
  </si>
  <si>
    <t>CMO Non-Personnel Breakout (per pupil)</t>
  </si>
  <si>
    <t>School Enrollment</t>
  </si>
  <si>
    <t>CMO Fee - Total</t>
  </si>
  <si>
    <t>CMO Non-Personnel Breakout (Total for School)</t>
  </si>
  <si>
    <t>Mentors</t>
  </si>
  <si>
    <t>Academic Advisor</t>
  </si>
  <si>
    <t>Registrar</t>
  </si>
  <si>
    <t>CFA estimates $25 per student for classroom supplies, based on estimates from comparable Chicago charter school serving alternative student population.</t>
  </si>
  <si>
    <t>Dual Enrollment</t>
  </si>
  <si>
    <t xml:space="preserve">Student fees estimated at $25 per pupil, based on comparables from Chicago charter school serving an alternative student population. </t>
  </si>
  <si>
    <t>CMO personnel cost allocation</t>
  </si>
  <si>
    <t>Check</t>
  </si>
  <si>
    <t>$80 per new student 1 year in advance</t>
  </si>
  <si>
    <t>Assumed $1,000 per year plus $25 for empty seats to be filled in the coming year; based on comparables from Chicago charter school serving an alternative student population.</t>
  </si>
  <si>
    <t xml:space="preserve">See 'Calculations' tab for each location's funding assumption. </t>
  </si>
  <si>
    <t>Tuition Calculations</t>
  </si>
  <si>
    <t>Estimated # of students in year</t>
  </si>
  <si>
    <t>Total Dual Enrollment Tuition</t>
  </si>
  <si>
    <t>Total Dual Enrollment Students</t>
  </si>
  <si>
    <t>Full-time Tuition per student</t>
  </si>
  <si>
    <t>Revenue from City Colleges of Chicago</t>
  </si>
  <si>
    <t xml:space="preserve">For Years 1 and 2, City Colleges of Chicago will reimburse 50% of tuition fees paid for dual enrollment. </t>
  </si>
  <si>
    <t>Staff not growing - spending here accounts for staff attrition.</t>
  </si>
  <si>
    <t xml:space="preserve">Esimated $1,000 per new employee, one year in advance; based on comparables from Chicago charter school. </t>
  </si>
  <si>
    <t>Campus 1</t>
  </si>
  <si>
    <t>Campus 2</t>
  </si>
  <si>
    <t>Campus 3</t>
  </si>
  <si>
    <t>Campus 4</t>
  </si>
  <si>
    <t>Campus 5</t>
  </si>
  <si>
    <t>Enrollment</t>
  </si>
  <si>
    <t>Campus 2 (IMD)</t>
  </si>
  <si>
    <t>Campuses Open</t>
  </si>
  <si>
    <t>Fringe Benefit's % of Salary</t>
  </si>
  <si>
    <t>Tuition payment to local college for courses delivered to CFA students. See 'Calculations' tab line 60 and Budget Narrative</t>
  </si>
  <si>
    <t>Digital Curricula</t>
  </si>
  <si>
    <t>Instructional Systems</t>
  </si>
  <si>
    <t>Student Information System</t>
  </si>
  <si>
    <t>Y0</t>
  </si>
  <si>
    <t>Computer Network Equipment</t>
  </si>
  <si>
    <t>Devices Students</t>
  </si>
  <si>
    <t>IT Assumptions</t>
  </si>
  <si>
    <t>See 'Calculations' tab for IT breakdown. Rates are based on comparable blended learning Charter model.</t>
  </si>
  <si>
    <t>Rates are based on estimates from comparable blended learning charter school</t>
  </si>
  <si>
    <t>Beginning in Y2 - 90% reimbursement on computer network equipment, telecommunications, and internet</t>
  </si>
  <si>
    <t>$75K per campus beginning in Y2 of each campus</t>
  </si>
  <si>
    <t>$150K one-time grant in Y0 - applicable only to one campus</t>
  </si>
  <si>
    <t>Students in their first year at CFA will spend about 30% of class time at community college</t>
  </si>
  <si>
    <t># of students enrolled at local college; weighted for time spent enrolled in college courses</t>
  </si>
  <si>
    <t>% time at local college</t>
  </si>
  <si>
    <t>Students in their second year at CFA will spend about 60% of class time at community college</t>
  </si>
  <si>
    <t>Students in their third year at CFA will spend about 100% of class time at community college</t>
  </si>
  <si>
    <t>per student</t>
  </si>
  <si>
    <t>$20K per year + $10 per student</t>
  </si>
  <si>
    <t>wiring, infrastucture, switches, firewalls, maintenance</t>
  </si>
  <si>
    <t>$1000 per new employee for desktop computer</t>
  </si>
  <si>
    <t>Assumes Walton Foundation procedes in Y1 are stored in contingency</t>
  </si>
  <si>
    <t>Facility Size Assumptions</t>
  </si>
  <si>
    <t xml:space="preserve">Facility Sq. Ft. </t>
  </si>
  <si>
    <t xml:space="preserve">Rent per sq. ft. </t>
  </si>
  <si>
    <t>Lead Teacher / Site Director</t>
  </si>
  <si>
    <t>chromebook per new student + 40 new chromebooks/year for replacement (purchased one year in advance per NGLC grant)</t>
  </si>
  <si>
    <t>DFO</t>
  </si>
  <si>
    <t>Executive Director</t>
  </si>
  <si>
    <t>Payroll &amp; A/P Clerk</t>
  </si>
  <si>
    <t>Budget Manager</t>
  </si>
  <si>
    <t>TBD</t>
  </si>
  <si>
    <t>CPS Preferred Neighborhood</t>
  </si>
  <si>
    <t>Near West</t>
  </si>
  <si>
    <t>Chicago Lawn</t>
  </si>
  <si>
    <t>Englewood</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</si>
  <si>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</si>
  <si>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</si>
  <si>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</si>
  <si>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</si>
  <si>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</si>
  <si>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</si>
  <si>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</si>
  <si>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</si>
  <si>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 based on similar Chicago charter partnership</t>
  </si>
  <si>
    <t>ED and CFO cost allocated to Y0</t>
  </si>
  <si>
    <t>assumes ED and CFO will allocate 1/3 of their time to Y0 planning for opening school in 2015-2018</t>
  </si>
  <si>
    <t>See 'CMO costs' tab</t>
  </si>
  <si>
    <t>Connected Futures Academy- Campus 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</si>
</sst>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_(&quot;$&quot;* #,##0_);_(&quot;$&quot;* \(#,##0\);_(&quot;$&quot;* &quot;-&quot;??_);_(@_)"/>
    <numFmt numFmtId="181" formatCode="_(&quot;$&quot;* #,##0.0_);_(&quot;$&quot;* \(#,##0.0\);_(&quot;$&quot;* &quot;-&quot;??_);_(@_)"/>
    <numFmt numFmtId="182" formatCode="_(* #,##0.0_);_(* \(#,##0.0\);_(* &quot;-&quot;??_);_(@_)"/>
    <numFmt numFmtId="183" formatCode="0.000%"/>
    <numFmt numFmtId="184" formatCode="_(&quot;$&quot;* #,##0.0_);_(&quot;$&quot;* \(#,##0.0\);_(&quot;$&quot;* &quot;-&quot;?_);_(@_)"/>
    <numFmt numFmtId="185" formatCode="_(&quot;$&quot;* #,##0.000_);_(&quot;$&quot;* \(#,##0.000\);_(&quot;$&quot;* &quot;-&quot;???_);_(@_)"/>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u val="single"/>
      <sz val="10"/>
      <name val="Arial"/>
      <family val="2"/>
    </font>
    <font>
      <sz val="9"/>
      <name val="Tahoma"/>
      <family val="2"/>
    </font>
    <font>
      <b/>
      <sz val="9"/>
      <name val="Tahoma"/>
      <family val="2"/>
    </font>
    <font>
      <sz val="8"/>
      <color indexed="8"/>
      <name val="Calibri"/>
      <family val="2"/>
    </font>
    <font>
      <u val="single"/>
      <sz val="8"/>
      <color indexed="8"/>
      <name val="Calibri"/>
      <family val="2"/>
    </font>
    <font>
      <b/>
      <u val="single"/>
      <sz val="8"/>
      <color indexed="8"/>
      <name val="Calibri"/>
      <family val="2"/>
    </font>
    <font>
      <sz val="8"/>
      <name val="Calibri"/>
      <family val="2"/>
    </font>
    <font>
      <sz val="8"/>
      <color indexed="10"/>
      <name val="Calibri"/>
      <family val="2"/>
    </font>
    <font>
      <b/>
      <sz val="8"/>
      <name val="Calibri"/>
      <family val="2"/>
    </font>
    <font>
      <b/>
      <sz val="8"/>
      <color indexed="8"/>
      <name val="Calibri"/>
      <family val="2"/>
    </font>
    <font>
      <b/>
      <i/>
      <sz val="8"/>
      <name val="Calibri"/>
      <family val="2"/>
    </font>
    <font>
      <b/>
      <i/>
      <sz val="8"/>
      <color indexed="8"/>
      <name val="Calibri"/>
      <family val="2"/>
    </font>
    <font>
      <i/>
      <sz val="8"/>
      <color indexed="8"/>
      <name val="Calibri"/>
      <family val="2"/>
    </font>
    <font>
      <i/>
      <sz val="8"/>
      <name val="Calibri"/>
      <family val="2"/>
    </font>
    <font>
      <u val="single"/>
      <sz val="8"/>
      <name val="Calibri"/>
      <family val="2"/>
    </font>
    <font>
      <b/>
      <u val="singleAccounting"/>
      <sz val="8"/>
      <color indexed="8"/>
      <name val="Calibri"/>
      <family val="2"/>
    </font>
    <font>
      <sz val="8"/>
      <color indexed="62"/>
      <name val="Calibri"/>
      <family val="2"/>
    </font>
    <font>
      <i/>
      <u val="single"/>
      <sz val="8"/>
      <name val="Calibri"/>
      <family val="2"/>
    </font>
    <font>
      <sz val="11"/>
      <color theme="1"/>
      <name val="Calibri"/>
      <family val="2"/>
    </font>
    <font>
      <b/>
      <sz val="11"/>
      <color theme="1"/>
      <name val="Calibri"/>
      <family val="2"/>
    </font>
    <font>
      <sz val="8"/>
      <color theme="1"/>
      <name val="Calibri"/>
      <family val="2"/>
    </font>
    <font>
      <u val="single"/>
      <sz val="8"/>
      <color theme="1"/>
      <name val="Calibri"/>
      <family val="2"/>
    </font>
    <font>
      <b/>
      <u val="single"/>
      <sz val="8"/>
      <color theme="1"/>
      <name val="Calibri"/>
      <family val="2"/>
    </font>
    <font>
      <sz val="8"/>
      <color rgb="FFFF0000"/>
      <name val="Calibri"/>
      <family val="2"/>
    </font>
    <font>
      <b/>
      <sz val="8"/>
      <color theme="1"/>
      <name val="Calibri"/>
      <family val="2"/>
    </font>
    <font>
      <b/>
      <i/>
      <sz val="8"/>
      <color theme="1"/>
      <name val="Calibri"/>
      <family val="2"/>
    </font>
    <font>
      <i/>
      <sz val="8"/>
      <color theme="1"/>
      <name val="Calibri"/>
      <family val="2"/>
    </font>
    <font>
      <b/>
      <u val="singleAccounting"/>
      <sz val="8"/>
      <color theme="1"/>
      <name val="Calibri"/>
      <family val="2"/>
    </font>
    <font>
      <sz val="8"/>
      <color theme="3" tint="0.39998000860214233"/>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tint="-0.349979996681213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9" fillId="0" borderId="0">
      <alignment/>
      <protection/>
    </xf>
    <xf numFmtId="0" fontId="69" fillId="0" borderId="0">
      <alignment/>
      <protection/>
    </xf>
    <xf numFmtId="0" fontId="69" fillId="0" borderId="0">
      <alignment/>
      <protection/>
    </xf>
    <xf numFmtId="0" fontId="69"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98">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6"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70" fillId="0" borderId="24" xfId="0" applyFont="1" applyBorder="1" applyAlignment="1">
      <alignment wrapText="1"/>
    </xf>
    <xf numFmtId="5" fontId="70" fillId="26" borderId="0" xfId="0" applyNumberFormat="1" applyFont="1" applyFill="1" applyBorder="1" applyAlignment="1">
      <alignment horizontal="right" wrapText="1"/>
    </xf>
    <xf numFmtId="0" fontId="0" fillId="0" borderId="26" xfId="0" applyBorder="1" applyAlignment="1">
      <alignment wrapText="1"/>
    </xf>
    <xf numFmtId="0" fontId="70" fillId="0" borderId="27" xfId="0" applyFont="1" applyBorder="1" applyAlignment="1">
      <alignment wrapText="1"/>
    </xf>
    <xf numFmtId="165" fontId="70"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70"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7" xfId="0" applyFont="1" applyBorder="1" applyAlignment="1">
      <alignment horizontal="left" wrapText="1"/>
    </xf>
    <xf numFmtId="0" fontId="27" fillId="0" borderId="25" xfId="0" applyFont="1" applyBorder="1" applyAlignment="1">
      <alignment horizontal="left" wrapText="1"/>
    </xf>
    <xf numFmtId="0" fontId="27" fillId="0" borderId="25" xfId="0" applyFont="1" applyBorder="1" applyAlignment="1">
      <alignment/>
    </xf>
    <xf numFmtId="0" fontId="27" fillId="0" borderId="0" xfId="0" applyFont="1" applyBorder="1" applyAlignment="1">
      <alignment horizontal="left" wrapText="1"/>
    </xf>
    <xf numFmtId="0" fontId="0" fillId="0" borderId="31" xfId="0" applyBorder="1" applyAlignment="1">
      <alignment/>
    </xf>
    <xf numFmtId="0" fontId="26" fillId="29" borderId="34" xfId="0" applyFont="1" applyFill="1" applyBorder="1" applyAlignment="1">
      <alignment horizontal="left"/>
    </xf>
    <xf numFmtId="0" fontId="26" fillId="29" borderId="23" xfId="0" applyFont="1" applyFill="1" applyBorder="1" applyAlignment="1">
      <alignment horizontal="left"/>
    </xf>
    <xf numFmtId="0" fontId="26" fillId="30" borderId="34" xfId="0" applyFont="1" applyFill="1" applyBorder="1" applyAlignment="1">
      <alignment horizontal="left"/>
    </xf>
    <xf numFmtId="0" fontId="27" fillId="0" borderId="0" xfId="0" applyFont="1" applyBorder="1" applyAlignment="1" applyProtection="1">
      <alignment/>
      <protection locked="0"/>
    </xf>
    <xf numFmtId="0" fontId="70" fillId="0" borderId="0" xfId="0" applyFont="1" applyBorder="1" applyAlignment="1">
      <alignment wrapText="1"/>
    </xf>
    <xf numFmtId="0" fontId="70"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0" fillId="27" borderId="26" xfId="0" applyFill="1" applyBorder="1" applyAlignment="1">
      <alignment/>
    </xf>
    <xf numFmtId="0" fontId="0" fillId="27" borderId="30" xfId="0" applyFill="1" applyBorder="1" applyAlignment="1">
      <alignment/>
    </xf>
    <xf numFmtId="0" fontId="26" fillId="26" borderId="35"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6" xfId="0" applyFont="1" applyFill="1" applyBorder="1" applyAlignment="1">
      <alignment horizontal="left"/>
    </xf>
    <xf numFmtId="0" fontId="26" fillId="29" borderId="37" xfId="0" applyFont="1" applyFill="1" applyBorder="1" applyAlignment="1">
      <alignment horizontal="left"/>
    </xf>
    <xf numFmtId="0" fontId="26" fillId="30" borderId="36"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0" fontId="27" fillId="0" borderId="24" xfId="0" applyFont="1" applyBorder="1" applyAlignment="1">
      <alignment horizontal="left" wrapText="1"/>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5"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8"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9" fontId="27" fillId="0" borderId="10" xfId="0" applyNumberFormat="1" applyFont="1" applyBorder="1" applyAlignment="1" applyProtection="1">
      <alignment horizontal="center"/>
      <protection locked="0"/>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9"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167" fontId="0" fillId="29" borderId="42" xfId="42" applyNumberFormat="1" applyFont="1" applyFill="1" applyBorder="1" applyAlignment="1" applyProtection="1">
      <alignment/>
      <protection/>
    </xf>
    <xf numFmtId="167" fontId="0" fillId="29" borderId="43"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34"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4" xfId="42" applyNumberFormat="1" applyFont="1" applyFill="1" applyBorder="1" applyAlignment="1" applyProtection="1">
      <alignment/>
      <protection locked="0"/>
    </xf>
    <xf numFmtId="167" fontId="0" fillId="27" borderId="45" xfId="42" applyNumberFormat="1" applyFont="1" applyFill="1" applyBorder="1" applyAlignment="1" applyProtection="1">
      <alignment/>
      <protection/>
    </xf>
    <xf numFmtId="167" fontId="0" fillId="27" borderId="46"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7" xfId="0" applyFont="1" applyFill="1" applyBorder="1" applyAlignment="1">
      <alignment horizontal="left"/>
    </xf>
    <xf numFmtId="0" fontId="26" fillId="28" borderId="37" xfId="0" applyFont="1" applyFill="1" applyBorder="1" applyAlignment="1">
      <alignment horizontal="left"/>
    </xf>
    <xf numFmtId="0" fontId="0" fillId="26" borderId="35"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0" fontId="0" fillId="27" borderId="24" xfId="0" applyFill="1" applyBorder="1" applyAlignment="1">
      <alignment/>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7" borderId="0" xfId="0" applyFill="1" applyBorder="1" applyAlignment="1">
      <alignment/>
    </xf>
    <xf numFmtId="0" fontId="0" fillId="26" borderId="32" xfId="0" applyFill="1" applyBorder="1" applyAlignment="1">
      <alignment/>
    </xf>
    <xf numFmtId="0" fontId="0" fillId="0" borderId="35" xfId="0" applyBorder="1" applyAlignment="1">
      <alignment/>
    </xf>
    <xf numFmtId="0" fontId="0" fillId="0" borderId="26" xfId="0" applyBorder="1" applyAlignment="1" applyProtection="1">
      <alignment horizontal="center"/>
      <protection locked="0"/>
    </xf>
    <xf numFmtId="0" fontId="26" fillId="28" borderId="23" xfId="0" applyFont="1" applyFill="1" applyBorder="1" applyAlignment="1">
      <alignment horizontal="left"/>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26" fillId="28" borderId="36" xfId="0" applyFont="1" applyFill="1" applyBorder="1" applyAlignment="1">
      <alignment horizontal="left"/>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1" borderId="31" xfId="0" applyFill="1" applyBorder="1" applyAlignment="1">
      <alignment/>
    </xf>
    <xf numFmtId="0" fontId="0" fillId="31"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2" borderId="10" xfId="0" applyFont="1" applyFill="1" applyBorder="1" applyAlignment="1" applyProtection="1">
      <alignment vertical="top"/>
      <protection/>
    </xf>
    <xf numFmtId="0" fontId="0" fillId="32"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2" borderId="15" xfId="0" applyFont="1" applyFill="1" applyBorder="1" applyAlignment="1" applyProtection="1">
      <alignment/>
      <protection/>
    </xf>
    <xf numFmtId="0" fontId="0" fillId="32" borderId="15" xfId="0" applyFill="1" applyBorder="1" applyAlignment="1" applyProtection="1">
      <alignment/>
      <protection/>
    </xf>
    <xf numFmtId="0" fontId="0" fillId="32"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4" xfId="42" applyNumberFormat="1" applyFont="1" applyFill="1" applyBorder="1" applyAlignment="1" applyProtection="1">
      <alignment/>
      <protection/>
    </xf>
    <xf numFmtId="167" fontId="43" fillId="28" borderId="45"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protection/>
    </xf>
    <xf numFmtId="0" fontId="26" fillId="29" borderId="12" xfId="0" applyFont="1" applyFill="1" applyBorder="1" applyAlignment="1" applyProtection="1">
      <alignment horizontal="left" wrapText="1"/>
      <protection/>
    </xf>
    <xf numFmtId="0" fontId="26" fillId="29" borderId="14" xfId="0" applyFont="1" applyFill="1" applyBorder="1" applyAlignment="1" applyProtection="1">
      <alignment/>
      <protection/>
    </xf>
    <xf numFmtId="0" fontId="27" fillId="29" borderId="40" xfId="0" applyFont="1" applyFill="1" applyBorder="1" applyAlignment="1" applyProtection="1">
      <alignment wrapText="1"/>
      <protection/>
    </xf>
    <xf numFmtId="0" fontId="27" fillId="29" borderId="42" xfId="0" applyFont="1" applyFill="1" applyBorder="1" applyAlignment="1" applyProtection="1">
      <alignment horizontal="center" wrapText="1"/>
      <protection/>
    </xf>
    <xf numFmtId="43" fontId="27" fillId="29" borderId="42" xfId="0" applyNumberFormat="1" applyFont="1" applyFill="1" applyBorder="1" applyAlignment="1" applyProtection="1">
      <alignment horizontal="center" wrapText="1"/>
      <protection/>
    </xf>
    <xf numFmtId="0" fontId="27" fillId="29" borderId="43"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2" xfId="42" applyFont="1" applyFill="1" applyBorder="1" applyAlignment="1" applyProtection="1">
      <alignment/>
      <protection/>
    </xf>
    <xf numFmtId="43" fontId="0" fillId="29" borderId="43"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5"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5"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6"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7" xfId="0" applyFont="1" applyFill="1" applyBorder="1" applyAlignment="1">
      <alignment horizontal="center"/>
    </xf>
    <xf numFmtId="0" fontId="27" fillId="28" borderId="36" xfId="0" applyFont="1" applyFill="1" applyBorder="1" applyAlignment="1">
      <alignment horizontal="center"/>
    </xf>
    <xf numFmtId="0" fontId="27" fillId="28" borderId="3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9" xfId="0" applyFont="1" applyFill="1" applyBorder="1" applyAlignment="1">
      <alignment horizontal="center"/>
    </xf>
    <xf numFmtId="0" fontId="0" fillId="28" borderId="48" xfId="0" applyFont="1" applyFill="1" applyBorder="1" applyAlignment="1">
      <alignment horizontal="center"/>
    </xf>
    <xf numFmtId="0" fontId="0" fillId="28" borderId="34" xfId="0" applyFill="1" applyBorder="1" applyAlignment="1">
      <alignment horizontal="center"/>
    </xf>
    <xf numFmtId="0" fontId="27" fillId="28" borderId="34" xfId="0" applyFont="1" applyFill="1" applyBorder="1" applyAlignment="1">
      <alignment horizontal="center"/>
    </xf>
    <xf numFmtId="0" fontId="27" fillId="28" borderId="23" xfId="0" applyFont="1" applyFill="1" applyBorder="1" applyAlignment="1">
      <alignment horizontal="center"/>
    </xf>
    <xf numFmtId="0" fontId="27" fillId="28" borderId="39" xfId="0" applyFont="1" applyFill="1" applyBorder="1" applyAlignment="1">
      <alignment horizontal="center"/>
    </xf>
    <xf numFmtId="0" fontId="0" fillId="28" borderId="47" xfId="0" applyFont="1" applyFill="1" applyBorder="1" applyAlignment="1">
      <alignment wrapText="1"/>
    </xf>
    <xf numFmtId="0" fontId="0" fillId="28" borderId="37" xfId="0" applyFont="1" applyFill="1" applyBorder="1" applyAlignment="1">
      <alignment/>
    </xf>
    <xf numFmtId="0" fontId="27" fillId="28" borderId="21" xfId="0" applyFont="1" applyFill="1" applyBorder="1" applyAlignment="1">
      <alignment horizontal="center"/>
    </xf>
    <xf numFmtId="0" fontId="27" fillId="28" borderId="47"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9"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6"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34" xfId="0" applyFont="1" applyFill="1" applyBorder="1" applyAlignment="1">
      <alignment horizontal="center"/>
    </xf>
    <xf numFmtId="0" fontId="43" fillId="28" borderId="15" xfId="0" applyFont="1" applyFill="1" applyBorder="1" applyAlignment="1" applyProtection="1">
      <alignment horizontal="center"/>
      <protection/>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9"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6" xfId="0" applyFont="1" applyFill="1" applyBorder="1" applyAlignment="1">
      <alignment/>
    </xf>
    <xf numFmtId="0" fontId="27" fillId="28" borderId="37" xfId="0" applyFont="1" applyFill="1" applyBorder="1" applyAlignment="1">
      <alignment/>
    </xf>
    <xf numFmtId="0" fontId="27" fillId="28" borderId="34"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6"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9" xfId="0" applyFont="1" applyFill="1" applyBorder="1" applyAlignment="1">
      <alignment/>
    </xf>
    <xf numFmtId="0" fontId="0" fillId="28" borderId="11" xfId="0" applyFont="1" applyFill="1" applyBorder="1" applyAlignment="1">
      <alignment/>
    </xf>
    <xf numFmtId="0" fontId="0" fillId="28" borderId="34" xfId="0" applyFont="1" applyFill="1" applyBorder="1" applyAlignment="1">
      <alignment/>
    </xf>
    <xf numFmtId="0" fontId="27" fillId="28" borderId="39" xfId="0" applyFont="1" applyFill="1" applyBorder="1" applyAlignment="1" quotePrefix="1">
      <alignment/>
    </xf>
    <xf numFmtId="0" fontId="70" fillId="28" borderId="12" xfId="0" applyFont="1" applyFill="1" applyBorder="1" applyAlignment="1">
      <alignment wrapText="1"/>
    </xf>
    <xf numFmtId="165" fontId="70" fillId="28" borderId="12" xfId="0" applyNumberFormat="1" applyFont="1" applyFill="1" applyBorder="1" applyAlignment="1">
      <alignment horizontal="center" wrapText="1"/>
    </xf>
    <xf numFmtId="165" fontId="70"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70" fillId="28" borderId="39" xfId="0" applyFont="1" applyFill="1" applyBorder="1" applyAlignment="1">
      <alignment wrapText="1"/>
    </xf>
    <xf numFmtId="0" fontId="0" fillId="28" borderId="47" xfId="0" applyFont="1" applyFill="1" applyBorder="1" applyAlignment="1">
      <alignment/>
    </xf>
    <xf numFmtId="0" fontId="70" fillId="28" borderId="53" xfId="0" applyFont="1" applyFill="1" applyBorder="1" applyAlignment="1">
      <alignment wrapText="1"/>
    </xf>
    <xf numFmtId="0" fontId="70"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70" fillId="28" borderId="54" xfId="0" applyFont="1" applyFill="1" applyBorder="1" applyAlignment="1">
      <alignment wrapText="1"/>
    </xf>
    <xf numFmtId="0" fontId="70" fillId="28" borderId="30" xfId="0" applyFont="1" applyFill="1" applyBorder="1" applyAlignment="1">
      <alignment wrapText="1"/>
    </xf>
    <xf numFmtId="5" fontId="27" fillId="28" borderId="39" xfId="0" applyNumberFormat="1" applyFont="1" applyFill="1" applyBorder="1" applyAlignment="1">
      <alignment/>
    </xf>
    <xf numFmtId="165" fontId="27" fillId="28" borderId="12" xfId="0" applyNumberFormat="1" applyFont="1" applyFill="1" applyBorder="1" applyAlignment="1">
      <alignment/>
    </xf>
    <xf numFmtId="0" fontId="0" fillId="28" borderId="39"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0" fillId="27" borderId="12" xfId="0" applyFill="1" applyBorder="1" applyAlignment="1">
      <alignment/>
    </xf>
    <xf numFmtId="0" fontId="21" fillId="27" borderId="21" xfId="0" applyFont="1" applyFill="1" applyBorder="1" applyAlignment="1">
      <alignment wrapText="1"/>
    </xf>
    <xf numFmtId="0" fontId="21" fillId="27" borderId="29" xfId="0" applyFont="1" applyFill="1" applyBorder="1" applyAlignment="1">
      <alignment wrapText="1"/>
    </xf>
    <xf numFmtId="0" fontId="26" fillId="27" borderId="35" xfId="0" applyFont="1" applyFill="1" applyBorder="1" applyAlignment="1">
      <alignment wrapText="1"/>
    </xf>
    <xf numFmtId="0" fontId="26" fillId="27" borderId="32" xfId="0" applyFont="1" applyFill="1" applyBorder="1" applyAlignment="1">
      <alignment wrapText="1"/>
    </xf>
    <xf numFmtId="0" fontId="21" fillId="27" borderId="24" xfId="0" applyFont="1" applyFill="1" applyBorder="1" applyAlignment="1">
      <alignment horizontal="center" wrapText="1"/>
    </xf>
    <xf numFmtId="0" fontId="21" fillId="27" borderId="26" xfId="0" applyFont="1" applyFill="1" applyBorder="1" applyAlignment="1">
      <alignment horizontal="center" wrapText="1"/>
    </xf>
    <xf numFmtId="0" fontId="27" fillId="27" borderId="24" xfId="0" applyFont="1" applyFill="1" applyBorder="1" applyAlignment="1">
      <alignment horizontal="center"/>
    </xf>
    <xf numFmtId="0" fontId="27" fillId="27" borderId="26" xfId="0" applyFont="1" applyFill="1" applyBorder="1" applyAlignment="1">
      <alignment horizontal="center" wrapText="1"/>
    </xf>
    <xf numFmtId="0" fontId="0" fillId="27" borderId="24" xfId="0" applyFill="1" applyBorder="1" applyAlignment="1">
      <alignment horizontal="center"/>
    </xf>
    <xf numFmtId="0" fontId="0" fillId="27" borderId="26" xfId="0" applyFill="1" applyBorder="1" applyAlignment="1" applyProtection="1">
      <alignment horizontal="right"/>
      <protection locked="0"/>
    </xf>
    <xf numFmtId="0" fontId="0" fillId="27" borderId="24" xfId="0" applyFont="1" applyFill="1" applyBorder="1" applyAlignment="1">
      <alignment horizontal="center"/>
    </xf>
    <xf numFmtId="0" fontId="27" fillId="27" borderId="26" xfId="0" applyFont="1" applyFill="1" applyBorder="1" applyAlignment="1">
      <alignment horizontal="right"/>
    </xf>
    <xf numFmtId="9" fontId="27" fillId="27" borderId="26" xfId="0" applyNumberFormat="1" applyFont="1" applyFill="1" applyBorder="1" applyAlignment="1">
      <alignment horizontal="right"/>
    </xf>
    <xf numFmtId="0" fontId="0" fillId="27" borderId="24" xfId="0" applyFill="1" applyBorder="1" applyAlignment="1" applyProtection="1">
      <alignment horizontal="center"/>
      <protection locked="0"/>
    </xf>
    <xf numFmtId="0" fontId="0" fillId="27" borderId="26" xfId="0" applyFill="1" applyBorder="1" applyAlignment="1" applyProtection="1">
      <alignment horizontal="center"/>
      <protection locked="0"/>
    </xf>
    <xf numFmtId="0" fontId="0" fillId="27" borderId="24" xfId="0" applyFont="1" applyFill="1" applyBorder="1" applyAlignment="1">
      <alignment wrapText="1"/>
    </xf>
    <xf numFmtId="0" fontId="27" fillId="27" borderId="26" xfId="0" applyFont="1" applyFill="1" applyBorder="1" applyAlignment="1">
      <alignment/>
    </xf>
    <xf numFmtId="0" fontId="0" fillId="27" borderId="24" xfId="0" applyFont="1" applyFill="1" applyBorder="1" applyAlignment="1">
      <alignment/>
    </xf>
    <xf numFmtId="165" fontId="27" fillId="27" borderId="26" xfId="0" applyNumberFormat="1" applyFont="1" applyFill="1" applyBorder="1" applyAlignment="1">
      <alignment/>
    </xf>
    <xf numFmtId="0" fontId="27" fillId="27" borderId="24" xfId="0" applyFont="1" applyFill="1" applyBorder="1" applyAlignment="1">
      <alignment/>
    </xf>
    <xf numFmtId="165" fontId="26" fillId="27" borderId="26" xfId="0" applyNumberFormat="1" applyFont="1" applyFill="1" applyBorder="1" applyAlignment="1">
      <alignment/>
    </xf>
    <xf numFmtId="0" fontId="27" fillId="27" borderId="24" xfId="0" applyFont="1" applyFill="1" applyBorder="1" applyAlignment="1" applyProtection="1">
      <alignment/>
      <protection locked="0"/>
    </xf>
    <xf numFmtId="165" fontId="26" fillId="27" borderId="26" xfId="0" applyNumberFormat="1"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0" fillId="27" borderId="26" xfId="0" applyFont="1" applyFill="1" applyBorder="1" applyAlignment="1" applyProtection="1" quotePrefix="1">
      <alignment horizontal="center"/>
      <protection locked="0"/>
    </xf>
    <xf numFmtId="165" fontId="0" fillId="27" borderId="26" xfId="0" applyNumberFormat="1" applyFill="1" applyBorder="1" applyAlignment="1">
      <alignment/>
    </xf>
    <xf numFmtId="0" fontId="27" fillId="27" borderId="27" xfId="0" applyFont="1" applyFill="1" applyBorder="1" applyAlignment="1">
      <alignment/>
    </xf>
    <xf numFmtId="165" fontId="26" fillId="27" borderId="30" xfId="0" applyNumberFormat="1"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9"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4"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69"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69"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41"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9" xfId="0" applyFont="1" applyFill="1" applyBorder="1" applyAlignment="1">
      <alignment horizontal="center" wrapText="1"/>
    </xf>
    <xf numFmtId="0" fontId="22" fillId="0" borderId="39" xfId="0" applyFont="1" applyBorder="1" applyAlignment="1">
      <alignment vertical="top" wrapText="1"/>
    </xf>
    <xf numFmtId="0" fontId="26" fillId="25" borderId="39" xfId="0" applyFont="1" applyFill="1" applyBorder="1" applyAlignment="1">
      <alignment horizontal="center" wrapText="1"/>
    </xf>
    <xf numFmtId="0" fontId="27" fillId="33" borderId="12" xfId="0" applyFont="1" applyFill="1" applyBorder="1" applyAlignment="1">
      <alignment horizontal="center"/>
    </xf>
    <xf numFmtId="0" fontId="22" fillId="0" borderId="33" xfId="0" applyFont="1" applyBorder="1" applyAlignment="1">
      <alignment/>
    </xf>
    <xf numFmtId="0" fontId="41"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5"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5"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9"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3"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1"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2" fillId="0" borderId="26" xfId="0" applyFont="1" applyBorder="1" applyAlignment="1">
      <alignmen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4" xfId="0" applyFont="1" applyFill="1" applyBorder="1" applyAlignment="1" applyProtection="1">
      <alignment horizontal="left"/>
      <protection/>
    </xf>
    <xf numFmtId="0" fontId="0" fillId="31"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4" xfId="0" applyFont="1" applyFill="1" applyBorder="1" applyAlignment="1" applyProtection="1">
      <alignment horizontal="center"/>
      <protection/>
    </xf>
    <xf numFmtId="167" fontId="0" fillId="28" borderId="45"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34"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34"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9"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4" xfId="42" applyNumberFormat="1" applyFont="1" applyFill="1" applyBorder="1" applyAlignment="1" applyProtection="1">
      <alignment horizontal="center"/>
      <protection/>
    </xf>
    <xf numFmtId="167" fontId="0" fillId="27" borderId="44"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9" fontId="27" fillId="28" borderId="10" xfId="0"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1" borderId="31" xfId="0" applyFill="1" applyBorder="1" applyAlignment="1" applyProtection="1">
      <alignment/>
      <protection/>
    </xf>
    <xf numFmtId="0" fontId="0" fillId="31" borderId="0" xfId="0" applyFill="1" applyBorder="1" applyAlignment="1" applyProtection="1">
      <alignment/>
      <protection/>
    </xf>
    <xf numFmtId="0" fontId="0" fillId="31"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71" fillId="0" borderId="0" xfId="0" applyFont="1" applyAlignment="1">
      <alignment horizontal="left" vertical="center"/>
    </xf>
    <xf numFmtId="0" fontId="72" fillId="0" borderId="0" xfId="0" applyFont="1" applyAlignment="1">
      <alignment horizontal="center" vertical="center"/>
    </xf>
    <xf numFmtId="0" fontId="71" fillId="0" borderId="0" xfId="0" applyFont="1" applyAlignment="1">
      <alignment vertical="center"/>
    </xf>
    <xf numFmtId="180" fontId="71" fillId="0" borderId="0" xfId="0" applyNumberFormat="1" applyFont="1" applyAlignment="1">
      <alignment vertical="center"/>
    </xf>
    <xf numFmtId="0" fontId="71" fillId="0" borderId="0" xfId="0" applyFont="1" applyAlignment="1">
      <alignment horizontal="center" vertical="center"/>
    </xf>
    <xf numFmtId="0" fontId="73" fillId="0" borderId="0" xfId="0" applyFont="1" applyAlignment="1">
      <alignment horizontal="left" vertical="center"/>
    </xf>
    <xf numFmtId="0" fontId="57" fillId="0" borderId="0" xfId="0" applyFont="1" applyAlignment="1">
      <alignment vertical="center"/>
    </xf>
    <xf numFmtId="0" fontId="71" fillId="0" borderId="10" xfId="0" applyFont="1" applyBorder="1" applyAlignment="1">
      <alignment horizontal="left" vertical="center"/>
    </xf>
    <xf numFmtId="0" fontId="71" fillId="0" borderId="10" xfId="0" applyFont="1" applyBorder="1" applyAlignment="1">
      <alignment vertical="center"/>
    </xf>
    <xf numFmtId="180"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71" fillId="0" borderId="10" xfId="0" applyFont="1" applyBorder="1" applyAlignment="1">
      <alignment horizontal="center" vertical="center"/>
    </xf>
    <xf numFmtId="180" fontId="71" fillId="0" borderId="10" xfId="0" applyNumberFormat="1" applyFont="1" applyBorder="1" applyAlignment="1">
      <alignment vertical="center"/>
    </xf>
    <xf numFmtId="0" fontId="74" fillId="0" borderId="10" xfId="0" applyFont="1" applyBorder="1" applyAlignment="1">
      <alignment horizontal="center" vertical="center"/>
    </xf>
    <xf numFmtId="0" fontId="71" fillId="0" borderId="0" xfId="0" applyFont="1" applyBorder="1" applyAlignment="1">
      <alignment horizontal="left" vertical="center"/>
    </xf>
    <xf numFmtId="180" fontId="71" fillId="0" borderId="0" xfId="44" applyNumberFormat="1"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left" vertical="center"/>
    </xf>
    <xf numFmtId="180" fontId="57" fillId="0" borderId="0" xfId="44" applyNumberFormat="1" applyFont="1" applyBorder="1" applyAlignment="1">
      <alignment vertical="center"/>
    </xf>
    <xf numFmtId="0" fontId="71" fillId="0" borderId="0" xfId="0" applyFont="1" applyBorder="1" applyAlignment="1">
      <alignment vertical="center"/>
    </xf>
    <xf numFmtId="0" fontId="51" fillId="0" borderId="0" xfId="0" applyFont="1" applyBorder="1" applyAlignment="1">
      <alignment/>
    </xf>
    <xf numFmtId="0" fontId="57" fillId="0" borderId="0" xfId="0" applyFont="1" applyAlignment="1">
      <alignment/>
    </xf>
    <xf numFmtId="180" fontId="57" fillId="0" borderId="0" xfId="44" applyNumberFormat="1" applyFont="1" applyAlignment="1">
      <alignment/>
    </xf>
    <xf numFmtId="44" fontId="0" fillId="0" borderId="0" xfId="0" applyNumberFormat="1" applyAlignment="1">
      <alignment/>
    </xf>
    <xf numFmtId="9" fontId="57" fillId="0" borderId="0" xfId="62" applyFont="1" applyAlignment="1">
      <alignment/>
    </xf>
    <xf numFmtId="0" fontId="57" fillId="0" borderId="11" xfId="0" applyFont="1" applyBorder="1" applyAlignment="1">
      <alignment/>
    </xf>
    <xf numFmtId="180" fontId="57" fillId="0" borderId="11" xfId="44" applyNumberFormat="1" applyFont="1" applyBorder="1" applyAlignment="1">
      <alignment/>
    </xf>
    <xf numFmtId="0" fontId="27" fillId="0" borderId="15" xfId="0" applyFont="1" applyBorder="1" applyAlignment="1" applyProtection="1">
      <alignment/>
      <protection locked="0"/>
    </xf>
    <xf numFmtId="0" fontId="59" fillId="0" borderId="0" xfId="0" applyFont="1" applyAlignment="1">
      <alignment/>
    </xf>
    <xf numFmtId="0" fontId="71" fillId="0" borderId="0" xfId="0" applyNumberFormat="1" applyFont="1" applyAlignment="1">
      <alignment vertical="center"/>
    </xf>
    <xf numFmtId="43" fontId="71" fillId="0" borderId="0" xfId="42" applyFont="1" applyAlignment="1">
      <alignment vertical="center"/>
    </xf>
    <xf numFmtId="167" fontId="71" fillId="0" borderId="0" xfId="42" applyNumberFormat="1" applyFont="1" applyAlignment="1">
      <alignment vertical="center"/>
    </xf>
    <xf numFmtId="167" fontId="75" fillId="0" borderId="0" xfId="42" applyNumberFormat="1" applyFont="1" applyAlignment="1">
      <alignment vertical="center"/>
    </xf>
    <xf numFmtId="0" fontId="61" fillId="0" borderId="0" xfId="0" applyFont="1" applyAlignment="1">
      <alignment/>
    </xf>
    <xf numFmtId="0" fontId="43" fillId="0" borderId="0" xfId="0" applyFont="1" applyAlignment="1">
      <alignment/>
    </xf>
    <xf numFmtId="167" fontId="76" fillId="0" borderId="0" xfId="42" applyNumberFormat="1" applyFont="1" applyAlignment="1">
      <alignment vertical="center"/>
    </xf>
    <xf numFmtId="43" fontId="76" fillId="0" borderId="0" xfId="42" applyFont="1" applyAlignment="1">
      <alignment vertical="center"/>
    </xf>
    <xf numFmtId="0" fontId="0" fillId="0" borderId="10" xfId="0" applyFont="1" applyFill="1" applyBorder="1" applyAlignment="1" applyProtection="1">
      <alignment horizontal="left"/>
      <protection locked="0"/>
    </xf>
    <xf numFmtId="0" fontId="77" fillId="0" borderId="0" xfId="0" applyFont="1" applyAlignment="1">
      <alignment horizontal="left" vertical="center"/>
    </xf>
    <xf numFmtId="167" fontId="0" fillId="0" borderId="0" xfId="0" applyNumberFormat="1" applyAlignment="1">
      <alignment/>
    </xf>
    <xf numFmtId="0" fontId="61" fillId="0" borderId="22" xfId="0" applyFont="1" applyBorder="1" applyAlignment="1">
      <alignment/>
    </xf>
    <xf numFmtId="0" fontId="64" fillId="0" borderId="22" xfId="0" applyFont="1" applyBorder="1" applyAlignment="1">
      <alignment/>
    </xf>
    <xf numFmtId="0" fontId="59" fillId="0" borderId="18" xfId="0" applyFont="1" applyBorder="1" applyAlignment="1">
      <alignment/>
    </xf>
    <xf numFmtId="6" fontId="59" fillId="0" borderId="22" xfId="0" applyNumberFormat="1" applyFont="1" applyBorder="1" applyAlignment="1">
      <alignment/>
    </xf>
    <xf numFmtId="6" fontId="59" fillId="0" borderId="34" xfId="0" applyNumberFormat="1" applyFont="1" applyBorder="1" applyAlignment="1">
      <alignment/>
    </xf>
    <xf numFmtId="0" fontId="64" fillId="0" borderId="18" xfId="0" applyFont="1" applyBorder="1" applyAlignment="1">
      <alignment/>
    </xf>
    <xf numFmtId="0" fontId="64" fillId="0" borderId="34" xfId="0" applyFont="1" applyBorder="1" applyAlignment="1">
      <alignment/>
    </xf>
    <xf numFmtId="0" fontId="0" fillId="0" borderId="31" xfId="0" applyFont="1" applyBorder="1" applyAlignment="1">
      <alignment/>
    </xf>
    <xf numFmtId="167" fontId="71" fillId="0" borderId="31" xfId="42" applyNumberFormat="1" applyFont="1" applyBorder="1" applyAlignment="1">
      <alignment vertical="center"/>
    </xf>
    <xf numFmtId="167" fontId="71" fillId="0" borderId="32" xfId="42" applyNumberFormat="1" applyFont="1" applyBorder="1" applyAlignment="1">
      <alignment vertical="center"/>
    </xf>
    <xf numFmtId="0" fontId="71" fillId="0" borderId="24" xfId="0" applyFont="1" applyBorder="1" applyAlignment="1">
      <alignment horizontal="left" vertical="center"/>
    </xf>
    <xf numFmtId="167" fontId="71" fillId="0" borderId="0" xfId="42" applyNumberFormat="1" applyFont="1" applyBorder="1" applyAlignment="1">
      <alignment vertical="center"/>
    </xf>
    <xf numFmtId="167" fontId="71" fillId="0" borderId="26" xfId="42" applyNumberFormat="1" applyFont="1" applyBorder="1" applyAlignment="1">
      <alignment vertical="center"/>
    </xf>
    <xf numFmtId="0" fontId="71" fillId="0" borderId="27" xfId="0" applyFont="1" applyBorder="1" applyAlignment="1">
      <alignment horizontal="left" vertical="center"/>
    </xf>
    <xf numFmtId="167" fontId="71" fillId="0" borderId="25" xfId="42" applyNumberFormat="1" applyFont="1" applyBorder="1" applyAlignment="1">
      <alignment vertical="center"/>
    </xf>
    <xf numFmtId="167" fontId="71" fillId="0" borderId="30" xfId="42" applyNumberFormat="1" applyFont="1" applyBorder="1" applyAlignment="1">
      <alignment vertical="center"/>
    </xf>
    <xf numFmtId="0" fontId="75" fillId="34" borderId="35" xfId="0" applyFont="1" applyFill="1" applyBorder="1" applyAlignment="1">
      <alignment horizontal="left" vertical="center"/>
    </xf>
    <xf numFmtId="0" fontId="0" fillId="35" borderId="0" xfId="0" applyFill="1" applyAlignment="1">
      <alignment/>
    </xf>
    <xf numFmtId="0" fontId="65" fillId="0" borderId="0" xfId="0" applyFont="1" applyAlignment="1">
      <alignment horizontal="center"/>
    </xf>
    <xf numFmtId="9" fontId="57" fillId="0" borderId="0" xfId="62" applyFont="1" applyAlignment="1">
      <alignment horizontal="center"/>
    </xf>
    <xf numFmtId="0" fontId="65" fillId="0" borderId="0" xfId="0" applyFont="1" applyBorder="1" applyAlignment="1">
      <alignment horizontal="center"/>
    </xf>
    <xf numFmtId="0" fontId="65" fillId="0" borderId="0" xfId="0" applyFont="1" applyBorder="1" applyAlignment="1">
      <alignment horizontal="center" wrapText="1"/>
    </xf>
    <xf numFmtId="0" fontId="64" fillId="0" borderId="0" xfId="0" applyFont="1" applyFill="1" applyBorder="1" applyAlignment="1">
      <alignment horizontal="left"/>
    </xf>
    <xf numFmtId="6" fontId="57" fillId="31" borderId="0" xfId="0" applyNumberFormat="1" applyFont="1" applyFill="1" applyBorder="1" applyAlignment="1">
      <alignment horizontal="center"/>
    </xf>
    <xf numFmtId="0" fontId="51" fillId="0" borderId="0" xfId="0" applyFont="1" applyAlignment="1">
      <alignment/>
    </xf>
    <xf numFmtId="180" fontId="78" fillId="0" borderId="0" xfId="0" applyNumberFormat="1" applyFont="1" applyAlignment="1">
      <alignment vertical="center"/>
    </xf>
    <xf numFmtId="3" fontId="71" fillId="0" borderId="0" xfId="0" applyNumberFormat="1" applyFont="1" applyAlignment="1">
      <alignment horizontal="right" vertical="center"/>
    </xf>
    <xf numFmtId="0" fontId="0" fillId="0" borderId="0" xfId="0" applyAlignment="1">
      <alignment horizontal="right"/>
    </xf>
    <xf numFmtId="0" fontId="71" fillId="35" borderId="0" xfId="0" applyFont="1" applyFill="1" applyAlignment="1">
      <alignment horizontal="left" vertical="center"/>
    </xf>
    <xf numFmtId="8" fontId="57" fillId="0" borderId="0" xfId="0" applyNumberFormat="1" applyFont="1" applyAlignment="1">
      <alignment/>
    </xf>
    <xf numFmtId="3" fontId="71" fillId="31" borderId="0" xfId="0" applyNumberFormat="1" applyFont="1" applyFill="1" applyAlignment="1">
      <alignment horizontal="right" vertical="center"/>
    </xf>
    <xf numFmtId="8" fontId="57" fillId="31" borderId="0" xfId="0" applyNumberFormat="1" applyFont="1" applyFill="1" applyAlignment="1">
      <alignment/>
    </xf>
    <xf numFmtId="9" fontId="71" fillId="31" borderId="10" xfId="62" applyFont="1" applyFill="1" applyBorder="1" applyAlignment="1">
      <alignment horizontal="center" vertical="center"/>
    </xf>
    <xf numFmtId="0" fontId="72" fillId="0" borderId="0" xfId="0" applyFont="1" applyAlignment="1">
      <alignment horizontal="left" vertical="center" wrapText="1"/>
    </xf>
    <xf numFmtId="0" fontId="65" fillId="0" borderId="0" xfId="0" applyFont="1" applyAlignment="1">
      <alignment vertical="center" wrapText="1"/>
    </xf>
    <xf numFmtId="167" fontId="79" fillId="0" borderId="0" xfId="42" applyNumberFormat="1" applyFont="1" applyAlignment="1">
      <alignment vertical="center"/>
    </xf>
    <xf numFmtId="0" fontId="40" fillId="0" borderId="0" xfId="57" applyNumberFormat="1" applyFont="1" applyFill="1" applyBorder="1" applyAlignment="1">
      <alignment vertical="top" wrapText="1"/>
      <protection/>
    </xf>
    <xf numFmtId="0" fontId="69"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9"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34" xfId="0" applyFont="1" applyFill="1" applyBorder="1" applyAlignment="1" applyProtection="1">
      <alignment/>
      <protection/>
    </xf>
    <xf numFmtId="0" fontId="28" fillId="28" borderId="21" xfId="0" applyFont="1" applyFill="1" applyBorder="1" applyAlignment="1">
      <alignment horizontal="left" wrapText="1"/>
    </xf>
    <xf numFmtId="0" fontId="28" fillId="28" borderId="39" xfId="0" applyFont="1" applyFill="1" applyBorder="1" applyAlignment="1">
      <alignment horizontal="left"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9" xfId="0" applyFont="1" applyFill="1" applyBorder="1" applyAlignment="1">
      <alignment horizontal="left" wrapText="1"/>
    </xf>
    <xf numFmtId="0" fontId="41" fillId="29" borderId="21" xfId="0" applyFont="1" applyFill="1" applyBorder="1" applyAlignment="1">
      <alignment horizontal="left" wrapText="1"/>
    </xf>
    <xf numFmtId="0" fontId="41" fillId="29" borderId="29" xfId="0" applyFont="1" applyFill="1" applyBorder="1" applyAlignment="1">
      <alignment horizontal="left" wrapText="1"/>
    </xf>
    <xf numFmtId="0" fontId="41" fillId="29" borderId="39" xfId="0" applyFont="1" applyFill="1" applyBorder="1" applyAlignment="1">
      <alignment horizontal="left" wrapText="1"/>
    </xf>
    <xf numFmtId="0" fontId="27" fillId="28" borderId="21" xfId="0" applyFont="1" applyFill="1" applyBorder="1" applyAlignment="1">
      <alignment horizontal="center"/>
    </xf>
    <xf numFmtId="0" fontId="27" fillId="28" borderId="39"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1" fillId="29" borderId="39" xfId="0" applyFont="1" applyFill="1" applyBorder="1" applyAlignment="1">
      <alignment horizontal="center" wrapText="1"/>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6" fillId="29" borderId="39" xfId="0" applyFont="1" applyFill="1" applyBorder="1" applyAlignment="1">
      <alignment horizontal="left" wrapText="1"/>
    </xf>
    <xf numFmtId="0" fontId="27" fillId="27" borderId="24" xfId="0" applyFont="1" applyFill="1" applyBorder="1" applyAlignment="1">
      <alignment horizontal="center"/>
    </xf>
    <xf numFmtId="0" fontId="27" fillId="27" borderId="26" xfId="0" applyFont="1" applyFill="1" applyBorder="1" applyAlignment="1">
      <alignment horizontal="center"/>
    </xf>
    <xf numFmtId="0" fontId="26" fillId="29" borderId="21" xfId="0" applyFont="1" applyFill="1" applyBorder="1" applyAlignment="1">
      <alignment horizontal="center"/>
    </xf>
    <xf numFmtId="0" fontId="26" fillId="29" borderId="29" xfId="0" applyFont="1" applyFill="1" applyBorder="1" applyAlignment="1" quotePrefix="1">
      <alignment horizontal="center"/>
    </xf>
    <xf numFmtId="0" fontId="26" fillId="29" borderId="39" xfId="0" applyFont="1" applyFill="1" applyBorder="1" applyAlignment="1" quotePrefix="1">
      <alignment horizontal="center"/>
    </xf>
    <xf numFmtId="0" fontId="26" fillId="29" borderId="29" xfId="0" applyFont="1" applyFill="1" applyBorder="1" applyAlignment="1">
      <alignment horizontal="center"/>
    </xf>
    <xf numFmtId="0" fontId="27" fillId="28" borderId="29" xfId="0" applyFont="1" applyFill="1" applyBorder="1" applyAlignment="1">
      <alignment horizontal="center"/>
    </xf>
    <xf numFmtId="0" fontId="0" fillId="28" borderId="29" xfId="0" applyFont="1" applyFill="1" applyBorder="1" applyAlignment="1">
      <alignment horizontal="left" wrapText="1"/>
    </xf>
    <xf numFmtId="0" fontId="0" fillId="28" borderId="39" xfId="0" applyFont="1" applyFill="1" applyBorder="1" applyAlignment="1">
      <alignment horizontal="left" wrapText="1"/>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9" xfId="0" applyFont="1" applyFill="1" applyBorder="1" applyAlignment="1" quotePrefix="1">
      <alignment horizontal="center"/>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0" fillId="29" borderId="29" xfId="0" applyFont="1" applyFill="1" applyBorder="1" applyAlignment="1">
      <alignment horizontal="left" wrapText="1"/>
    </xf>
    <xf numFmtId="0" fontId="0" fillId="29" borderId="29" xfId="0" applyFill="1" applyBorder="1" applyAlignment="1">
      <alignment horizontal="left" wrapText="1"/>
    </xf>
    <xf numFmtId="0" fontId="0" fillId="29" borderId="39" xfId="0" applyFill="1" applyBorder="1" applyAlignment="1">
      <alignment horizontal="left" wrapText="1"/>
    </xf>
    <xf numFmtId="0" fontId="27" fillId="28" borderId="29" xfId="0" applyFont="1" applyFill="1" applyBorder="1" applyAlignment="1">
      <alignment horizontal="left" wrapText="1"/>
    </xf>
    <xf numFmtId="0" fontId="27" fillId="28" borderId="39" xfId="0" applyFont="1" applyFill="1" applyBorder="1" applyAlignment="1">
      <alignment horizontal="left" wrapText="1"/>
    </xf>
    <xf numFmtId="0" fontId="0" fillId="28" borderId="29" xfId="0" applyFont="1" applyFill="1" applyBorder="1" applyAlignment="1">
      <alignment horizontal="left"/>
    </xf>
    <xf numFmtId="0" fontId="0" fillId="28" borderId="39" xfId="0" applyFont="1" applyFill="1" applyBorder="1" applyAlignment="1">
      <alignment horizontal="left"/>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35"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43" fillId="29" borderId="35"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26" fillId="28" borderId="35" xfId="0" applyFont="1" applyFill="1" applyBorder="1" applyAlignment="1">
      <alignment horizontal="center" wrapText="1"/>
    </xf>
    <xf numFmtId="0" fontId="26" fillId="28" borderId="32"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28" fillId="29" borderId="39" xfId="0" applyFont="1" applyFill="1" applyBorder="1" applyAlignment="1" applyProtection="1" quotePrefix="1">
      <alignment horizontal="center"/>
      <protection locked="0"/>
    </xf>
    <xf numFmtId="0" fontId="28" fillId="29" borderId="31"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9" xfId="0" applyFont="1" applyFill="1" applyBorder="1" applyAlignment="1">
      <alignment horizontal="center" vertical="top" wrapText="1"/>
    </xf>
    <xf numFmtId="0" fontId="28" fillId="29" borderId="21" xfId="0" applyFont="1" applyFill="1" applyBorder="1" applyAlignment="1" applyProtection="1" quotePrefix="1">
      <alignment horizontal="center"/>
      <protection locked="0"/>
    </xf>
    <xf numFmtId="0" fontId="26" fillId="28" borderId="21" xfId="0" applyFont="1" applyFill="1" applyBorder="1" applyAlignment="1">
      <alignment horizontal="center" wrapText="1"/>
    </xf>
    <xf numFmtId="0" fontId="26" fillId="28" borderId="39" xfId="0" applyFont="1" applyFill="1" applyBorder="1" applyAlignment="1">
      <alignment horizontal="center" wrapText="1"/>
    </xf>
    <xf numFmtId="0" fontId="27" fillId="29" borderId="35" xfId="0" applyFont="1" applyFill="1" applyBorder="1" applyAlignment="1">
      <alignment horizontal="center" wrapText="1"/>
    </xf>
    <xf numFmtId="0" fontId="27" fillId="29" borderId="27" xfId="0" applyFont="1" applyFill="1" applyBorder="1" applyAlignment="1">
      <alignment horizontal="center" wrapText="1"/>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9" borderId="21" xfId="0" applyFont="1" applyFill="1" applyBorder="1" applyAlignment="1">
      <alignment horizontal="center"/>
    </xf>
    <xf numFmtId="0" fontId="0" fillId="28" borderId="21" xfId="0" applyFont="1" applyFill="1" applyBorder="1" applyAlignment="1">
      <alignment horizontal="left" wrapText="1"/>
    </xf>
    <xf numFmtId="0" fontId="28" fillId="29" borderId="35"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0" fillId="28" borderId="21" xfId="0" applyFont="1" applyFill="1" applyBorder="1" applyAlignment="1">
      <alignment horizontal="left"/>
    </xf>
    <xf numFmtId="0" fontId="0" fillId="29" borderId="21" xfId="0" applyFont="1" applyFill="1" applyBorder="1" applyAlignment="1">
      <alignment horizontal="left" wrapText="1"/>
    </xf>
    <xf numFmtId="0" fontId="27" fillId="28" borderId="21" xfId="0" applyFont="1" applyFill="1" applyBorder="1" applyAlignment="1">
      <alignment horizontal="left" wrapText="1"/>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9"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0" fillId="29" borderId="28" xfId="0" applyFill="1" applyBorder="1" applyAlignment="1" applyProtection="1">
      <alignment horizontal="center" wrapText="1"/>
      <protection/>
    </xf>
    <xf numFmtId="0" fontId="27" fillId="25" borderId="60" xfId="0" applyFont="1" applyFill="1" applyBorder="1" applyAlignment="1" applyProtection="1">
      <alignment horizontal="center" wrapText="1"/>
      <protection locked="0"/>
    </xf>
    <xf numFmtId="0" fontId="27" fillId="25" borderId="61" xfId="0" applyFont="1" applyFill="1" applyBorder="1" applyAlignment="1" applyProtection="1">
      <alignment horizontal="center" wrapText="1"/>
      <protection locked="0"/>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9"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9"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9"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9" xfId="0" applyFont="1" applyFill="1" applyBorder="1" applyAlignment="1" applyProtection="1">
      <alignment horizontal="left"/>
      <protection/>
    </xf>
    <xf numFmtId="0" fontId="68" fillId="31" borderId="0" xfId="0" applyFont="1" applyFill="1" applyAlignment="1">
      <alignment horizontal="center"/>
    </xf>
    <xf numFmtId="0" fontId="68" fillId="31" borderId="0" xfId="0" applyFont="1" applyFill="1" applyAlignment="1">
      <alignment horizontal="center" wrapText="1"/>
    </xf>
    <xf numFmtId="0" fontId="68" fillId="31" borderId="0"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5">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53"/>
  <sheetViews>
    <sheetView zoomScalePageLayoutView="0" workbookViewId="0" topLeftCell="A1">
      <selection activeCell="E5" sqref="E5"/>
    </sheetView>
  </sheetViews>
  <sheetFormatPr defaultColWidth="9.140625" defaultRowHeight="12.75"/>
  <cols>
    <col min="1" max="1" width="9.140625" style="5" customWidth="1"/>
    <col min="2" max="2" width="84.57421875" style="0" customWidth="1"/>
  </cols>
  <sheetData>
    <row r="1" spans="1:2" ht="30" customHeight="1" thickBot="1">
      <c r="A1" s="5" t="s">
        <v>67</v>
      </c>
      <c r="B1" s="789" t="s">
        <v>339</v>
      </c>
    </row>
    <row r="3" ht="15">
      <c r="B3" s="677"/>
    </row>
    <row r="4" ht="13.5" thickBot="1"/>
    <row r="5" spans="1:2" ht="24" customHeight="1" thickBot="1">
      <c r="A5" s="115"/>
      <c r="B5" s="117" t="s">
        <v>424</v>
      </c>
    </row>
    <row r="6" spans="1:2" ht="34.5" customHeight="1" thickBot="1">
      <c r="A6" s="739">
        <v>1</v>
      </c>
      <c r="B6" s="766" t="s">
        <v>566</v>
      </c>
    </row>
    <row r="7" spans="1:2" ht="45.75" customHeight="1" thickBot="1">
      <c r="A7" s="739">
        <v>2</v>
      </c>
      <c r="B7" s="766" t="s">
        <v>572</v>
      </c>
    </row>
    <row r="8" spans="1:2" ht="31.5" customHeight="1" thickBot="1">
      <c r="A8" s="739">
        <v>3</v>
      </c>
      <c r="B8" s="766" t="s">
        <v>468</v>
      </c>
    </row>
    <row r="9" spans="1:2" ht="30.75" customHeight="1" thickBot="1">
      <c r="A9" s="739">
        <v>4</v>
      </c>
      <c r="B9" s="766" t="s">
        <v>416</v>
      </c>
    </row>
    <row r="10" spans="1:2" ht="48" customHeight="1">
      <c r="A10" s="767"/>
      <c r="B10" s="770" t="s">
        <v>476</v>
      </c>
    </row>
    <row r="11" spans="1:2" ht="6" customHeight="1">
      <c r="A11" s="769"/>
      <c r="B11" s="771"/>
    </row>
    <row r="12" spans="1:2" ht="15.75" customHeight="1">
      <c r="A12" s="769"/>
      <c r="B12" s="772" t="s">
        <v>502</v>
      </c>
    </row>
    <row r="13" spans="1:2" ht="5.25" customHeight="1">
      <c r="A13" s="769"/>
      <c r="B13" s="772"/>
    </row>
    <row r="14" spans="1:2" ht="16.5" customHeight="1" thickBot="1">
      <c r="A14" s="768">
        <v>5</v>
      </c>
      <c r="B14" s="773" t="s">
        <v>578</v>
      </c>
    </row>
    <row r="15" spans="1:2" ht="18.75" customHeight="1" thickBot="1">
      <c r="A15" s="739">
        <v>6</v>
      </c>
      <c r="B15" s="774" t="s">
        <v>503</v>
      </c>
    </row>
    <row r="16" spans="1:2" ht="33.75" customHeight="1" thickBot="1">
      <c r="A16" s="739">
        <v>7</v>
      </c>
      <c r="B16" s="774" t="s">
        <v>469</v>
      </c>
    </row>
    <row r="17" spans="1:2" ht="33.75" customHeight="1" thickBot="1">
      <c r="A17" s="739">
        <v>8</v>
      </c>
      <c r="B17" s="775" t="s">
        <v>417</v>
      </c>
    </row>
    <row r="18" spans="1:2" ht="30" thickBot="1">
      <c r="A18" s="103">
        <v>9</v>
      </c>
      <c r="B18" s="482" t="s">
        <v>411</v>
      </c>
    </row>
    <row r="19" spans="1:2" ht="15">
      <c r="A19" s="1071">
        <v>10</v>
      </c>
      <c r="B19" s="290" t="s">
        <v>452</v>
      </c>
    </row>
    <row r="20" spans="1:2" ht="14.25">
      <c r="A20" s="1072"/>
      <c r="B20" s="291" t="s">
        <v>454</v>
      </c>
    </row>
    <row r="21" spans="1:4" ht="14.25">
      <c r="A21" s="1072"/>
      <c r="B21" s="291" t="s">
        <v>420</v>
      </c>
      <c r="D21" s="97"/>
    </row>
    <row r="22" spans="1:4" ht="14.25">
      <c r="A22" s="1072"/>
      <c r="B22" s="291" t="s">
        <v>421</v>
      </c>
      <c r="D22" s="97"/>
    </row>
    <row r="23" spans="1:4" ht="14.25">
      <c r="A23" s="1072"/>
      <c r="B23" s="777" t="s">
        <v>489</v>
      </c>
      <c r="D23" s="97"/>
    </row>
    <row r="24" spans="1:4" ht="14.25">
      <c r="A24" s="1072"/>
      <c r="B24" s="291" t="s">
        <v>422</v>
      </c>
      <c r="D24" s="97"/>
    </row>
    <row r="25" spans="1:4" ht="14.25" customHeight="1">
      <c r="A25" s="1072"/>
      <c r="B25" s="777" t="s">
        <v>423</v>
      </c>
      <c r="D25" s="100"/>
    </row>
    <row r="26" spans="1:4" ht="14.25" customHeight="1">
      <c r="A26" s="1072"/>
      <c r="B26" s="777" t="s">
        <v>451</v>
      </c>
      <c r="D26" s="100"/>
    </row>
    <row r="27" spans="1:4" ht="14.25">
      <c r="A27" s="1072"/>
      <c r="B27" s="291" t="s">
        <v>458</v>
      </c>
      <c r="D27" s="97"/>
    </row>
    <row r="28" spans="1:2" ht="15" thickBot="1">
      <c r="A28" s="1073"/>
      <c r="B28" s="288" t="s">
        <v>453</v>
      </c>
    </row>
    <row r="29" spans="1:2" ht="48" customHeight="1" thickBot="1">
      <c r="A29" s="85">
        <v>11</v>
      </c>
      <c r="B29" s="780" t="s">
        <v>573</v>
      </c>
    </row>
    <row r="30" spans="1:2" ht="16.5" customHeight="1" thickBot="1">
      <c r="A30" s="86"/>
      <c r="B30" s="100"/>
    </row>
    <row r="31" spans="1:2" ht="24" customHeight="1" thickBot="1">
      <c r="A31" s="115"/>
      <c r="B31" s="116" t="s">
        <v>419</v>
      </c>
    </row>
    <row r="32" spans="1:2" ht="25.5" customHeight="1" thickBot="1">
      <c r="A32" s="115"/>
      <c r="B32" s="116" t="s">
        <v>61</v>
      </c>
    </row>
    <row r="33" spans="1:2" ht="117" customHeight="1">
      <c r="A33" s="103"/>
      <c r="B33" s="485" t="s">
        <v>567</v>
      </c>
    </row>
    <row r="34" spans="1:2" ht="6.75" customHeight="1">
      <c r="A34" s="289"/>
      <c r="B34" s="291"/>
    </row>
    <row r="35" spans="1:2" ht="48" customHeight="1" thickBot="1">
      <c r="A35" s="193">
        <v>1</v>
      </c>
      <c r="B35" s="502" t="s">
        <v>571</v>
      </c>
    </row>
    <row r="36" spans="1:2" ht="28.5" customHeight="1" thickBot="1">
      <c r="A36" s="836"/>
      <c r="B36" s="487" t="s">
        <v>347</v>
      </c>
    </row>
    <row r="37" spans="1:2" ht="191.25" customHeight="1">
      <c r="A37" s="103"/>
      <c r="B37" s="828" t="s">
        <v>568</v>
      </c>
    </row>
    <row r="38" spans="1:2" ht="9" customHeight="1">
      <c r="A38" s="289"/>
      <c r="B38" s="829"/>
    </row>
    <row r="39" spans="1:2" ht="32.25" customHeight="1">
      <c r="A39" s="289"/>
      <c r="B39" s="829" t="s">
        <v>467</v>
      </c>
    </row>
    <row r="40" spans="1:2" ht="15" customHeight="1">
      <c r="A40" s="289"/>
      <c r="B40" s="829" t="s">
        <v>470</v>
      </c>
    </row>
    <row r="41" spans="1:2" ht="15" customHeight="1">
      <c r="A41" s="289"/>
      <c r="B41" s="829" t="s">
        <v>463</v>
      </c>
    </row>
    <row r="42" spans="1:2" ht="15" customHeight="1">
      <c r="A42" s="289"/>
      <c r="B42" s="829" t="s">
        <v>464</v>
      </c>
    </row>
    <row r="43" spans="1:2" ht="15" customHeight="1">
      <c r="A43" s="289"/>
      <c r="B43" s="829" t="s">
        <v>465</v>
      </c>
    </row>
    <row r="44" spans="1:2" ht="15" customHeight="1">
      <c r="A44" s="289"/>
      <c r="B44" s="829" t="s">
        <v>466</v>
      </c>
    </row>
    <row r="45" spans="1:2" ht="15" customHeight="1">
      <c r="A45" s="289"/>
      <c r="B45" s="829" t="s">
        <v>520</v>
      </c>
    </row>
    <row r="46" spans="1:2" ht="6.75" customHeight="1">
      <c r="A46" s="289"/>
      <c r="B46" s="829"/>
    </row>
    <row r="47" spans="1:2" ht="58.5" customHeight="1">
      <c r="A47" s="289"/>
      <c r="B47" s="829" t="s">
        <v>570</v>
      </c>
    </row>
    <row r="48" spans="1:2" ht="6.75" customHeight="1">
      <c r="A48" s="289"/>
      <c r="B48" s="829"/>
    </row>
    <row r="49" spans="1:2" ht="80.25" customHeight="1" thickBot="1">
      <c r="A49" s="289">
        <v>2</v>
      </c>
      <c r="B49" s="992" t="s">
        <v>579</v>
      </c>
    </row>
    <row r="50" spans="1:2" ht="141" customHeight="1" thickBot="1">
      <c r="A50" s="85">
        <v>3</v>
      </c>
      <c r="B50" s="497" t="s">
        <v>580</v>
      </c>
    </row>
    <row r="51" spans="1:2" ht="155.25" customHeight="1" thickBot="1">
      <c r="A51" s="85">
        <v>4</v>
      </c>
      <c r="B51" s="778" t="s">
        <v>492</v>
      </c>
    </row>
    <row r="52" spans="1:2" ht="44.25" thickBot="1">
      <c r="A52" s="85">
        <v>5</v>
      </c>
      <c r="B52" s="486" t="s">
        <v>383</v>
      </c>
    </row>
    <row r="53" spans="1:2" ht="89.25" thickBot="1">
      <c r="A53" s="85">
        <v>6</v>
      </c>
      <c r="B53" s="498" t="s">
        <v>574</v>
      </c>
    </row>
    <row r="54" spans="1:2" ht="59.25" thickBot="1">
      <c r="A54" s="85">
        <v>7</v>
      </c>
      <c r="B54" s="498" t="s">
        <v>384</v>
      </c>
    </row>
    <row r="55" spans="1:2" ht="45" thickBot="1">
      <c r="A55" s="85">
        <v>8</v>
      </c>
      <c r="B55" s="498" t="s">
        <v>385</v>
      </c>
    </row>
    <row r="56" spans="1:2" ht="37.5" customHeight="1" thickBot="1">
      <c r="A56" s="85">
        <v>9</v>
      </c>
      <c r="B56" s="498" t="s">
        <v>386</v>
      </c>
    </row>
    <row r="57" spans="1:2" ht="30" customHeight="1" thickBot="1">
      <c r="A57" s="85">
        <v>10</v>
      </c>
      <c r="B57" s="498" t="s">
        <v>387</v>
      </c>
    </row>
    <row r="58" spans="1:2" ht="48" customHeight="1" thickBot="1">
      <c r="A58" s="85">
        <v>11</v>
      </c>
      <c r="B58" s="499" t="s">
        <v>477</v>
      </c>
    </row>
    <row r="59" spans="1:2" ht="21" customHeight="1" thickBot="1">
      <c r="A59" s="85">
        <v>12</v>
      </c>
      <c r="B59" s="486" t="s">
        <v>505</v>
      </c>
    </row>
    <row r="60" spans="1:2" ht="93.75" customHeight="1" thickBot="1">
      <c r="A60" s="85">
        <v>13</v>
      </c>
      <c r="B60" s="486" t="s">
        <v>581</v>
      </c>
    </row>
    <row r="61" spans="1:2" ht="90.75" customHeight="1" thickBot="1">
      <c r="A61" s="85">
        <v>14</v>
      </c>
      <c r="B61" s="483" t="s">
        <v>471</v>
      </c>
    </row>
    <row r="62" spans="1:2" ht="60.75" thickBot="1">
      <c r="A62" s="85">
        <v>15</v>
      </c>
      <c r="B62" s="497" t="s">
        <v>506</v>
      </c>
    </row>
    <row r="63" spans="1:2" ht="45.75" thickBot="1">
      <c r="A63" s="85">
        <v>16</v>
      </c>
      <c r="B63" s="497" t="s">
        <v>472</v>
      </c>
    </row>
    <row r="64" spans="1:2" ht="122.25" customHeight="1" thickBot="1">
      <c r="A64" s="85">
        <v>17</v>
      </c>
      <c r="B64" s="486" t="s">
        <v>507</v>
      </c>
    </row>
    <row r="65" spans="1:2" s="97" customFormat="1" ht="34.5" customHeight="1" thickBot="1">
      <c r="A65" s="86"/>
      <c r="B65" s="96"/>
    </row>
    <row r="66" spans="1:2" s="97" customFormat="1" ht="24.75" customHeight="1" thickBot="1">
      <c r="A66" s="115"/>
      <c r="B66" s="783" t="s">
        <v>425</v>
      </c>
    </row>
    <row r="67" spans="1:2" s="97" customFormat="1" ht="24.75" customHeight="1" thickBot="1">
      <c r="A67" s="115"/>
      <c r="B67" s="783" t="s">
        <v>61</v>
      </c>
    </row>
    <row r="68" spans="1:2" s="97" customFormat="1" ht="60.75" customHeight="1" thickBot="1">
      <c r="A68" s="85">
        <v>1</v>
      </c>
      <c r="B68" s="784" t="s">
        <v>563</v>
      </c>
    </row>
    <row r="69" spans="1:2" s="97" customFormat="1" ht="30.75" customHeight="1" thickBot="1">
      <c r="A69" s="115"/>
      <c r="B69" s="785" t="s">
        <v>348</v>
      </c>
    </row>
    <row r="70" spans="1:2" s="97" customFormat="1" ht="15.75" customHeight="1">
      <c r="A70" s="103"/>
      <c r="B70" s="485" t="s">
        <v>343</v>
      </c>
    </row>
    <row r="71" spans="1:2" s="97" customFormat="1" ht="30.75" customHeight="1">
      <c r="A71" s="289"/>
      <c r="B71" s="291" t="s">
        <v>509</v>
      </c>
    </row>
    <row r="72" spans="1:2" s="97" customFormat="1" ht="29.25">
      <c r="A72" s="289"/>
      <c r="B72" s="291" t="s">
        <v>510</v>
      </c>
    </row>
    <row r="73" spans="1:2" s="97" customFormat="1" ht="28.5">
      <c r="A73" s="289"/>
      <c r="B73" s="291" t="s">
        <v>508</v>
      </c>
    </row>
    <row r="74" spans="1:2" s="97" customFormat="1" ht="14.25">
      <c r="A74" s="289"/>
      <c r="B74" s="291" t="s">
        <v>340</v>
      </c>
    </row>
    <row r="75" spans="1:2" s="97" customFormat="1" ht="14.25">
      <c r="A75" s="289"/>
      <c r="B75" s="291" t="s">
        <v>341</v>
      </c>
    </row>
    <row r="76" spans="1:2" s="97" customFormat="1" ht="71.25">
      <c r="A76" s="289"/>
      <c r="B76" s="291" t="s">
        <v>388</v>
      </c>
    </row>
    <row r="77" spans="1:2" s="97" customFormat="1" ht="14.25">
      <c r="A77" s="289"/>
      <c r="B77" s="291" t="s">
        <v>342</v>
      </c>
    </row>
    <row r="78" spans="1:2" s="97" customFormat="1" ht="9.75" customHeight="1">
      <c r="A78" s="289"/>
      <c r="B78" s="291"/>
    </row>
    <row r="79" spans="1:8" s="97" customFormat="1" ht="56.25" customHeight="1">
      <c r="A79" s="289"/>
      <c r="B79" s="291" t="s">
        <v>344</v>
      </c>
      <c r="H79" s="484" t="s">
        <v>60</v>
      </c>
    </row>
    <row r="80" spans="1:2" s="97" customFormat="1" ht="6" customHeight="1">
      <c r="A80" s="289"/>
      <c r="B80" s="291"/>
    </row>
    <row r="81" spans="1:2" s="97" customFormat="1" ht="47.25" customHeight="1">
      <c r="A81" s="289"/>
      <c r="B81" s="291" t="s">
        <v>349</v>
      </c>
    </row>
    <row r="82" spans="1:2" s="97" customFormat="1" ht="5.25" customHeight="1">
      <c r="A82" s="289"/>
      <c r="B82" s="291"/>
    </row>
    <row r="83" spans="1:2" s="97" customFormat="1" ht="74.25" customHeight="1">
      <c r="A83" s="289"/>
      <c r="B83" s="291" t="s">
        <v>493</v>
      </c>
    </row>
    <row r="84" spans="1:2" s="97" customFormat="1" ht="14.25">
      <c r="A84" s="289"/>
      <c r="B84" s="291"/>
    </row>
    <row r="85" spans="1:2" s="97" customFormat="1" ht="29.25" thickBot="1">
      <c r="A85" s="193">
        <v>2</v>
      </c>
      <c r="B85" s="288" t="s">
        <v>345</v>
      </c>
    </row>
    <row r="86" spans="1:2" s="97" customFormat="1" ht="27" customHeight="1" thickBot="1">
      <c r="A86" s="115"/>
      <c r="B86" s="500" t="s">
        <v>389</v>
      </c>
    </row>
    <row r="87" spans="1:2" s="97" customFormat="1" ht="52.5" customHeight="1" thickBot="1">
      <c r="A87" s="85">
        <v>3</v>
      </c>
      <c r="B87" s="486" t="s">
        <v>511</v>
      </c>
    </row>
    <row r="88" spans="1:2" s="97" customFormat="1" ht="27" customHeight="1" thickBot="1">
      <c r="A88" s="115"/>
      <c r="B88" s="488" t="s">
        <v>346</v>
      </c>
    </row>
    <row r="89" spans="1:2" s="97" customFormat="1" ht="184.5" customHeight="1" thickBot="1">
      <c r="A89" s="85">
        <v>4</v>
      </c>
      <c r="B89" s="486" t="s">
        <v>512</v>
      </c>
    </row>
    <row r="90" spans="1:2" s="97" customFormat="1" ht="33.75" customHeight="1" thickBot="1">
      <c r="A90" s="115"/>
      <c r="B90" s="488" t="s">
        <v>407</v>
      </c>
    </row>
    <row r="91" spans="1:2" s="97" customFormat="1" ht="45.75" thickBot="1">
      <c r="A91" s="85">
        <v>5</v>
      </c>
      <c r="B91" s="486" t="s">
        <v>473</v>
      </c>
    </row>
    <row r="92" spans="1:2" s="97" customFormat="1" ht="4.5" customHeight="1">
      <c r="A92" s="103"/>
      <c r="B92" s="501"/>
    </row>
    <row r="93" spans="1:2" s="97" customFormat="1" ht="45">
      <c r="A93" s="289"/>
      <c r="B93" s="501" t="s">
        <v>513</v>
      </c>
    </row>
    <row r="94" spans="1:2" s="97" customFormat="1" ht="3" customHeight="1">
      <c r="A94" s="289"/>
      <c r="B94" s="501"/>
    </row>
    <row r="95" spans="1:2" s="97" customFormat="1" ht="44.25">
      <c r="A95" s="289"/>
      <c r="B95" s="501" t="s">
        <v>474</v>
      </c>
    </row>
    <row r="96" spans="1:2" s="97" customFormat="1" ht="3.75" customHeight="1">
      <c r="A96" s="289"/>
      <c r="B96" s="501"/>
    </row>
    <row r="97" spans="1:2" s="97" customFormat="1" ht="61.5" customHeight="1">
      <c r="A97" s="289"/>
      <c r="B97" s="501" t="s">
        <v>514</v>
      </c>
    </row>
    <row r="98" spans="1:2" s="97" customFormat="1" ht="3.75" customHeight="1">
      <c r="A98" s="289"/>
      <c r="B98" s="501"/>
    </row>
    <row r="99" spans="1:2" s="97" customFormat="1" ht="46.5" customHeight="1" thickBot="1">
      <c r="A99" s="193">
        <v>6</v>
      </c>
      <c r="B99" s="502" t="s">
        <v>475</v>
      </c>
    </row>
    <row r="100" spans="1:2" s="97" customFormat="1" ht="8.25" customHeight="1">
      <c r="A100" s="103"/>
      <c r="B100" s="501"/>
    </row>
    <row r="101" spans="1:2" s="97" customFormat="1" ht="30" customHeight="1">
      <c r="A101" s="289"/>
      <c r="B101" s="788" t="s">
        <v>460</v>
      </c>
    </row>
    <row r="102" spans="1:2" s="97" customFormat="1" ht="17.25" customHeight="1">
      <c r="A102" s="289"/>
      <c r="B102" s="501" t="s">
        <v>461</v>
      </c>
    </row>
    <row r="103" spans="1:2" s="97" customFormat="1" ht="17.25" customHeight="1">
      <c r="A103" s="289"/>
      <c r="B103" s="501" t="s">
        <v>462</v>
      </c>
    </row>
    <row r="104" spans="1:2" s="97" customFormat="1" ht="17.25" customHeight="1">
      <c r="A104" s="289"/>
      <c r="B104" s="501" t="s">
        <v>494</v>
      </c>
    </row>
    <row r="105" spans="1:2" s="97" customFormat="1" ht="5.25" customHeight="1">
      <c r="A105" s="289"/>
      <c r="B105" s="501"/>
    </row>
    <row r="106" spans="1:2" s="97" customFormat="1" ht="63.75" customHeight="1" thickBot="1">
      <c r="A106" s="193">
        <v>7</v>
      </c>
      <c r="B106" s="501" t="s">
        <v>515</v>
      </c>
    </row>
    <row r="107" spans="1:2" s="97" customFormat="1" ht="27" customHeight="1" thickBot="1">
      <c r="A107" s="115"/>
      <c r="B107" s="500" t="s">
        <v>390</v>
      </c>
    </row>
    <row r="108" spans="1:2" s="97" customFormat="1" ht="50.25" customHeight="1" thickBot="1">
      <c r="A108" s="85">
        <v>8</v>
      </c>
      <c r="B108" s="503" t="s">
        <v>491</v>
      </c>
    </row>
    <row r="109" spans="1:4" s="97" customFormat="1" ht="25.5" customHeight="1" thickBot="1">
      <c r="A109" s="115"/>
      <c r="B109" s="488" t="s">
        <v>391</v>
      </c>
      <c r="D109" s="100"/>
    </row>
    <row r="110" spans="1:2" s="97" customFormat="1" ht="354" customHeight="1" thickBot="1">
      <c r="A110" s="103">
        <v>9</v>
      </c>
      <c r="B110" s="498" t="s">
        <v>516</v>
      </c>
    </row>
    <row r="111" spans="1:2" s="97" customFormat="1" ht="14.25">
      <c r="A111" s="103"/>
      <c r="B111" s="835"/>
    </row>
    <row r="112" spans="1:2" s="97" customFormat="1" ht="118.5" thickBot="1">
      <c r="A112" s="193">
        <v>10</v>
      </c>
      <c r="B112" s="733" t="s">
        <v>582</v>
      </c>
    </row>
    <row r="113" spans="1:2" s="97" customFormat="1" ht="59.25" thickBot="1">
      <c r="A113" s="85">
        <v>11</v>
      </c>
      <c r="B113" s="503" t="s">
        <v>495</v>
      </c>
    </row>
    <row r="114" spans="1:2" s="97" customFormat="1" ht="12.75">
      <c r="A114" s="86"/>
      <c r="B114" s="96"/>
    </row>
    <row r="115" spans="1:2" s="97" customFormat="1" ht="14.25">
      <c r="A115" s="86"/>
      <c r="B115" s="100"/>
    </row>
    <row r="116" spans="1:2" s="97" customFormat="1" ht="13.5" thickBot="1">
      <c r="A116" s="86"/>
      <c r="B116" s="96"/>
    </row>
    <row r="117" spans="1:2" s="97" customFormat="1" ht="24" customHeight="1" thickBot="1">
      <c r="A117" s="115"/>
      <c r="B117" s="292" t="s">
        <v>426</v>
      </c>
    </row>
    <row r="118" spans="1:2" s="97" customFormat="1" ht="30">
      <c r="A118" s="103"/>
      <c r="B118" s="290" t="s">
        <v>408</v>
      </c>
    </row>
    <row r="119" spans="1:2" s="97" customFormat="1" ht="15" customHeight="1">
      <c r="A119" s="289"/>
      <c r="B119" s="291" t="s">
        <v>478</v>
      </c>
    </row>
    <row r="120" spans="1:2" s="97" customFormat="1" ht="15" customHeight="1">
      <c r="A120" s="289"/>
      <c r="B120" s="291" t="s">
        <v>479</v>
      </c>
    </row>
    <row r="121" spans="1:2" s="97" customFormat="1" ht="15" customHeight="1">
      <c r="A121" s="289"/>
      <c r="B121" s="291" t="s">
        <v>480</v>
      </c>
    </row>
    <row r="122" spans="1:2" s="97" customFormat="1" ht="15" customHeight="1">
      <c r="A122" s="289"/>
      <c r="B122" s="291" t="s">
        <v>496</v>
      </c>
    </row>
    <row r="123" spans="1:2" s="97" customFormat="1" ht="15" customHeight="1" thickBot="1">
      <c r="A123" s="193">
        <v>1</v>
      </c>
      <c r="B123" s="288" t="s">
        <v>481</v>
      </c>
    </row>
    <row r="124" spans="1:2" s="97" customFormat="1" ht="183" customHeight="1" thickBot="1">
      <c r="A124" s="85">
        <v>2</v>
      </c>
      <c r="B124" s="503" t="s">
        <v>575</v>
      </c>
    </row>
    <row r="125" spans="1:2" ht="103.5" customHeight="1">
      <c r="A125" s="103"/>
      <c r="B125" s="734" t="s">
        <v>517</v>
      </c>
    </row>
    <row r="126" spans="1:2" ht="8.25" customHeight="1">
      <c r="A126" s="289"/>
      <c r="B126" s="736"/>
    </row>
    <row r="127" spans="1:2" ht="63" customHeight="1">
      <c r="A127" s="289"/>
      <c r="B127" s="736" t="s">
        <v>482</v>
      </c>
    </row>
    <row r="128" spans="1:2" ht="8.25" customHeight="1">
      <c r="A128" s="289"/>
      <c r="B128" s="736"/>
    </row>
    <row r="129" spans="1:2" ht="60.75" customHeight="1" thickBot="1">
      <c r="A129" s="193">
        <v>3</v>
      </c>
      <c r="B129" s="737" t="s">
        <v>576</v>
      </c>
    </row>
    <row r="130" spans="1:2" ht="60.75" thickBot="1">
      <c r="A130" s="193">
        <v>4</v>
      </c>
      <c r="B130" s="735" t="s">
        <v>518</v>
      </c>
    </row>
    <row r="131" spans="1:2" ht="95.25" customHeight="1">
      <c r="A131" s="103">
        <v>5</v>
      </c>
      <c r="B131" s="504" t="s">
        <v>583</v>
      </c>
    </row>
    <row r="132" spans="1:2" ht="6" customHeight="1">
      <c r="A132" s="289"/>
      <c r="B132" s="100"/>
    </row>
    <row r="133" spans="1:2" ht="149.25" customHeight="1" thickBot="1">
      <c r="A133" s="193">
        <v>6</v>
      </c>
      <c r="B133" s="733" t="s">
        <v>584</v>
      </c>
    </row>
    <row r="134" spans="1:2" ht="118.5" thickBot="1">
      <c r="A134" s="85">
        <v>7</v>
      </c>
      <c r="B134" s="99" t="s">
        <v>519</v>
      </c>
    </row>
    <row r="135" spans="1:2" ht="45" thickBot="1">
      <c r="A135" s="85">
        <v>8</v>
      </c>
      <c r="B135" s="98" t="s">
        <v>585</v>
      </c>
    </row>
    <row r="136" ht="14.25">
      <c r="B136" s="1"/>
    </row>
    <row r="137" spans="1:2" ht="14.25">
      <c r="A137" s="86"/>
      <c r="B137" s="100"/>
    </row>
    <row r="138" spans="1:2" ht="15" thickBot="1">
      <c r="A138" s="86"/>
      <c r="B138" s="100"/>
    </row>
    <row r="139" spans="1:2" ht="24" customHeight="1" thickBot="1">
      <c r="A139" s="115"/>
      <c r="B139" s="116" t="s">
        <v>427</v>
      </c>
    </row>
    <row r="140" spans="1:2" ht="24" customHeight="1" thickBot="1">
      <c r="A140" s="115"/>
      <c r="B140" s="487" t="s">
        <v>61</v>
      </c>
    </row>
    <row r="141" spans="1:2" s="350" customFormat="1" ht="18" customHeight="1" thickBot="1">
      <c r="A141" s="743">
        <v>1</v>
      </c>
      <c r="B141" s="766" t="s">
        <v>428</v>
      </c>
    </row>
    <row r="142" spans="1:2" s="350" customFormat="1" ht="48" customHeight="1" thickBot="1">
      <c r="A142" s="739">
        <v>2</v>
      </c>
      <c r="B142" s="766" t="s">
        <v>497</v>
      </c>
    </row>
    <row r="143" spans="1:2" s="350" customFormat="1" ht="47.25" customHeight="1" thickBot="1">
      <c r="A143" s="739">
        <v>3</v>
      </c>
      <c r="B143" s="766" t="s">
        <v>521</v>
      </c>
    </row>
    <row r="144" spans="1:2" s="350" customFormat="1" ht="133.5" customHeight="1" thickBot="1">
      <c r="A144" s="739">
        <v>4</v>
      </c>
      <c r="B144" s="779" t="s">
        <v>431</v>
      </c>
    </row>
    <row r="145" spans="1:2" s="350" customFormat="1" ht="36.75" customHeight="1" thickBot="1">
      <c r="A145" s="743">
        <v>5</v>
      </c>
      <c r="B145" s="766" t="s">
        <v>522</v>
      </c>
    </row>
    <row r="146" spans="1:2" s="350" customFormat="1" ht="34.5" customHeight="1" thickBot="1">
      <c r="A146" s="743">
        <v>6</v>
      </c>
      <c r="B146" s="766" t="s">
        <v>523</v>
      </c>
    </row>
    <row r="147" spans="1:2" ht="48.75" customHeight="1" thickBot="1">
      <c r="A147" s="739">
        <v>7</v>
      </c>
      <c r="B147" s="834" t="s">
        <v>488</v>
      </c>
    </row>
    <row r="148" spans="1:2" ht="34.5" customHeight="1" thickBot="1">
      <c r="A148" s="743">
        <v>8</v>
      </c>
      <c r="B148" s="781" t="s">
        <v>524</v>
      </c>
    </row>
    <row r="149" spans="1:2" ht="36.75" customHeight="1" thickBot="1">
      <c r="A149" s="739">
        <v>9</v>
      </c>
      <c r="B149" s="782" t="s">
        <v>429</v>
      </c>
    </row>
    <row r="150" spans="1:2" ht="30" customHeight="1" thickBot="1">
      <c r="A150" s="767">
        <v>10</v>
      </c>
      <c r="B150" s="781" t="s">
        <v>430</v>
      </c>
    </row>
    <row r="151" spans="1:2" ht="36" customHeight="1" thickBot="1">
      <c r="A151" s="767">
        <v>11</v>
      </c>
      <c r="B151" s="827" t="s">
        <v>459</v>
      </c>
    </row>
    <row r="152" spans="1:2" ht="17.25" customHeight="1" thickBot="1">
      <c r="A152" s="767">
        <v>12</v>
      </c>
      <c r="B152" s="486" t="s">
        <v>484</v>
      </c>
    </row>
    <row r="153" spans="1:2" ht="58.5" customHeight="1" thickBot="1">
      <c r="A153" s="739">
        <v>13</v>
      </c>
      <c r="B153" s="779" t="s">
        <v>525</v>
      </c>
    </row>
    <row r="154" spans="1:2" ht="24.75" customHeight="1" thickBot="1">
      <c r="A154" s="786"/>
      <c r="B154" s="825" t="s">
        <v>433</v>
      </c>
    </row>
    <row r="155" spans="1:2" ht="65.25" customHeight="1" thickBot="1">
      <c r="A155" s="85">
        <v>14</v>
      </c>
      <c r="B155" s="99" t="s">
        <v>569</v>
      </c>
    </row>
    <row r="156" spans="1:2" ht="0.75" customHeight="1" hidden="1" thickBot="1">
      <c r="A156" s="85">
        <v>2</v>
      </c>
      <c r="B156" s="98"/>
    </row>
    <row r="157" spans="1:2" ht="34.5" customHeight="1" thickBot="1">
      <c r="A157" s="85">
        <v>15</v>
      </c>
      <c r="B157" s="498" t="s">
        <v>526</v>
      </c>
    </row>
    <row r="158" spans="1:2" ht="91.5" customHeight="1" thickBot="1">
      <c r="A158" s="85">
        <v>16</v>
      </c>
      <c r="B158" s="98" t="s">
        <v>490</v>
      </c>
    </row>
    <row r="159" spans="1:2" ht="62.25" customHeight="1">
      <c r="A159" s="103"/>
      <c r="B159" s="485" t="s">
        <v>586</v>
      </c>
    </row>
    <row r="160" spans="1:18" ht="12.75" customHeight="1">
      <c r="A160" s="289"/>
      <c r="B160" s="787" t="s">
        <v>434</v>
      </c>
      <c r="D160" s="1069"/>
      <c r="E160" s="1070"/>
      <c r="F160" s="1070"/>
      <c r="G160" s="1070"/>
      <c r="H160" s="1070"/>
      <c r="I160" s="1070"/>
      <c r="J160" s="1070"/>
      <c r="K160" s="1070"/>
      <c r="L160" s="1070"/>
      <c r="M160" s="1070"/>
      <c r="N160" s="1070"/>
      <c r="O160" s="1070"/>
      <c r="P160" s="97"/>
      <c r="Q160" s="97"/>
      <c r="R160" s="97"/>
    </row>
    <row r="161" spans="1:18" ht="12.75" customHeight="1">
      <c r="A161" s="289"/>
      <c r="B161" s="787" t="s">
        <v>435</v>
      </c>
      <c r="D161" s="746"/>
      <c r="E161" s="747"/>
      <c r="F161" s="747"/>
      <c r="G161" s="747"/>
      <c r="H161" s="747"/>
      <c r="I161" s="747"/>
      <c r="J161" s="747"/>
      <c r="K161" s="747"/>
      <c r="L161" s="747"/>
      <c r="M161" s="747"/>
      <c r="N161" s="747"/>
      <c r="O161" s="747"/>
      <c r="P161" s="97"/>
      <c r="Q161" s="97"/>
      <c r="R161" s="97"/>
    </row>
    <row r="162" spans="1:18" ht="12.75" customHeight="1">
      <c r="A162" s="289"/>
      <c r="B162" s="787" t="s">
        <v>436</v>
      </c>
      <c r="D162" s="746"/>
      <c r="E162" s="747"/>
      <c r="F162" s="747"/>
      <c r="G162" s="747"/>
      <c r="H162" s="747"/>
      <c r="I162" s="747"/>
      <c r="J162" s="747"/>
      <c r="K162" s="747"/>
      <c r="L162" s="747"/>
      <c r="M162" s="747"/>
      <c r="N162" s="747"/>
      <c r="O162" s="747"/>
      <c r="P162" s="97"/>
      <c r="Q162" s="97"/>
      <c r="R162" s="97"/>
    </row>
    <row r="163" spans="1:18" ht="12.75" customHeight="1">
      <c r="A163" s="289"/>
      <c r="B163" s="787" t="s">
        <v>437</v>
      </c>
      <c r="D163" s="746"/>
      <c r="E163" s="747"/>
      <c r="F163" s="747"/>
      <c r="G163" s="747"/>
      <c r="H163" s="747"/>
      <c r="I163" s="747"/>
      <c r="J163" s="747"/>
      <c r="K163" s="747"/>
      <c r="L163" s="747"/>
      <c r="M163" s="747"/>
      <c r="N163" s="747"/>
      <c r="O163" s="747"/>
      <c r="P163" s="97"/>
      <c r="Q163" s="97"/>
      <c r="R163" s="97"/>
    </row>
    <row r="164" spans="1:18" ht="12.75" customHeight="1">
      <c r="A164" s="289"/>
      <c r="B164" s="787" t="s">
        <v>438</v>
      </c>
      <c r="D164" s="746"/>
      <c r="E164" s="747"/>
      <c r="F164" s="747"/>
      <c r="G164" s="747"/>
      <c r="H164" s="747"/>
      <c r="I164" s="747"/>
      <c r="J164" s="747"/>
      <c r="K164" s="747"/>
      <c r="L164" s="747"/>
      <c r="M164" s="747"/>
      <c r="N164" s="747"/>
      <c r="O164" s="747"/>
      <c r="P164" s="97"/>
      <c r="Q164" s="97"/>
      <c r="R164" s="97"/>
    </row>
    <row r="165" spans="1:18" ht="48" customHeight="1">
      <c r="A165" s="289"/>
      <c r="B165" s="501" t="s">
        <v>527</v>
      </c>
      <c r="D165" s="746"/>
      <c r="E165" s="747"/>
      <c r="F165" s="747"/>
      <c r="G165" s="747"/>
      <c r="H165" s="747"/>
      <c r="I165" s="747"/>
      <c r="J165" s="747"/>
      <c r="K165" s="747"/>
      <c r="L165" s="747"/>
      <c r="M165" s="747"/>
      <c r="N165" s="747"/>
      <c r="O165" s="747"/>
      <c r="P165" s="97"/>
      <c r="Q165" s="97"/>
      <c r="R165" s="97"/>
    </row>
    <row r="166" spans="1:18" ht="37.5" customHeight="1">
      <c r="A166" s="289"/>
      <c r="B166" s="501" t="s">
        <v>528</v>
      </c>
      <c r="D166" s="746"/>
      <c r="E166" s="747"/>
      <c r="F166" s="747"/>
      <c r="G166" s="747"/>
      <c r="H166" s="747"/>
      <c r="I166" s="747"/>
      <c r="J166" s="747"/>
      <c r="K166" s="747"/>
      <c r="L166" s="747"/>
      <c r="M166" s="747"/>
      <c r="N166" s="747"/>
      <c r="O166" s="747"/>
      <c r="P166" s="97"/>
      <c r="Q166" s="97"/>
      <c r="R166" s="97"/>
    </row>
    <row r="167" spans="1:18" ht="30.75" customHeight="1">
      <c r="A167" s="289"/>
      <c r="B167" s="501" t="s">
        <v>529</v>
      </c>
      <c r="D167" s="746"/>
      <c r="E167" s="747"/>
      <c r="F167" s="747"/>
      <c r="G167" s="747"/>
      <c r="H167" s="747"/>
      <c r="I167" s="747"/>
      <c r="J167" s="747"/>
      <c r="K167" s="747"/>
      <c r="L167" s="747"/>
      <c r="M167" s="747"/>
      <c r="N167" s="747"/>
      <c r="O167" s="747"/>
      <c r="P167" s="97"/>
      <c r="Q167" s="97"/>
      <c r="R167" s="97"/>
    </row>
    <row r="168" spans="1:18" ht="74.25" customHeight="1">
      <c r="A168" s="289"/>
      <c r="B168" s="788" t="s">
        <v>530</v>
      </c>
      <c r="D168" s="746"/>
      <c r="E168" s="747"/>
      <c r="F168" s="747"/>
      <c r="G168" s="747"/>
      <c r="H168" s="747"/>
      <c r="I168" s="747"/>
      <c r="J168" s="747"/>
      <c r="K168" s="747"/>
      <c r="L168" s="747"/>
      <c r="M168" s="747"/>
      <c r="N168" s="747"/>
      <c r="O168" s="747"/>
      <c r="P168" s="97"/>
      <c r="Q168" s="97"/>
      <c r="R168" s="97"/>
    </row>
    <row r="169" spans="1:18" ht="35.25" customHeight="1">
      <c r="A169" s="289"/>
      <c r="B169" s="501" t="s">
        <v>439</v>
      </c>
      <c r="D169" s="746"/>
      <c r="E169" s="747"/>
      <c r="F169" s="747"/>
      <c r="G169" s="747"/>
      <c r="H169" s="747"/>
      <c r="I169" s="747"/>
      <c r="J169" s="747"/>
      <c r="K169" s="747"/>
      <c r="L169" s="747"/>
      <c r="M169" s="747"/>
      <c r="N169" s="747"/>
      <c r="O169" s="747"/>
      <c r="P169" s="97"/>
      <c r="Q169" s="97"/>
      <c r="R169" s="97"/>
    </row>
    <row r="170" spans="1:18" ht="63.75" customHeight="1" thickBot="1">
      <c r="A170" s="193">
        <v>17</v>
      </c>
      <c r="B170" s="503" t="s">
        <v>531</v>
      </c>
      <c r="D170" s="746"/>
      <c r="E170" s="747"/>
      <c r="F170" s="747"/>
      <c r="G170" s="747"/>
      <c r="H170" s="747"/>
      <c r="I170" s="747"/>
      <c r="J170" s="747"/>
      <c r="K170" s="747"/>
      <c r="L170" s="747"/>
      <c r="M170" s="747"/>
      <c r="N170" s="747"/>
      <c r="O170" s="747"/>
      <c r="P170" s="97"/>
      <c r="Q170" s="97"/>
      <c r="R170" s="97"/>
    </row>
    <row r="171" spans="1:18" ht="20.25" customHeight="1" thickBot="1">
      <c r="A171" s="86"/>
      <c r="B171" s="97"/>
      <c r="C171" s="97"/>
      <c r="D171" s="746"/>
      <c r="E171" s="747"/>
      <c r="F171" s="747"/>
      <c r="G171" s="747"/>
      <c r="H171" s="747"/>
      <c r="I171" s="747"/>
      <c r="J171" s="747"/>
      <c r="K171" s="747"/>
      <c r="L171" s="747"/>
      <c r="M171" s="747"/>
      <c r="N171" s="747"/>
      <c r="O171" s="747"/>
      <c r="P171" s="97"/>
      <c r="Q171" s="97"/>
      <c r="R171" s="97"/>
    </row>
    <row r="172" spans="1:18" ht="20.25" customHeight="1" thickBot="1">
      <c r="A172" s="115"/>
      <c r="B172" s="116" t="s">
        <v>455</v>
      </c>
      <c r="C172" s="97"/>
      <c r="D172" s="746"/>
      <c r="E172" s="750"/>
      <c r="F172" s="750"/>
      <c r="G172" s="750"/>
      <c r="H172" s="750"/>
      <c r="I172" s="750"/>
      <c r="J172" s="750"/>
      <c r="K172" s="750"/>
      <c r="L172" s="750"/>
      <c r="M172" s="750"/>
      <c r="N172" s="750"/>
      <c r="O172" s="750"/>
      <c r="P172" s="97"/>
      <c r="Q172" s="97"/>
      <c r="R172" s="97"/>
    </row>
    <row r="173" spans="1:2" ht="46.5" customHeight="1" thickBot="1">
      <c r="A173" s="85">
        <v>1</v>
      </c>
      <c r="B173" s="486" t="s">
        <v>498</v>
      </c>
    </row>
    <row r="174" spans="1:18" ht="26.25" customHeight="1" thickBot="1">
      <c r="A174" s="86"/>
      <c r="B174" s="3"/>
      <c r="D174" s="97"/>
      <c r="E174" s="97"/>
      <c r="F174" s="97"/>
      <c r="G174" s="97"/>
      <c r="H174" s="97"/>
      <c r="I174" s="97"/>
      <c r="J174" s="97"/>
      <c r="K174" s="97"/>
      <c r="L174" s="97"/>
      <c r="M174" s="97"/>
      <c r="N174" s="97"/>
      <c r="O174" s="97"/>
      <c r="P174" s="97"/>
      <c r="Q174" s="97"/>
      <c r="R174" s="97"/>
    </row>
    <row r="175" spans="1:18" ht="24" customHeight="1" thickBot="1">
      <c r="A175" s="115"/>
      <c r="B175" s="117" t="s">
        <v>456</v>
      </c>
      <c r="D175" s="97"/>
      <c r="E175" s="97"/>
      <c r="F175" s="97"/>
      <c r="G175" s="97"/>
      <c r="H175" s="97"/>
      <c r="I175" s="97"/>
      <c r="J175" s="97"/>
      <c r="K175" s="97"/>
      <c r="L175" s="97"/>
      <c r="M175" s="97"/>
      <c r="N175" s="97"/>
      <c r="O175" s="97"/>
      <c r="P175" s="97"/>
      <c r="Q175" s="97"/>
      <c r="R175" s="97"/>
    </row>
    <row r="176" spans="1:18" ht="34.5" customHeight="1" thickBot="1">
      <c r="A176" s="823">
        <v>1</v>
      </c>
      <c r="B176" s="822" t="s">
        <v>499</v>
      </c>
      <c r="D176" s="97"/>
      <c r="E176" s="97"/>
      <c r="F176" s="97"/>
      <c r="G176" s="97"/>
      <c r="H176" s="97"/>
      <c r="I176" s="97"/>
      <c r="J176" s="97"/>
      <c r="K176" s="97"/>
      <c r="L176" s="97"/>
      <c r="M176" s="97"/>
      <c r="N176" s="97"/>
      <c r="O176" s="97"/>
      <c r="P176" s="97"/>
      <c r="Q176" s="97"/>
      <c r="R176" s="97"/>
    </row>
    <row r="177" spans="1:18" ht="21" customHeight="1" thickBot="1">
      <c r="A177" s="824" t="s">
        <v>447</v>
      </c>
      <c r="B177" s="822" t="s">
        <v>500</v>
      </c>
      <c r="D177" s="97"/>
      <c r="E177" s="97"/>
      <c r="F177" s="97"/>
      <c r="G177" s="97"/>
      <c r="H177" s="97"/>
      <c r="I177" s="97"/>
      <c r="J177" s="97"/>
      <c r="K177" s="97"/>
      <c r="L177" s="97"/>
      <c r="M177" s="97"/>
      <c r="N177" s="97"/>
      <c r="O177" s="97"/>
      <c r="P177" s="97"/>
      <c r="Q177" s="97"/>
      <c r="R177" s="97"/>
    </row>
    <row r="178" spans="1:2" ht="21.75" customHeight="1" thickBot="1">
      <c r="A178" s="823">
        <v>3</v>
      </c>
      <c r="B178" s="822" t="s">
        <v>448</v>
      </c>
    </row>
    <row r="179" spans="1:2" s="97" customFormat="1" ht="24" customHeight="1" thickBot="1">
      <c r="A179" s="823">
        <v>4</v>
      </c>
      <c r="B179" s="822" t="s">
        <v>487</v>
      </c>
    </row>
    <row r="180" spans="1:2" ht="61.5" customHeight="1" thickBot="1">
      <c r="A180" s="823">
        <v>5</v>
      </c>
      <c r="B180" s="822" t="s">
        <v>501</v>
      </c>
    </row>
    <row r="181" ht="14.25">
      <c r="B181" s="1"/>
    </row>
    <row r="182" ht="15" thickBot="1">
      <c r="B182" s="1"/>
    </row>
    <row r="183" spans="1:18" ht="24" customHeight="1" thickBot="1">
      <c r="A183" s="115"/>
      <c r="B183" s="116" t="s">
        <v>457</v>
      </c>
      <c r="D183" s="97"/>
      <c r="E183" s="97"/>
      <c r="F183" s="97"/>
      <c r="G183" s="97"/>
      <c r="H183" s="97"/>
      <c r="I183" s="97"/>
      <c r="J183" s="97"/>
      <c r="K183" s="97"/>
      <c r="L183" s="97"/>
      <c r="M183" s="97"/>
      <c r="N183" s="97"/>
      <c r="O183" s="97"/>
      <c r="P183" s="97"/>
      <c r="Q183" s="97"/>
      <c r="R183" s="97"/>
    </row>
    <row r="184" spans="1:18" ht="45" thickBot="1">
      <c r="A184" s="85">
        <v>1</v>
      </c>
      <c r="B184" s="98" t="s">
        <v>577</v>
      </c>
      <c r="D184" s="97"/>
      <c r="E184" s="97"/>
      <c r="F184" s="97"/>
      <c r="G184" s="97"/>
      <c r="H184" s="97"/>
      <c r="I184" s="97"/>
      <c r="J184" s="97"/>
      <c r="K184" s="97"/>
      <c r="L184" s="97"/>
      <c r="M184" s="97"/>
      <c r="N184" s="97"/>
      <c r="O184" s="97"/>
      <c r="P184" s="97"/>
      <c r="Q184" s="97"/>
      <c r="R184" s="97"/>
    </row>
    <row r="185" ht="14.25">
      <c r="B185" s="1"/>
    </row>
    <row r="186" ht="15" thickBot="1">
      <c r="B186" s="1"/>
    </row>
    <row r="187" spans="1:2" ht="24" customHeight="1" thickBot="1">
      <c r="A187" s="115"/>
      <c r="B187" s="116" t="s">
        <v>532</v>
      </c>
    </row>
    <row r="188" spans="1:2" ht="18" customHeight="1" thickBot="1">
      <c r="A188" s="85">
        <v>1</v>
      </c>
      <c r="B188" s="98" t="s">
        <v>554</v>
      </c>
    </row>
    <row r="189" ht="14.25">
      <c r="B189" s="1"/>
    </row>
    <row r="190" ht="14.25">
      <c r="B190" s="1"/>
    </row>
    <row r="191" ht="14.25">
      <c r="B191" s="1"/>
    </row>
    <row r="192" ht="14.25">
      <c r="B192" s="1"/>
    </row>
    <row r="193" ht="14.25">
      <c r="B193" s="1"/>
    </row>
    <row r="194" ht="14.25">
      <c r="B194" s="1"/>
    </row>
    <row r="195" ht="14.25">
      <c r="B195" s="1"/>
    </row>
    <row r="196" ht="14.25">
      <c r="B196" s="1"/>
    </row>
    <row r="197" ht="14.25">
      <c r="B197" s="1"/>
    </row>
    <row r="198" ht="14.25">
      <c r="B198" s="1"/>
    </row>
    <row r="199" ht="14.25">
      <c r="B199" s="1"/>
    </row>
    <row r="200" ht="14.25">
      <c r="B200" s="1"/>
    </row>
    <row r="201" ht="14.25">
      <c r="B201" s="1"/>
    </row>
    <row r="202" ht="14.25">
      <c r="B202" s="1"/>
    </row>
    <row r="203" ht="14.25">
      <c r="B203" s="1"/>
    </row>
    <row r="204" ht="14.25">
      <c r="B204" s="1"/>
    </row>
    <row r="205" ht="14.25">
      <c r="B205" s="1"/>
    </row>
    <row r="206" ht="14.25">
      <c r="B206" s="1"/>
    </row>
    <row r="207" ht="14.25">
      <c r="B207" s="1"/>
    </row>
    <row r="208" ht="14.25">
      <c r="B208" s="1"/>
    </row>
    <row r="209" ht="14.25">
      <c r="B209" s="1"/>
    </row>
    <row r="210" ht="14.25">
      <c r="B210" s="1"/>
    </row>
    <row r="211" ht="14.25">
      <c r="B211" s="1"/>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sheetData>
  <sheetProtection password="C9A0" sheet="1" formatRows="0"/>
  <mergeCells count="2">
    <mergeCell ref="D160:O160"/>
    <mergeCell ref="A19:A28"/>
  </mergeCells>
  <printOptions/>
  <pageMargins left="0.7" right="0.7" top="0.75" bottom="0.75" header="0.3" footer="0.3"/>
  <pageSetup horizontalDpi="600" verticalDpi="600" orientation="portrait" paperSize="5" scale="70"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90" customWidth="1"/>
  </cols>
  <sheetData>
    <row r="1" spans="1:2" ht="12.75">
      <c r="A1" t="s">
        <v>363</v>
      </c>
      <c r="B1" s="490">
        <v>0.84</v>
      </c>
    </row>
    <row r="2" spans="1:2" ht="12.75">
      <c r="A2" t="s">
        <v>364</v>
      </c>
      <c r="B2" s="490">
        <v>0.94</v>
      </c>
    </row>
    <row r="3" spans="1:2" ht="12.75">
      <c r="A3" t="s">
        <v>365</v>
      </c>
      <c r="B3" s="490">
        <v>0.89</v>
      </c>
    </row>
    <row r="4" spans="1:2" ht="12.75">
      <c r="A4" t="s">
        <v>366</v>
      </c>
      <c r="B4" s="490">
        <v>0.93</v>
      </c>
    </row>
    <row r="5" spans="1:2" ht="12.75">
      <c r="A5" t="s">
        <v>367</v>
      </c>
      <c r="B5" s="490">
        <v>0.88</v>
      </c>
    </row>
    <row r="6" spans="1:2" ht="12.75">
      <c r="A6" t="s">
        <v>368</v>
      </c>
      <c r="B6" s="490">
        <v>0.92</v>
      </c>
    </row>
    <row r="7" spans="1:2" ht="12.75">
      <c r="A7" t="s">
        <v>369</v>
      </c>
      <c r="B7" s="490">
        <v>0.93</v>
      </c>
    </row>
    <row r="8" spans="1:2" ht="12.75">
      <c r="A8" t="s">
        <v>370</v>
      </c>
      <c r="B8" s="490">
        <v>0.91</v>
      </c>
    </row>
    <row r="9" spans="1:2" ht="12.75">
      <c r="A9" t="s">
        <v>371</v>
      </c>
      <c r="B9" s="490">
        <v>0.72</v>
      </c>
    </row>
    <row r="10" spans="1:2" ht="12.75">
      <c r="A10" t="s">
        <v>372</v>
      </c>
      <c r="B10" s="490">
        <v>0.86</v>
      </c>
    </row>
    <row r="11" spans="1:2" ht="12.75">
      <c r="A11" t="s">
        <v>373</v>
      </c>
      <c r="B11" s="490">
        <v>0.54</v>
      </c>
    </row>
    <row r="12" spans="1:2" ht="12.75">
      <c r="A12" t="s">
        <v>374</v>
      </c>
      <c r="B12" s="490">
        <v>0.44</v>
      </c>
    </row>
    <row r="13" spans="1:2" ht="12.75">
      <c r="A13" t="s">
        <v>375</v>
      </c>
      <c r="B13" s="490">
        <v>0.78</v>
      </c>
    </row>
    <row r="14" spans="1:2" ht="12.75">
      <c r="A14" t="s">
        <v>376</v>
      </c>
      <c r="B14" s="490">
        <v>0.72</v>
      </c>
    </row>
    <row r="15" spans="1:2" ht="12.75">
      <c r="A15" t="s">
        <v>377</v>
      </c>
      <c r="B15" s="490">
        <v>0.93</v>
      </c>
    </row>
    <row r="16" spans="1:2" ht="12.75">
      <c r="A16" t="s">
        <v>378</v>
      </c>
      <c r="B16" s="490">
        <v>0.94</v>
      </c>
    </row>
    <row r="17" spans="1:2" ht="12.75">
      <c r="A17" t="s">
        <v>379</v>
      </c>
      <c r="B17" s="490">
        <v>0.66</v>
      </c>
    </row>
    <row r="18" spans="1:2" ht="12.75">
      <c r="A18" t="s">
        <v>380</v>
      </c>
      <c r="B18" s="490">
        <v>0.44</v>
      </c>
    </row>
    <row r="19" spans="1:2" ht="12.75">
      <c r="A19" s="491" t="s">
        <v>381</v>
      </c>
      <c r="B19" s="490">
        <v>0.83</v>
      </c>
    </row>
  </sheetData>
  <sheetProtection password="C9A0" sheet="1"/>
  <printOptions/>
  <pageMargins left="0.7" right="0.7" top="0.75" bottom="0.7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O91"/>
  <sheetViews>
    <sheetView zoomScalePageLayoutView="0" workbookViewId="0" topLeftCell="A52">
      <selection activeCell="F76" sqref="F76"/>
    </sheetView>
  </sheetViews>
  <sheetFormatPr defaultColWidth="9.140625" defaultRowHeight="12.75"/>
  <cols>
    <col min="1" max="1" width="23.140625" style="0" customWidth="1"/>
    <col min="2" max="2" width="9.28125" style="0" bestFit="1" customWidth="1"/>
    <col min="3" max="12" width="9.57421875" style="0" bestFit="1" customWidth="1"/>
  </cols>
  <sheetData>
    <row r="2" ht="12.75">
      <c r="A2" s="1020" t="s">
        <v>84</v>
      </c>
    </row>
    <row r="3" spans="1:15" ht="12.75">
      <c r="A3" s="1021" t="s">
        <v>622</v>
      </c>
      <c r="B3" s="994">
        <v>2014</v>
      </c>
      <c r="C3" s="994">
        <v>2015</v>
      </c>
      <c r="D3" s="994">
        <v>2016</v>
      </c>
      <c r="E3" s="994">
        <v>2017</v>
      </c>
      <c r="F3" s="994">
        <v>2018</v>
      </c>
      <c r="G3" s="994">
        <v>2019</v>
      </c>
      <c r="H3" s="994">
        <v>2020</v>
      </c>
      <c r="I3" s="994">
        <v>2021</v>
      </c>
      <c r="J3" s="994">
        <v>2022</v>
      </c>
      <c r="K3" s="994">
        <v>2023</v>
      </c>
      <c r="L3" s="994">
        <v>2024</v>
      </c>
      <c r="N3" s="1065">
        <v>0.02</v>
      </c>
      <c r="O3" s="1014" t="s">
        <v>628</v>
      </c>
    </row>
    <row r="4" spans="1:15" ht="12.75">
      <c r="A4" s="1014" t="s">
        <v>699</v>
      </c>
      <c r="B4" s="1023">
        <v>0.5</v>
      </c>
      <c r="C4" s="1023">
        <v>1</v>
      </c>
      <c r="D4" s="1023">
        <f>C4</f>
        <v>1</v>
      </c>
      <c r="E4" s="1023">
        <f aca="true" t="shared" si="0" ref="E4:L4">D4</f>
        <v>1</v>
      </c>
      <c r="F4" s="1023">
        <f t="shared" si="0"/>
        <v>1</v>
      </c>
      <c r="G4" s="1023">
        <f t="shared" si="0"/>
        <v>1</v>
      </c>
      <c r="H4" s="1023">
        <f t="shared" si="0"/>
        <v>1</v>
      </c>
      <c r="I4" s="1023">
        <f t="shared" si="0"/>
        <v>1</v>
      </c>
      <c r="J4" s="1023">
        <f t="shared" si="0"/>
        <v>1</v>
      </c>
      <c r="K4" s="1023">
        <f t="shared" si="0"/>
        <v>1</v>
      </c>
      <c r="L4" s="1023">
        <f t="shared" si="0"/>
        <v>1</v>
      </c>
      <c r="N4" s="1065">
        <f>Calculations!B42</f>
        <v>0.23004583244579568</v>
      </c>
      <c r="O4" s="1014" t="s">
        <v>629</v>
      </c>
    </row>
    <row r="5" spans="1:12" ht="12.75">
      <c r="A5" s="1014" t="s">
        <v>623</v>
      </c>
      <c r="B5" s="1023">
        <v>0</v>
      </c>
      <c r="C5" s="1023">
        <v>1</v>
      </c>
      <c r="D5" s="1023">
        <v>1</v>
      </c>
      <c r="E5" s="1023">
        <f aca="true" t="shared" si="1" ref="E5:L5">D5</f>
        <v>1</v>
      </c>
      <c r="F5" s="1023">
        <f t="shared" si="1"/>
        <v>1</v>
      </c>
      <c r="G5" s="1023">
        <f t="shared" si="1"/>
        <v>1</v>
      </c>
      <c r="H5" s="1023">
        <f t="shared" si="1"/>
        <v>1</v>
      </c>
      <c r="I5" s="1023">
        <f t="shared" si="1"/>
        <v>1</v>
      </c>
      <c r="J5" s="1023">
        <f t="shared" si="1"/>
        <v>1</v>
      </c>
      <c r="K5" s="1023">
        <f t="shared" si="1"/>
        <v>1</v>
      </c>
      <c r="L5" s="1023">
        <f t="shared" si="1"/>
        <v>1</v>
      </c>
    </row>
    <row r="6" spans="1:12" ht="12.75">
      <c r="A6" s="1014" t="s">
        <v>698</v>
      </c>
      <c r="B6" s="1023">
        <v>0.5</v>
      </c>
      <c r="C6" s="1023">
        <v>1</v>
      </c>
      <c r="D6" s="1023">
        <f aca="true" t="shared" si="2" ref="D6:L6">C6</f>
        <v>1</v>
      </c>
      <c r="E6" s="1023">
        <f t="shared" si="2"/>
        <v>1</v>
      </c>
      <c r="F6" s="1023">
        <f t="shared" si="2"/>
        <v>1</v>
      </c>
      <c r="G6" s="1023">
        <f t="shared" si="2"/>
        <v>1</v>
      </c>
      <c r="H6" s="1023">
        <f t="shared" si="2"/>
        <v>1</v>
      </c>
      <c r="I6" s="1023">
        <f t="shared" si="2"/>
        <v>1</v>
      </c>
      <c r="J6" s="1023">
        <f t="shared" si="2"/>
        <v>1</v>
      </c>
      <c r="K6" s="1023">
        <f t="shared" si="2"/>
        <v>1</v>
      </c>
      <c r="L6" s="1023">
        <f t="shared" si="2"/>
        <v>1</v>
      </c>
    </row>
    <row r="7" spans="1:12" ht="12.75">
      <c r="A7" s="1014" t="s">
        <v>701</v>
      </c>
      <c r="B7" s="1023"/>
      <c r="C7" s="1023"/>
      <c r="D7" s="1023"/>
      <c r="E7" s="1023">
        <v>1</v>
      </c>
      <c r="F7" s="1023">
        <f aca="true" t="shared" si="3" ref="F7:L7">E7</f>
        <v>1</v>
      </c>
      <c r="G7" s="1023">
        <f t="shared" si="3"/>
        <v>1</v>
      </c>
      <c r="H7" s="1023">
        <f t="shared" si="3"/>
        <v>1</v>
      </c>
      <c r="I7" s="1023">
        <f t="shared" si="3"/>
        <v>1</v>
      </c>
      <c r="J7" s="1023">
        <f t="shared" si="3"/>
        <v>1</v>
      </c>
      <c r="K7" s="1023">
        <f t="shared" si="3"/>
        <v>1</v>
      </c>
      <c r="L7" s="1023">
        <f t="shared" si="3"/>
        <v>1</v>
      </c>
    </row>
    <row r="8" spans="1:12" ht="12.75">
      <c r="A8" s="1014" t="s">
        <v>624</v>
      </c>
      <c r="B8" s="1023"/>
      <c r="C8" s="1023"/>
      <c r="D8" s="1023">
        <v>1</v>
      </c>
      <c r="E8" s="1023">
        <f aca="true" t="shared" si="4" ref="E8:L8">D8</f>
        <v>1</v>
      </c>
      <c r="F8" s="1023">
        <f t="shared" si="4"/>
        <v>1</v>
      </c>
      <c r="G8" s="1023">
        <f t="shared" si="4"/>
        <v>1</v>
      </c>
      <c r="H8" s="1023">
        <f t="shared" si="4"/>
        <v>1</v>
      </c>
      <c r="I8" s="1023">
        <f t="shared" si="4"/>
        <v>1</v>
      </c>
      <c r="J8" s="1023">
        <f t="shared" si="4"/>
        <v>1</v>
      </c>
      <c r="K8" s="1023">
        <f t="shared" si="4"/>
        <v>1</v>
      </c>
      <c r="L8" s="1023">
        <f t="shared" si="4"/>
        <v>1</v>
      </c>
    </row>
    <row r="9" spans="1:13" ht="12.75">
      <c r="A9" s="1014" t="s">
        <v>700</v>
      </c>
      <c r="B9" s="1023"/>
      <c r="C9" s="1023">
        <v>1</v>
      </c>
      <c r="D9" s="1023">
        <f aca="true" t="shared" si="5" ref="D9:L9">C9</f>
        <v>1</v>
      </c>
      <c r="E9" s="1023">
        <f t="shared" si="5"/>
        <v>1</v>
      </c>
      <c r="F9" s="1023">
        <f t="shared" si="5"/>
        <v>1</v>
      </c>
      <c r="G9" s="1023">
        <f t="shared" si="5"/>
        <v>1</v>
      </c>
      <c r="H9" s="1023">
        <f t="shared" si="5"/>
        <v>1</v>
      </c>
      <c r="I9" s="1023">
        <f t="shared" si="5"/>
        <v>1</v>
      </c>
      <c r="J9" s="1023">
        <f t="shared" si="5"/>
        <v>1</v>
      </c>
      <c r="K9" s="1023">
        <f t="shared" si="5"/>
        <v>1</v>
      </c>
      <c r="L9" s="1023">
        <f t="shared" si="5"/>
        <v>1</v>
      </c>
      <c r="M9" s="1023"/>
    </row>
    <row r="10" spans="1:13" ht="12.75">
      <c r="A10" s="1014" t="s">
        <v>625</v>
      </c>
      <c r="B10" s="1023"/>
      <c r="C10" s="1023"/>
      <c r="D10" s="1023">
        <v>1</v>
      </c>
      <c r="E10" s="1023">
        <f aca="true" t="shared" si="6" ref="E10:L10">D10</f>
        <v>1</v>
      </c>
      <c r="F10" s="1023">
        <f t="shared" si="6"/>
        <v>1</v>
      </c>
      <c r="G10" s="1023">
        <f t="shared" si="6"/>
        <v>1</v>
      </c>
      <c r="H10" s="1023">
        <f t="shared" si="6"/>
        <v>1</v>
      </c>
      <c r="I10" s="1023">
        <f t="shared" si="6"/>
        <v>1</v>
      </c>
      <c r="J10" s="1023">
        <f t="shared" si="6"/>
        <v>1</v>
      </c>
      <c r="K10" s="1023">
        <f t="shared" si="6"/>
        <v>1</v>
      </c>
      <c r="L10" s="1023">
        <f t="shared" si="6"/>
        <v>1</v>
      </c>
      <c r="M10" s="1023"/>
    </row>
    <row r="11" spans="1:13" ht="12.75">
      <c r="A11" s="1014" t="s">
        <v>626</v>
      </c>
      <c r="B11" s="1023"/>
      <c r="C11" s="1023"/>
      <c r="D11" s="1023"/>
      <c r="E11" s="1023">
        <v>1</v>
      </c>
      <c r="F11" s="1023">
        <f aca="true" t="shared" si="7" ref="F11:L11">E11</f>
        <v>1</v>
      </c>
      <c r="G11" s="1023">
        <f t="shared" si="7"/>
        <v>1</v>
      </c>
      <c r="H11" s="1023">
        <f t="shared" si="7"/>
        <v>1</v>
      </c>
      <c r="I11" s="1023">
        <f t="shared" si="7"/>
        <v>1</v>
      </c>
      <c r="J11" s="1023">
        <f t="shared" si="7"/>
        <v>1</v>
      </c>
      <c r="K11" s="1023">
        <f t="shared" si="7"/>
        <v>1</v>
      </c>
      <c r="L11" s="1023">
        <f t="shared" si="7"/>
        <v>1</v>
      </c>
      <c r="M11" s="1023"/>
    </row>
    <row r="12" spans="1:13" s="1027" customFormat="1" ht="12.75">
      <c r="A12" s="1026" t="s">
        <v>621</v>
      </c>
      <c r="B12" s="1029">
        <f>SUM(B4:B11)</f>
        <v>1</v>
      </c>
      <c r="C12" s="1029">
        <f aca="true" t="shared" si="8" ref="C12:L12">SUM(C4:C11)</f>
        <v>4</v>
      </c>
      <c r="D12" s="1029">
        <f t="shared" si="8"/>
        <v>6</v>
      </c>
      <c r="E12" s="1029">
        <f t="shared" si="8"/>
        <v>8</v>
      </c>
      <c r="F12" s="1029">
        <f t="shared" si="8"/>
        <v>8</v>
      </c>
      <c r="G12" s="1029">
        <f t="shared" si="8"/>
        <v>8</v>
      </c>
      <c r="H12" s="1029">
        <f t="shared" si="8"/>
        <v>8</v>
      </c>
      <c r="I12" s="1029">
        <f t="shared" si="8"/>
        <v>8</v>
      </c>
      <c r="J12" s="1029">
        <f t="shared" si="8"/>
        <v>8</v>
      </c>
      <c r="K12" s="1029">
        <f t="shared" si="8"/>
        <v>8</v>
      </c>
      <c r="L12" s="1029">
        <f t="shared" si="8"/>
        <v>8</v>
      </c>
      <c r="M12" s="1029"/>
    </row>
    <row r="13" spans="2:13" ht="12.75">
      <c r="B13" s="1023"/>
      <c r="C13" s="1023"/>
      <c r="D13" s="1023"/>
      <c r="E13" s="1023"/>
      <c r="F13" s="1023"/>
      <c r="G13" s="1023"/>
      <c r="H13" s="1023"/>
      <c r="I13" s="1023"/>
      <c r="J13" s="1023"/>
      <c r="K13" s="1023"/>
      <c r="L13" s="1023"/>
      <c r="M13" s="1023"/>
    </row>
    <row r="14" ht="12.75">
      <c r="A14" s="1021" t="s">
        <v>14</v>
      </c>
    </row>
    <row r="15" spans="1:12" ht="12.75">
      <c r="A15" s="1014" t="str">
        <f aca="true" t="shared" si="9" ref="A15:A23">A4</f>
        <v>Executive Director</v>
      </c>
      <c r="B15" s="1024">
        <f>C15/2</f>
        <v>50000</v>
      </c>
      <c r="C15" s="1024">
        <v>100000</v>
      </c>
      <c r="D15" s="1024">
        <f>C15*(1+$N$3)</f>
        <v>102000</v>
      </c>
      <c r="E15" s="1024">
        <f aca="true" t="shared" si="10" ref="E15:L15">D15*(1+$N$3)</f>
        <v>104040</v>
      </c>
      <c r="F15" s="1024">
        <f t="shared" si="10"/>
        <v>106120.8</v>
      </c>
      <c r="G15" s="1024">
        <f t="shared" si="10"/>
        <v>108243.216</v>
      </c>
      <c r="H15" s="1024">
        <f t="shared" si="10"/>
        <v>110408.08032000001</v>
      </c>
      <c r="I15" s="1024">
        <f t="shared" si="10"/>
        <v>112616.2419264</v>
      </c>
      <c r="J15" s="1024">
        <f t="shared" si="10"/>
        <v>114868.56676492801</v>
      </c>
      <c r="K15" s="1024">
        <f t="shared" si="10"/>
        <v>117165.93810022657</v>
      </c>
      <c r="L15" s="1024">
        <f t="shared" si="10"/>
        <v>119509.25686223111</v>
      </c>
    </row>
    <row r="16" spans="1:12" ht="12.75">
      <c r="A16" s="1014" t="str">
        <f t="shared" si="9"/>
        <v>CAO</v>
      </c>
      <c r="B16" s="1024"/>
      <c r="C16" s="1024">
        <v>90000</v>
      </c>
      <c r="D16" s="1024">
        <f aca="true" t="shared" si="11" ref="D16:L16">C16*(1+$N$3)</f>
        <v>91800</v>
      </c>
      <c r="E16" s="1024">
        <f t="shared" si="11"/>
        <v>93636</v>
      </c>
      <c r="F16" s="1024">
        <f t="shared" si="11"/>
        <v>95508.72</v>
      </c>
      <c r="G16" s="1024">
        <f t="shared" si="11"/>
        <v>97418.8944</v>
      </c>
      <c r="H16" s="1024">
        <f t="shared" si="11"/>
        <v>99367.27228800001</v>
      </c>
      <c r="I16" s="1024">
        <f t="shared" si="11"/>
        <v>101354.61773376001</v>
      </c>
      <c r="J16" s="1024">
        <f t="shared" si="11"/>
        <v>103381.71008843521</v>
      </c>
      <c r="K16" s="1024">
        <f t="shared" si="11"/>
        <v>105449.34429020392</v>
      </c>
      <c r="L16" s="1024">
        <f t="shared" si="11"/>
        <v>107558.33117600801</v>
      </c>
    </row>
    <row r="17" spans="1:12" ht="12.75">
      <c r="A17" s="1014" t="str">
        <f t="shared" si="9"/>
        <v>DFO</v>
      </c>
      <c r="B17" s="1024">
        <f>C17/2</f>
        <v>45000</v>
      </c>
      <c r="C17" s="1024">
        <v>90000</v>
      </c>
      <c r="D17" s="1024">
        <f aca="true" t="shared" si="12" ref="D17:L17">C17*(1+$N$3)</f>
        <v>91800</v>
      </c>
      <c r="E17" s="1024">
        <f t="shared" si="12"/>
        <v>93636</v>
      </c>
      <c r="F17" s="1024">
        <f t="shared" si="12"/>
        <v>95508.72</v>
      </c>
      <c r="G17" s="1024">
        <f t="shared" si="12"/>
        <v>97418.8944</v>
      </c>
      <c r="H17" s="1024">
        <f t="shared" si="12"/>
        <v>99367.27228800001</v>
      </c>
      <c r="I17" s="1024">
        <f t="shared" si="12"/>
        <v>101354.61773376001</v>
      </c>
      <c r="J17" s="1024">
        <f t="shared" si="12"/>
        <v>103381.71008843521</v>
      </c>
      <c r="K17" s="1024">
        <f t="shared" si="12"/>
        <v>105449.34429020392</v>
      </c>
      <c r="L17" s="1024">
        <f t="shared" si="12"/>
        <v>107558.33117600801</v>
      </c>
    </row>
    <row r="18" spans="1:12" ht="12.75">
      <c r="A18" s="1014" t="str">
        <f t="shared" si="9"/>
        <v>Budget Manager</v>
      </c>
      <c r="B18" s="1024"/>
      <c r="C18" s="1024"/>
      <c r="D18" s="1024"/>
      <c r="E18" s="1024">
        <v>50000</v>
      </c>
      <c r="F18" s="1024">
        <f aca="true" t="shared" si="13" ref="F18:L18">E18*(1+$N$3)</f>
        <v>51000</v>
      </c>
      <c r="G18" s="1024">
        <f t="shared" si="13"/>
        <v>52020</v>
      </c>
      <c r="H18" s="1024">
        <f t="shared" si="13"/>
        <v>53060.4</v>
      </c>
      <c r="I18" s="1024">
        <f t="shared" si="13"/>
        <v>54121.608</v>
      </c>
      <c r="J18" s="1024">
        <f t="shared" si="13"/>
        <v>55204.040160000004</v>
      </c>
      <c r="K18" s="1024">
        <f t="shared" si="13"/>
        <v>56308.1209632</v>
      </c>
      <c r="L18" s="1024">
        <f t="shared" si="13"/>
        <v>57434.283382464004</v>
      </c>
    </row>
    <row r="19" spans="1:12" ht="12.75">
      <c r="A19" s="1014" t="str">
        <f t="shared" si="9"/>
        <v>Accounting Manager</v>
      </c>
      <c r="B19" s="1024"/>
      <c r="C19" s="1024"/>
      <c r="D19" s="1024">
        <v>60000</v>
      </c>
      <c r="E19" s="1024">
        <f aca="true" t="shared" si="14" ref="E19:L19">D19*(1+$N$3)</f>
        <v>61200</v>
      </c>
      <c r="F19" s="1024">
        <f t="shared" si="14"/>
        <v>62424</v>
      </c>
      <c r="G19" s="1024">
        <f t="shared" si="14"/>
        <v>63672.48</v>
      </c>
      <c r="H19" s="1024">
        <f t="shared" si="14"/>
        <v>64945.9296</v>
      </c>
      <c r="I19" s="1024">
        <f t="shared" si="14"/>
        <v>66244.848192</v>
      </c>
      <c r="J19" s="1024">
        <f t="shared" si="14"/>
        <v>67569.74515584</v>
      </c>
      <c r="K19" s="1024">
        <f t="shared" si="14"/>
        <v>68921.14005895681</v>
      </c>
      <c r="L19" s="1024">
        <f t="shared" si="14"/>
        <v>70299.56286013595</v>
      </c>
    </row>
    <row r="20" spans="1:12" ht="12.75">
      <c r="A20" s="1014" t="str">
        <f t="shared" si="9"/>
        <v>Payroll &amp; A/P Clerk</v>
      </c>
      <c r="B20" s="1024"/>
      <c r="C20" s="1024">
        <v>40000</v>
      </c>
      <c r="D20" s="1024">
        <f aca="true" t="shared" si="15" ref="D20:L20">C20*(1+$N$3)</f>
        <v>40800</v>
      </c>
      <c r="E20" s="1024">
        <f t="shared" si="15"/>
        <v>41616</v>
      </c>
      <c r="F20" s="1024">
        <f t="shared" si="15"/>
        <v>42448.32</v>
      </c>
      <c r="G20" s="1024">
        <f t="shared" si="15"/>
        <v>43297.2864</v>
      </c>
      <c r="H20" s="1024">
        <f t="shared" si="15"/>
        <v>44163.232127999996</v>
      </c>
      <c r="I20" s="1024">
        <f t="shared" si="15"/>
        <v>45046.49677056</v>
      </c>
      <c r="J20" s="1024">
        <f t="shared" si="15"/>
        <v>45947.4267059712</v>
      </c>
      <c r="K20" s="1024">
        <f t="shared" si="15"/>
        <v>46866.37524009062</v>
      </c>
      <c r="L20" s="1024">
        <f t="shared" si="15"/>
        <v>47803.702744892435</v>
      </c>
    </row>
    <row r="21" spans="1:12" ht="12.75">
      <c r="A21" s="1014" t="str">
        <f t="shared" si="9"/>
        <v>HR Manager</v>
      </c>
      <c r="B21" s="1024"/>
      <c r="C21" s="1024"/>
      <c r="D21" s="1024">
        <v>50000</v>
      </c>
      <c r="E21" s="1024">
        <f aca="true" t="shared" si="16" ref="E21:L21">D21*(1+$N$3)</f>
        <v>51000</v>
      </c>
      <c r="F21" s="1024">
        <f t="shared" si="16"/>
        <v>52020</v>
      </c>
      <c r="G21" s="1024">
        <f t="shared" si="16"/>
        <v>53060.4</v>
      </c>
      <c r="H21" s="1024">
        <f t="shared" si="16"/>
        <v>54121.608</v>
      </c>
      <c r="I21" s="1024">
        <f t="shared" si="16"/>
        <v>55204.040160000004</v>
      </c>
      <c r="J21" s="1024">
        <f t="shared" si="16"/>
        <v>56308.1209632</v>
      </c>
      <c r="K21" s="1024">
        <f t="shared" si="16"/>
        <v>57434.283382464004</v>
      </c>
      <c r="L21" s="1024">
        <f t="shared" si="16"/>
        <v>58582.969050113286</v>
      </c>
    </row>
    <row r="22" spans="1:12" ht="12.75">
      <c r="A22" s="1014" t="str">
        <f t="shared" si="9"/>
        <v>Ops Manager</v>
      </c>
      <c r="B22" s="1024"/>
      <c r="C22" s="1024"/>
      <c r="D22" s="1024"/>
      <c r="E22" s="1024">
        <v>50000</v>
      </c>
      <c r="F22" s="1024">
        <f aca="true" t="shared" si="17" ref="F22:L22">E22*(1+$N$3)</f>
        <v>51000</v>
      </c>
      <c r="G22" s="1024">
        <f t="shared" si="17"/>
        <v>52020</v>
      </c>
      <c r="H22" s="1024">
        <f t="shared" si="17"/>
        <v>53060.4</v>
      </c>
      <c r="I22" s="1024">
        <f t="shared" si="17"/>
        <v>54121.608</v>
      </c>
      <c r="J22" s="1024">
        <f t="shared" si="17"/>
        <v>55204.040160000004</v>
      </c>
      <c r="K22" s="1024">
        <f t="shared" si="17"/>
        <v>56308.1209632</v>
      </c>
      <c r="L22" s="1024">
        <f t="shared" si="17"/>
        <v>57434.283382464004</v>
      </c>
    </row>
    <row r="23" spans="1:12" s="1027" customFormat="1" ht="12.75">
      <c r="A23" s="1026" t="str">
        <f t="shared" si="9"/>
        <v>Total</v>
      </c>
      <c r="B23" s="1028">
        <f>SUM(B15:B22)</f>
        <v>95000</v>
      </c>
      <c r="C23" s="1028">
        <f aca="true" t="shared" si="18" ref="C23:L23">SUM(C15:C22)</f>
        <v>320000</v>
      </c>
      <c r="D23" s="1028">
        <f t="shared" si="18"/>
        <v>436400</v>
      </c>
      <c r="E23" s="1028">
        <f t="shared" si="18"/>
        <v>545128</v>
      </c>
      <c r="F23" s="1028">
        <f t="shared" si="18"/>
        <v>556030.56</v>
      </c>
      <c r="G23" s="1028">
        <f t="shared" si="18"/>
        <v>567151.1712</v>
      </c>
      <c r="H23" s="1028">
        <f t="shared" si="18"/>
        <v>578494.1946240001</v>
      </c>
      <c r="I23" s="1028">
        <f t="shared" si="18"/>
        <v>590064.07851648</v>
      </c>
      <c r="J23" s="1028">
        <f t="shared" si="18"/>
        <v>601865.3600868096</v>
      </c>
      <c r="K23" s="1028">
        <f t="shared" si="18"/>
        <v>613902.6672885459</v>
      </c>
      <c r="L23" s="1028">
        <f t="shared" si="18"/>
        <v>626180.7206343168</v>
      </c>
    </row>
    <row r="25" ht="12.75">
      <c r="A25" s="1021" t="s">
        <v>627</v>
      </c>
    </row>
    <row r="26" spans="1:12" ht="12.75">
      <c r="A26" s="1014" t="str">
        <f aca="true" t="shared" si="19" ref="A26:A34">A15</f>
        <v>Executive Director</v>
      </c>
      <c r="B26" s="1024">
        <f>B15*(1+$N$4)</f>
        <v>61502.291622289784</v>
      </c>
      <c r="C26" s="1024">
        <f aca="true" t="shared" si="20" ref="C26:L26">C15*(1+$N$4)</f>
        <v>123004.58324457957</v>
      </c>
      <c r="D26" s="1024">
        <f t="shared" si="20"/>
        <v>125464.67490947116</v>
      </c>
      <c r="E26" s="1024">
        <f t="shared" si="20"/>
        <v>127973.96840766058</v>
      </c>
      <c r="F26" s="1024">
        <f t="shared" si="20"/>
        <v>130533.4477758138</v>
      </c>
      <c r="G26" s="1024">
        <f t="shared" si="20"/>
        <v>133144.11673133008</v>
      </c>
      <c r="H26" s="1024">
        <f t="shared" si="20"/>
        <v>135806.99906595668</v>
      </c>
      <c r="I26" s="1024">
        <f t="shared" si="20"/>
        <v>138523.13904727582</v>
      </c>
      <c r="J26" s="1024">
        <f t="shared" si="20"/>
        <v>141293.60182822132</v>
      </c>
      <c r="K26" s="1024">
        <f t="shared" si="20"/>
        <v>144119.47386478577</v>
      </c>
      <c r="L26" s="1024">
        <f t="shared" si="20"/>
        <v>147001.8633420815</v>
      </c>
    </row>
    <row r="27" spans="1:12" ht="12.75">
      <c r="A27" s="1014" t="str">
        <f t="shared" si="19"/>
        <v>CAO</v>
      </c>
      <c r="B27" s="1024">
        <f aca="true" t="shared" si="21" ref="B27:L33">B16*(1+$N$4)</f>
        <v>0</v>
      </c>
      <c r="C27" s="1024">
        <f t="shared" si="21"/>
        <v>110704.12492012161</v>
      </c>
      <c r="D27" s="1024">
        <f t="shared" si="21"/>
        <v>112918.20741852405</v>
      </c>
      <c r="E27" s="1024">
        <f t="shared" si="21"/>
        <v>115176.57156689452</v>
      </c>
      <c r="F27" s="1024">
        <f t="shared" si="21"/>
        <v>117480.10299823241</v>
      </c>
      <c r="G27" s="1024">
        <f t="shared" si="21"/>
        <v>119829.70505819707</v>
      </c>
      <c r="H27" s="1024">
        <f t="shared" si="21"/>
        <v>122226.29915936102</v>
      </c>
      <c r="I27" s="1024">
        <f t="shared" si="21"/>
        <v>124670.82514254823</v>
      </c>
      <c r="J27" s="1024">
        <f t="shared" si="21"/>
        <v>127164.2416453992</v>
      </c>
      <c r="K27" s="1024">
        <f t="shared" si="21"/>
        <v>129707.52647830719</v>
      </c>
      <c r="L27" s="1024">
        <f t="shared" si="21"/>
        <v>132301.67700787334</v>
      </c>
    </row>
    <row r="28" spans="1:12" ht="12.75">
      <c r="A28" s="1014" t="str">
        <f t="shared" si="19"/>
        <v>DFO</v>
      </c>
      <c r="B28" s="1024">
        <f t="shared" si="21"/>
        <v>55352.062460060806</v>
      </c>
      <c r="C28" s="1024">
        <f t="shared" si="21"/>
        <v>110704.12492012161</v>
      </c>
      <c r="D28" s="1024">
        <f t="shared" si="21"/>
        <v>112918.20741852405</v>
      </c>
      <c r="E28" s="1024">
        <f t="shared" si="21"/>
        <v>115176.57156689452</v>
      </c>
      <c r="F28" s="1024">
        <f t="shared" si="21"/>
        <v>117480.10299823241</v>
      </c>
      <c r="G28" s="1024">
        <f t="shared" si="21"/>
        <v>119829.70505819707</v>
      </c>
      <c r="H28" s="1024">
        <f t="shared" si="21"/>
        <v>122226.29915936102</v>
      </c>
      <c r="I28" s="1024">
        <f t="shared" si="21"/>
        <v>124670.82514254823</v>
      </c>
      <c r="J28" s="1024">
        <f t="shared" si="21"/>
        <v>127164.2416453992</v>
      </c>
      <c r="K28" s="1024">
        <f t="shared" si="21"/>
        <v>129707.52647830719</v>
      </c>
      <c r="L28" s="1024">
        <f t="shared" si="21"/>
        <v>132301.67700787334</v>
      </c>
    </row>
    <row r="29" spans="1:12" ht="12.75">
      <c r="A29" s="1014" t="str">
        <f t="shared" si="19"/>
        <v>Budget Manager</v>
      </c>
      <c r="B29" s="1024">
        <f t="shared" si="21"/>
        <v>0</v>
      </c>
      <c r="C29" s="1024">
        <f t="shared" si="21"/>
        <v>0</v>
      </c>
      <c r="D29" s="1024">
        <f t="shared" si="21"/>
        <v>0</v>
      </c>
      <c r="E29" s="1024">
        <f t="shared" si="21"/>
        <v>61502.291622289784</v>
      </c>
      <c r="F29" s="1024">
        <f t="shared" si="21"/>
        <v>62732.33745473558</v>
      </c>
      <c r="G29" s="1024">
        <f t="shared" si="21"/>
        <v>63986.98420383029</v>
      </c>
      <c r="H29" s="1024">
        <f t="shared" si="21"/>
        <v>65266.7238879069</v>
      </c>
      <c r="I29" s="1024">
        <f t="shared" si="21"/>
        <v>66572.05836566504</v>
      </c>
      <c r="J29" s="1024">
        <f t="shared" si="21"/>
        <v>67903.49953297834</v>
      </c>
      <c r="K29" s="1024">
        <f t="shared" si="21"/>
        <v>69261.56952363791</v>
      </c>
      <c r="L29" s="1024">
        <f t="shared" si="21"/>
        <v>70646.80091411066</v>
      </c>
    </row>
    <row r="30" spans="1:12" ht="12.75">
      <c r="A30" s="1014" t="str">
        <f t="shared" si="19"/>
        <v>Accounting Manager</v>
      </c>
      <c r="B30" s="1024">
        <f t="shared" si="21"/>
        <v>0</v>
      </c>
      <c r="C30" s="1024">
        <f t="shared" si="21"/>
        <v>0</v>
      </c>
      <c r="D30" s="1024">
        <f t="shared" si="21"/>
        <v>73802.74994674775</v>
      </c>
      <c r="E30" s="1024">
        <f t="shared" si="21"/>
        <v>75278.8049456827</v>
      </c>
      <c r="F30" s="1024">
        <f t="shared" si="21"/>
        <v>76784.38104459635</v>
      </c>
      <c r="G30" s="1024">
        <f t="shared" si="21"/>
        <v>78320.06866548827</v>
      </c>
      <c r="H30" s="1024">
        <f t="shared" si="21"/>
        <v>79886.47003879804</v>
      </c>
      <c r="I30" s="1024">
        <f t="shared" si="21"/>
        <v>81484.199439574</v>
      </c>
      <c r="J30" s="1024">
        <f t="shared" si="21"/>
        <v>83113.88342836549</v>
      </c>
      <c r="K30" s="1024">
        <f t="shared" si="21"/>
        <v>84776.1610969328</v>
      </c>
      <c r="L30" s="1024">
        <f t="shared" si="21"/>
        <v>86471.68431887147</v>
      </c>
    </row>
    <row r="31" spans="1:12" ht="12.75">
      <c r="A31" s="1014" t="str">
        <f t="shared" si="19"/>
        <v>Payroll &amp; A/P Clerk</v>
      </c>
      <c r="B31" s="1024">
        <f t="shared" si="21"/>
        <v>0</v>
      </c>
      <c r="C31" s="1024">
        <f t="shared" si="21"/>
        <v>49201.83329783183</v>
      </c>
      <c r="D31" s="1024">
        <f t="shared" si="21"/>
        <v>50185.869963788464</v>
      </c>
      <c r="E31" s="1024">
        <f t="shared" si="21"/>
        <v>51189.58736306423</v>
      </c>
      <c r="F31" s="1024">
        <f t="shared" si="21"/>
        <v>52213.37911032552</v>
      </c>
      <c r="G31" s="1024">
        <f t="shared" si="21"/>
        <v>53257.64669253203</v>
      </c>
      <c r="H31" s="1024">
        <f t="shared" si="21"/>
        <v>54322.799626382664</v>
      </c>
      <c r="I31" s="1024">
        <f t="shared" si="21"/>
        <v>55409.25561891032</v>
      </c>
      <c r="J31" s="1024">
        <f t="shared" si="21"/>
        <v>56517.44073128853</v>
      </c>
      <c r="K31" s="1024">
        <f t="shared" si="21"/>
        <v>57647.7895459143</v>
      </c>
      <c r="L31" s="1024">
        <f t="shared" si="21"/>
        <v>58800.74533683258</v>
      </c>
    </row>
    <row r="32" spans="1:12" ht="12.75">
      <c r="A32" s="1014" t="str">
        <f t="shared" si="19"/>
        <v>HR Manager</v>
      </c>
      <c r="B32" s="1024">
        <f t="shared" si="21"/>
        <v>0</v>
      </c>
      <c r="C32" s="1024">
        <f t="shared" si="21"/>
        <v>0</v>
      </c>
      <c r="D32" s="1024">
        <f t="shared" si="21"/>
        <v>61502.291622289784</v>
      </c>
      <c r="E32" s="1024">
        <f t="shared" si="21"/>
        <v>62732.33745473558</v>
      </c>
      <c r="F32" s="1024">
        <f t="shared" si="21"/>
        <v>63986.98420383029</v>
      </c>
      <c r="G32" s="1024">
        <f t="shared" si="21"/>
        <v>65266.7238879069</v>
      </c>
      <c r="H32" s="1024">
        <f t="shared" si="21"/>
        <v>66572.05836566504</v>
      </c>
      <c r="I32" s="1024">
        <f t="shared" si="21"/>
        <v>67903.49953297834</v>
      </c>
      <c r="J32" s="1024">
        <f t="shared" si="21"/>
        <v>69261.56952363791</v>
      </c>
      <c r="K32" s="1024">
        <f t="shared" si="21"/>
        <v>70646.80091411066</v>
      </c>
      <c r="L32" s="1024">
        <f t="shared" si="21"/>
        <v>72059.73693239289</v>
      </c>
    </row>
    <row r="33" spans="1:12" ht="12.75">
      <c r="A33" s="1014" t="str">
        <f t="shared" si="19"/>
        <v>Ops Manager</v>
      </c>
      <c r="B33" s="1024">
        <f t="shared" si="21"/>
        <v>0</v>
      </c>
      <c r="C33" s="1024">
        <f t="shared" si="21"/>
        <v>0</v>
      </c>
      <c r="D33" s="1024">
        <f t="shared" si="21"/>
        <v>0</v>
      </c>
      <c r="E33" s="1024">
        <f t="shared" si="21"/>
        <v>61502.291622289784</v>
      </c>
      <c r="F33" s="1024">
        <f t="shared" si="21"/>
        <v>62732.33745473558</v>
      </c>
      <c r="G33" s="1024">
        <f t="shared" si="21"/>
        <v>63986.98420383029</v>
      </c>
      <c r="H33" s="1024">
        <f t="shared" si="21"/>
        <v>65266.7238879069</v>
      </c>
      <c r="I33" s="1024">
        <f t="shared" si="21"/>
        <v>66572.05836566504</v>
      </c>
      <c r="J33" s="1024">
        <f t="shared" si="21"/>
        <v>67903.49953297834</v>
      </c>
      <c r="K33" s="1024">
        <f t="shared" si="21"/>
        <v>69261.56952363791</v>
      </c>
      <c r="L33" s="1024">
        <f t="shared" si="21"/>
        <v>70646.80091411066</v>
      </c>
    </row>
    <row r="34" spans="1:12" s="1027" customFormat="1" ht="12.75">
      <c r="A34" s="1026" t="str">
        <f t="shared" si="19"/>
        <v>Total</v>
      </c>
      <c r="B34" s="1028">
        <f>SUM(B26:B33)</f>
        <v>116854.35408235059</v>
      </c>
      <c r="C34" s="1028">
        <f aca="true" t="shared" si="22" ref="C34:L34">SUM(C26:C33)</f>
        <v>393614.6663826546</v>
      </c>
      <c r="D34" s="1028">
        <f t="shared" si="22"/>
        <v>536792.0012793452</v>
      </c>
      <c r="E34" s="1028">
        <f t="shared" si="22"/>
        <v>670532.4245495118</v>
      </c>
      <c r="F34" s="1028">
        <f t="shared" si="22"/>
        <v>683943.0730405018</v>
      </c>
      <c r="G34" s="1028">
        <f t="shared" si="22"/>
        <v>697621.934501312</v>
      </c>
      <c r="H34" s="1028">
        <f t="shared" si="22"/>
        <v>711574.3731913381</v>
      </c>
      <c r="I34" s="1028">
        <f t="shared" si="22"/>
        <v>725805.8606551649</v>
      </c>
      <c r="J34" s="1028">
        <f t="shared" si="22"/>
        <v>740321.9778682683</v>
      </c>
      <c r="K34" s="1028">
        <f t="shared" si="22"/>
        <v>755128.4174256336</v>
      </c>
      <c r="L34" s="1028">
        <f t="shared" si="22"/>
        <v>770230.9857741465</v>
      </c>
    </row>
    <row r="35" spans="1:12" s="1027" customFormat="1" ht="12.75">
      <c r="A35" s="1026"/>
      <c r="B35" s="1028"/>
      <c r="C35" s="1028"/>
      <c r="D35" s="1028"/>
      <c r="E35" s="1028"/>
      <c r="F35" s="1028"/>
      <c r="G35" s="1028"/>
      <c r="H35" s="1028"/>
      <c r="I35" s="1028"/>
      <c r="J35" s="1028"/>
      <c r="K35" s="1028"/>
      <c r="L35" s="1028"/>
    </row>
    <row r="36" spans="1:13" s="1027" customFormat="1" ht="12.75">
      <c r="A36" s="1026" t="s">
        <v>716</v>
      </c>
      <c r="B36" s="1028"/>
      <c r="C36" s="1028">
        <f>(1/3)*(C26+C28)</f>
        <v>77902.90272156705</v>
      </c>
      <c r="D36" s="1028">
        <f>(1/3)*(D26+D28)</f>
        <v>79460.96077599839</v>
      </c>
      <c r="E36" s="1028">
        <f>(1/3)*(E26+E28)</f>
        <v>81050.17999151835</v>
      </c>
      <c r="F36" s="1028"/>
      <c r="G36" s="1028"/>
      <c r="H36" s="1028"/>
      <c r="I36" s="1028"/>
      <c r="J36" s="1028"/>
      <c r="K36" s="1028"/>
      <c r="L36" s="1028"/>
      <c r="M36" s="1024" t="s">
        <v>717</v>
      </c>
    </row>
    <row r="37" ht="12.75">
      <c r="A37" s="1021"/>
    </row>
    <row r="38" spans="1:12" ht="12.75">
      <c r="A38" s="1014" t="s">
        <v>632</v>
      </c>
      <c r="C38" s="1024">
        <f aca="true" t="shared" si="23" ref="C38:L38">C71</f>
        <v>250</v>
      </c>
      <c r="D38" s="1024">
        <f t="shared" si="23"/>
        <v>415</v>
      </c>
      <c r="E38" s="1024">
        <f t="shared" si="23"/>
        <v>600</v>
      </c>
      <c r="F38" s="1024">
        <f t="shared" si="23"/>
        <v>765</v>
      </c>
      <c r="G38" s="1024">
        <f t="shared" si="23"/>
        <v>805</v>
      </c>
      <c r="H38" s="1024">
        <f t="shared" si="23"/>
        <v>825</v>
      </c>
      <c r="I38" s="1024">
        <f t="shared" si="23"/>
        <v>825</v>
      </c>
      <c r="J38" s="1024">
        <f t="shared" si="23"/>
        <v>825</v>
      </c>
      <c r="K38" s="1024">
        <f t="shared" si="23"/>
        <v>825</v>
      </c>
      <c r="L38" s="1024">
        <f t="shared" si="23"/>
        <v>825</v>
      </c>
    </row>
    <row r="39" spans="1:12" ht="12.75">
      <c r="A39" s="1014" t="s">
        <v>633</v>
      </c>
      <c r="B39" s="491"/>
      <c r="C39" s="1024">
        <f aca="true" t="shared" si="24" ref="C39:L39">C34/C71</f>
        <v>1574.4586655306184</v>
      </c>
      <c r="D39" s="1024">
        <f t="shared" si="24"/>
        <v>1293.4747018779403</v>
      </c>
      <c r="E39" s="1024">
        <f t="shared" si="24"/>
        <v>1117.554040915853</v>
      </c>
      <c r="F39" s="1024">
        <f t="shared" si="24"/>
        <v>894.0432327326821</v>
      </c>
      <c r="G39" s="1024">
        <f t="shared" si="24"/>
        <v>866.6110987593937</v>
      </c>
      <c r="H39" s="1024">
        <f t="shared" si="24"/>
        <v>862.5143917470765</v>
      </c>
      <c r="I39" s="1024">
        <f t="shared" si="24"/>
        <v>879.7646795820181</v>
      </c>
      <c r="J39" s="1024">
        <f t="shared" si="24"/>
        <v>897.3599731736585</v>
      </c>
      <c r="K39" s="1024">
        <f t="shared" si="24"/>
        <v>915.3071726371317</v>
      </c>
      <c r="L39" s="1024">
        <f t="shared" si="24"/>
        <v>933.6133160898745</v>
      </c>
    </row>
    <row r="40" spans="1:12" ht="12.75">
      <c r="A40" s="1021" t="s">
        <v>639</v>
      </c>
      <c r="B40" s="1025"/>
      <c r="C40" s="1025">
        <f aca="true" t="shared" si="25" ref="C40:L40">C39*C71</f>
        <v>393614.6663826546</v>
      </c>
      <c r="D40" s="1025">
        <f t="shared" si="25"/>
        <v>536792.0012793452</v>
      </c>
      <c r="E40" s="1025">
        <f t="shared" si="25"/>
        <v>670532.4245495118</v>
      </c>
      <c r="F40" s="1025">
        <f t="shared" si="25"/>
        <v>683943.0730405018</v>
      </c>
      <c r="G40" s="1025">
        <f t="shared" si="25"/>
        <v>697621.934501312</v>
      </c>
      <c r="H40" s="1025">
        <f t="shared" si="25"/>
        <v>711574.3731913381</v>
      </c>
      <c r="I40" s="1025">
        <f t="shared" si="25"/>
        <v>725805.8606551649</v>
      </c>
      <c r="J40" s="1025">
        <f t="shared" si="25"/>
        <v>740321.9778682683</v>
      </c>
      <c r="K40" s="1025">
        <f t="shared" si="25"/>
        <v>755128.4174256336</v>
      </c>
      <c r="L40" s="1025">
        <f t="shared" si="25"/>
        <v>770230.9857741465</v>
      </c>
    </row>
    <row r="41" ht="12.75">
      <c r="A41" s="491"/>
    </row>
    <row r="42" spans="1:12" ht="12.75">
      <c r="A42" s="1025" t="s">
        <v>647</v>
      </c>
      <c r="B42" s="994">
        <v>2014</v>
      </c>
      <c r="C42" s="994">
        <v>2015</v>
      </c>
      <c r="D42" s="994">
        <v>2016</v>
      </c>
      <c r="E42" s="994">
        <v>2017</v>
      </c>
      <c r="F42" s="994">
        <v>2018</v>
      </c>
      <c r="G42" s="994">
        <v>2019</v>
      </c>
      <c r="H42" s="994">
        <v>2020</v>
      </c>
      <c r="I42" s="994">
        <v>2021</v>
      </c>
      <c r="J42" s="994">
        <v>2022</v>
      </c>
      <c r="K42" s="994">
        <v>2023</v>
      </c>
      <c r="L42" s="994">
        <v>2024</v>
      </c>
    </row>
    <row r="43" spans="1:12" ht="12.75">
      <c r="A43" s="993" t="s">
        <v>661</v>
      </c>
      <c r="B43" s="1068">
        <f>$B$34/2</f>
        <v>58427.177041175295</v>
      </c>
      <c r="C43" s="1024">
        <f>C$39*C66-(C$36/2)</f>
        <v>157855.8818305438</v>
      </c>
      <c r="D43" s="1024">
        <f>D$39*D66-(D$36/3)</f>
        <v>161066.84484696854</v>
      </c>
      <c r="E43" s="1024">
        <f>E$39*E66-(E$36/4)</f>
        <v>164133.87175323613</v>
      </c>
      <c r="F43" s="1024">
        <f aca="true" t="shared" si="26" ref="F43:L47">F$39*F66</f>
        <v>147517.13340089255</v>
      </c>
      <c r="G43" s="1024">
        <f t="shared" si="26"/>
        <v>142990.83129529995</v>
      </c>
      <c r="H43" s="1024">
        <f t="shared" si="26"/>
        <v>142314.87463826762</v>
      </c>
      <c r="I43" s="1024">
        <f t="shared" si="26"/>
        <v>145161.17213103297</v>
      </c>
      <c r="J43" s="1024">
        <f t="shared" si="26"/>
        <v>148064.39557365366</v>
      </c>
      <c r="K43" s="1024">
        <f t="shared" si="26"/>
        <v>151025.68348512673</v>
      </c>
      <c r="L43" s="1024">
        <f t="shared" si="26"/>
        <v>154046.19715482928</v>
      </c>
    </row>
    <row r="44" spans="1:12" ht="12.75">
      <c r="A44" s="993" t="s">
        <v>662</v>
      </c>
      <c r="B44" s="1068">
        <f>$B$34/2</f>
        <v>58427.177041175295</v>
      </c>
      <c r="C44" s="1024">
        <f>C$39*C67-(C$36/2)</f>
        <v>157855.8818305438</v>
      </c>
      <c r="D44" s="1024">
        <f>D$39*D67-(D$36/3)</f>
        <v>161066.84484696854</v>
      </c>
      <c r="E44" s="1024">
        <f>E$39*E67-(E$36/4)</f>
        <v>164133.87175323613</v>
      </c>
      <c r="F44" s="1024">
        <f t="shared" si="26"/>
        <v>147517.13340089255</v>
      </c>
      <c r="G44" s="1024">
        <f t="shared" si="26"/>
        <v>142990.83129529995</v>
      </c>
      <c r="H44" s="1024">
        <f t="shared" si="26"/>
        <v>142314.87463826762</v>
      </c>
      <c r="I44" s="1024">
        <f t="shared" si="26"/>
        <v>145161.17213103297</v>
      </c>
      <c r="J44" s="1024">
        <f t="shared" si="26"/>
        <v>148064.39557365366</v>
      </c>
      <c r="K44" s="1024">
        <f t="shared" si="26"/>
        <v>151025.68348512673</v>
      </c>
      <c r="L44" s="1024">
        <f t="shared" si="26"/>
        <v>154046.19715482928</v>
      </c>
    </row>
    <row r="45" spans="1:12" ht="12.75">
      <c r="A45" s="993" t="s">
        <v>663</v>
      </c>
      <c r="B45" s="1024"/>
      <c r="C45" s="1068">
        <f>C36</f>
        <v>77902.90272156705</v>
      </c>
      <c r="D45" s="1024">
        <f>D$39*D68-(D$36/3)</f>
        <v>135197.35080940975</v>
      </c>
      <c r="E45" s="1024">
        <f>E$39*E68-(E$36/4)</f>
        <v>141782.7909349191</v>
      </c>
      <c r="F45" s="1024">
        <f t="shared" si="26"/>
        <v>147517.13340089255</v>
      </c>
      <c r="G45" s="1024">
        <f t="shared" si="26"/>
        <v>142990.83129529995</v>
      </c>
      <c r="H45" s="1024">
        <f t="shared" si="26"/>
        <v>142314.87463826762</v>
      </c>
      <c r="I45" s="1024">
        <f t="shared" si="26"/>
        <v>145161.17213103297</v>
      </c>
      <c r="J45" s="1024">
        <f t="shared" si="26"/>
        <v>148064.39557365366</v>
      </c>
      <c r="K45" s="1024">
        <f t="shared" si="26"/>
        <v>151025.68348512673</v>
      </c>
      <c r="L45" s="1024">
        <f t="shared" si="26"/>
        <v>154046.19715482928</v>
      </c>
    </row>
    <row r="46" spans="1:12" ht="12.75">
      <c r="A46" s="993" t="s">
        <v>664</v>
      </c>
      <c r="B46" s="1024"/>
      <c r="C46" s="1024">
        <f>C$39*C69</f>
        <v>0</v>
      </c>
      <c r="D46" s="1068">
        <f>D36</f>
        <v>79460.96077599839</v>
      </c>
      <c r="E46" s="1024">
        <f>E$39*E69-(E$36/4)</f>
        <v>119431.71011660201</v>
      </c>
      <c r="F46" s="1024">
        <f t="shared" si="26"/>
        <v>129636.2687462389</v>
      </c>
      <c r="G46" s="1024">
        <f t="shared" si="26"/>
        <v>142990.83129529995</v>
      </c>
      <c r="H46" s="1024">
        <f t="shared" si="26"/>
        <v>142314.87463826762</v>
      </c>
      <c r="I46" s="1024">
        <f t="shared" si="26"/>
        <v>145161.17213103297</v>
      </c>
      <c r="J46" s="1024">
        <f t="shared" si="26"/>
        <v>148064.39557365366</v>
      </c>
      <c r="K46" s="1024">
        <f t="shared" si="26"/>
        <v>151025.68348512673</v>
      </c>
      <c r="L46" s="1024">
        <f t="shared" si="26"/>
        <v>154046.19715482928</v>
      </c>
    </row>
    <row r="47" spans="1:12" ht="12.75">
      <c r="A47" s="993" t="s">
        <v>665</v>
      </c>
      <c r="B47" s="491"/>
      <c r="C47" s="1024">
        <f>C$39*C70</f>
        <v>0</v>
      </c>
      <c r="D47" s="1024">
        <f>D$39*D70</f>
        <v>0</v>
      </c>
      <c r="E47" s="1068">
        <f>E36</f>
        <v>81050.17999151835</v>
      </c>
      <c r="F47" s="1024">
        <f t="shared" si="26"/>
        <v>111755.40409158527</v>
      </c>
      <c r="G47" s="1024">
        <f t="shared" si="26"/>
        <v>125658.60932011208</v>
      </c>
      <c r="H47" s="1024">
        <f t="shared" si="26"/>
        <v>142314.87463826762</v>
      </c>
      <c r="I47" s="1024">
        <f t="shared" si="26"/>
        <v>145161.17213103297</v>
      </c>
      <c r="J47" s="1024">
        <f t="shared" si="26"/>
        <v>148064.39557365366</v>
      </c>
      <c r="K47" s="1024">
        <f t="shared" si="26"/>
        <v>151025.68348512673</v>
      </c>
      <c r="L47" s="1024">
        <f t="shared" si="26"/>
        <v>154046.19715482928</v>
      </c>
    </row>
    <row r="48" spans="1:12" ht="12.75">
      <c r="A48" s="1031" t="s">
        <v>648</v>
      </c>
      <c r="B48" s="1032">
        <f aca="true" t="shared" si="27" ref="B48:L48">SUM(B43:B47)-B34</f>
        <v>0</v>
      </c>
      <c r="C48" s="1032">
        <f t="shared" si="27"/>
        <v>0</v>
      </c>
      <c r="D48" s="1032">
        <f t="shared" si="27"/>
        <v>0</v>
      </c>
      <c r="E48" s="1032">
        <f t="shared" si="27"/>
        <v>0</v>
      </c>
      <c r="F48" s="1032">
        <f t="shared" si="27"/>
        <v>0</v>
      </c>
      <c r="G48" s="1032">
        <f t="shared" si="27"/>
        <v>0</v>
      </c>
      <c r="H48" s="1032">
        <f t="shared" si="27"/>
        <v>0</v>
      </c>
      <c r="I48" s="1032">
        <f t="shared" si="27"/>
        <v>0</v>
      </c>
      <c r="J48" s="1032">
        <f t="shared" si="27"/>
        <v>0</v>
      </c>
      <c r="K48" s="1032">
        <f t="shared" si="27"/>
        <v>0</v>
      </c>
      <c r="L48" s="1032">
        <f t="shared" si="27"/>
        <v>0</v>
      </c>
    </row>
    <row r="49" ht="12.75">
      <c r="A49" s="491"/>
    </row>
    <row r="50" spans="1:12" ht="12.75">
      <c r="A50" s="1025" t="s">
        <v>636</v>
      </c>
      <c r="B50" s="994">
        <v>2014</v>
      </c>
      <c r="C50" s="994">
        <v>2015</v>
      </c>
      <c r="D50" s="994">
        <v>2016</v>
      </c>
      <c r="E50" s="994">
        <v>2017</v>
      </c>
      <c r="F50" s="994">
        <v>2018</v>
      </c>
      <c r="G50" s="994">
        <v>2019</v>
      </c>
      <c r="H50" s="994">
        <v>2020</v>
      </c>
      <c r="I50" s="994">
        <v>2021</v>
      </c>
      <c r="J50" s="994">
        <v>2022</v>
      </c>
      <c r="K50" s="994">
        <v>2023</v>
      </c>
      <c r="L50" s="994">
        <v>2024</v>
      </c>
    </row>
    <row r="51" spans="1:12" ht="12.75">
      <c r="A51" s="1024" t="s">
        <v>252</v>
      </c>
      <c r="B51" s="1024"/>
      <c r="C51" s="1024">
        <f>C56*C$71</f>
        <v>8125</v>
      </c>
      <c r="D51" s="1024">
        <f aca="true" t="shared" si="28" ref="D51:L51">D56*D$71</f>
        <v>13487.5</v>
      </c>
      <c r="E51" s="1024">
        <f t="shared" si="28"/>
        <v>19500</v>
      </c>
      <c r="F51" s="1024">
        <f t="shared" si="28"/>
        <v>24862.5</v>
      </c>
      <c r="G51" s="1024">
        <f t="shared" si="28"/>
        <v>26162.5</v>
      </c>
      <c r="H51" s="1024">
        <f t="shared" si="28"/>
        <v>26812.5</v>
      </c>
      <c r="I51" s="1024">
        <f t="shared" si="28"/>
        <v>26812.5</v>
      </c>
      <c r="J51" s="1024">
        <f t="shared" si="28"/>
        <v>26812.5</v>
      </c>
      <c r="K51" s="1024">
        <f t="shared" si="28"/>
        <v>26812.5</v>
      </c>
      <c r="L51" s="1024">
        <f t="shared" si="28"/>
        <v>26812.5</v>
      </c>
    </row>
    <row r="52" spans="1:12" ht="12.75">
      <c r="A52" s="1024" t="s">
        <v>254</v>
      </c>
      <c r="B52" s="1024"/>
      <c r="C52" s="1024">
        <f aca="true" t="shared" si="29" ref="C52:L53">C57*C$71</f>
        <v>8125</v>
      </c>
      <c r="D52" s="1024">
        <f t="shared" si="29"/>
        <v>13487.5</v>
      </c>
      <c r="E52" s="1024">
        <f t="shared" si="29"/>
        <v>19500</v>
      </c>
      <c r="F52" s="1024">
        <f t="shared" si="29"/>
        <v>24862.5</v>
      </c>
      <c r="G52" s="1024">
        <f t="shared" si="29"/>
        <v>26162.5</v>
      </c>
      <c r="H52" s="1024">
        <f t="shared" si="29"/>
        <v>26812.5</v>
      </c>
      <c r="I52" s="1024">
        <f t="shared" si="29"/>
        <v>26812.5</v>
      </c>
      <c r="J52" s="1024">
        <f t="shared" si="29"/>
        <v>26812.5</v>
      </c>
      <c r="K52" s="1024">
        <f t="shared" si="29"/>
        <v>26812.5</v>
      </c>
      <c r="L52" s="1024">
        <f t="shared" si="29"/>
        <v>26812.5</v>
      </c>
    </row>
    <row r="53" spans="1:12" ht="12.75">
      <c r="A53" s="1024" t="s">
        <v>22</v>
      </c>
      <c r="B53" s="1024"/>
      <c r="C53" s="1024">
        <f t="shared" si="29"/>
        <v>17500</v>
      </c>
      <c r="D53" s="1024">
        <f t="shared" si="29"/>
        <v>29050</v>
      </c>
      <c r="E53" s="1024">
        <f t="shared" si="29"/>
        <v>42000</v>
      </c>
      <c r="F53" s="1024">
        <f t="shared" si="29"/>
        <v>53550</v>
      </c>
      <c r="G53" s="1024">
        <f t="shared" si="29"/>
        <v>56350</v>
      </c>
      <c r="H53" s="1024">
        <f t="shared" si="29"/>
        <v>57750</v>
      </c>
      <c r="I53" s="1024">
        <f t="shared" si="29"/>
        <v>57750</v>
      </c>
      <c r="J53" s="1024">
        <f t="shared" si="29"/>
        <v>57750</v>
      </c>
      <c r="K53" s="1024">
        <f t="shared" si="29"/>
        <v>57750</v>
      </c>
      <c r="L53" s="1024">
        <f t="shared" si="29"/>
        <v>57750</v>
      </c>
    </row>
    <row r="54" spans="1:12" ht="12.75">
      <c r="A54" s="1024"/>
      <c r="B54" s="1024"/>
      <c r="C54" s="1024"/>
      <c r="D54" s="1024"/>
      <c r="E54" s="1024"/>
      <c r="F54" s="1024"/>
      <c r="G54" s="1024"/>
      <c r="H54" s="1024"/>
      <c r="I54" s="1024"/>
      <c r="J54" s="1024"/>
      <c r="K54" s="1024"/>
      <c r="L54" s="1024"/>
    </row>
    <row r="55" ht="12.75">
      <c r="A55" s="1025" t="s">
        <v>637</v>
      </c>
    </row>
    <row r="56" spans="1:12" ht="12.75">
      <c r="A56" s="1024" t="s">
        <v>252</v>
      </c>
      <c r="C56" s="1024">
        <v>32.5</v>
      </c>
      <c r="D56" s="1024">
        <v>32.5</v>
      </c>
      <c r="E56" s="1024">
        <v>32.5</v>
      </c>
      <c r="F56" s="1024">
        <v>32.5</v>
      </c>
      <c r="G56" s="1024">
        <v>32.5</v>
      </c>
      <c r="H56" s="1024">
        <v>32.5</v>
      </c>
      <c r="I56" s="1024">
        <v>32.5</v>
      </c>
      <c r="J56" s="1024">
        <v>32.5</v>
      </c>
      <c r="K56" s="1024">
        <v>32.5</v>
      </c>
      <c r="L56" s="1024">
        <v>32.5</v>
      </c>
    </row>
    <row r="57" spans="1:12" ht="12.75">
      <c r="A57" s="1024" t="s">
        <v>254</v>
      </c>
      <c r="C57" s="1024">
        <v>32.5</v>
      </c>
      <c r="D57" s="1024">
        <v>32.5</v>
      </c>
      <c r="E57" s="1024">
        <v>32.5</v>
      </c>
      <c r="F57" s="1024">
        <v>32.5</v>
      </c>
      <c r="G57" s="1024">
        <v>32.5</v>
      </c>
      <c r="H57" s="1024">
        <v>32.5</v>
      </c>
      <c r="I57" s="1024">
        <v>32.5</v>
      </c>
      <c r="J57" s="1024">
        <v>32.5</v>
      </c>
      <c r="K57" s="1024">
        <v>32.5</v>
      </c>
      <c r="L57" s="1024">
        <v>32.5</v>
      </c>
    </row>
    <row r="58" spans="1:12" ht="12.75">
      <c r="A58" s="1024" t="s">
        <v>22</v>
      </c>
      <c r="C58" s="1024">
        <v>70</v>
      </c>
      <c r="D58" s="1024">
        <v>70</v>
      </c>
      <c r="E58" s="1024">
        <v>70</v>
      </c>
      <c r="F58" s="1024">
        <v>70</v>
      </c>
      <c r="G58" s="1024">
        <v>70</v>
      </c>
      <c r="H58" s="1024">
        <v>70</v>
      </c>
      <c r="I58" s="1024">
        <v>70</v>
      </c>
      <c r="J58" s="1024">
        <v>70</v>
      </c>
      <c r="K58" s="1024">
        <v>70</v>
      </c>
      <c r="L58" s="1024">
        <v>70</v>
      </c>
    </row>
    <row r="60" spans="1:14" ht="12.75">
      <c r="A60" s="1025" t="s">
        <v>640</v>
      </c>
      <c r="C60" s="1024"/>
      <c r="D60" s="1024"/>
      <c r="E60" s="1024"/>
      <c r="F60" s="1024"/>
      <c r="G60" s="1024"/>
      <c r="H60" s="1024"/>
      <c r="I60" s="1024"/>
      <c r="J60" s="1024"/>
      <c r="K60" s="1024"/>
      <c r="L60" s="1024"/>
      <c r="M60" s="1024"/>
      <c r="N60" s="1024"/>
    </row>
    <row r="61" spans="1:14" ht="12.75">
      <c r="A61" s="1024" t="s">
        <v>252</v>
      </c>
      <c r="C61" s="1024">
        <f aca="true" t="shared" si="30" ref="C61:L61">C56*C$68</f>
        <v>0</v>
      </c>
      <c r="D61" s="1024">
        <f t="shared" si="30"/>
        <v>4062.5</v>
      </c>
      <c r="E61" s="1024">
        <f t="shared" si="30"/>
        <v>4712.5</v>
      </c>
      <c r="F61" s="1024">
        <f t="shared" si="30"/>
        <v>5362.5</v>
      </c>
      <c r="G61" s="1024">
        <f t="shared" si="30"/>
        <v>5362.5</v>
      </c>
      <c r="H61" s="1024">
        <f t="shared" si="30"/>
        <v>5362.5</v>
      </c>
      <c r="I61" s="1024">
        <f t="shared" si="30"/>
        <v>5362.5</v>
      </c>
      <c r="J61" s="1024">
        <f t="shared" si="30"/>
        <v>5362.5</v>
      </c>
      <c r="K61" s="1024">
        <f t="shared" si="30"/>
        <v>5362.5</v>
      </c>
      <c r="L61" s="1024">
        <f t="shared" si="30"/>
        <v>5362.5</v>
      </c>
      <c r="M61" s="1024"/>
      <c r="N61" s="1024"/>
    </row>
    <row r="62" spans="1:14" ht="12.75">
      <c r="A62" s="1024" t="s">
        <v>254</v>
      </c>
      <c r="C62" s="1024">
        <f aca="true" t="shared" si="31" ref="C62:L62">C57*C$68</f>
        <v>0</v>
      </c>
      <c r="D62" s="1024">
        <f t="shared" si="31"/>
        <v>4062.5</v>
      </c>
      <c r="E62" s="1024">
        <f t="shared" si="31"/>
        <v>4712.5</v>
      </c>
      <c r="F62" s="1024">
        <f t="shared" si="31"/>
        <v>5362.5</v>
      </c>
      <c r="G62" s="1024">
        <f t="shared" si="31"/>
        <v>5362.5</v>
      </c>
      <c r="H62" s="1024">
        <f t="shared" si="31"/>
        <v>5362.5</v>
      </c>
      <c r="I62" s="1024">
        <f t="shared" si="31"/>
        <v>5362.5</v>
      </c>
      <c r="J62" s="1024">
        <f t="shared" si="31"/>
        <v>5362.5</v>
      </c>
      <c r="K62" s="1024">
        <f t="shared" si="31"/>
        <v>5362.5</v>
      </c>
      <c r="L62" s="1024">
        <f t="shared" si="31"/>
        <v>5362.5</v>
      </c>
      <c r="M62" s="1024"/>
      <c r="N62" s="1024"/>
    </row>
    <row r="63" spans="1:14" ht="12.75">
      <c r="A63" s="1024" t="s">
        <v>22</v>
      </c>
      <c r="C63" s="1024">
        <f aca="true" t="shared" si="32" ref="C63:L63">C58*C$68</f>
        <v>0</v>
      </c>
      <c r="D63" s="1024">
        <f t="shared" si="32"/>
        <v>8750</v>
      </c>
      <c r="E63" s="1024">
        <f t="shared" si="32"/>
        <v>10150</v>
      </c>
      <c r="F63" s="1024">
        <f t="shared" si="32"/>
        <v>11550</v>
      </c>
      <c r="G63" s="1024">
        <f t="shared" si="32"/>
        <v>11550</v>
      </c>
      <c r="H63" s="1024">
        <f t="shared" si="32"/>
        <v>11550</v>
      </c>
      <c r="I63" s="1024">
        <f t="shared" si="32"/>
        <v>11550</v>
      </c>
      <c r="J63" s="1024">
        <f t="shared" si="32"/>
        <v>11550</v>
      </c>
      <c r="K63" s="1024">
        <f t="shared" si="32"/>
        <v>11550</v>
      </c>
      <c r="L63" s="1024">
        <f t="shared" si="32"/>
        <v>11550</v>
      </c>
      <c r="M63" s="1024"/>
      <c r="N63" s="1024"/>
    </row>
    <row r="64" spans="1:14" ht="12.75">
      <c r="A64" s="1024"/>
      <c r="C64" s="1024"/>
      <c r="D64" s="1024"/>
      <c r="E64" s="1024"/>
      <c r="F64" s="1024"/>
      <c r="G64" s="1024"/>
      <c r="H64" s="1024"/>
      <c r="I64" s="1024"/>
      <c r="J64" s="1024"/>
      <c r="K64" s="1024"/>
      <c r="L64" s="1024"/>
      <c r="M64" s="1024"/>
      <c r="N64" s="1024"/>
    </row>
    <row r="65" spans="1:12" ht="12.75">
      <c r="A65" s="1025" t="s">
        <v>638</v>
      </c>
      <c r="B65" s="994">
        <v>2014</v>
      </c>
      <c r="C65" s="994">
        <v>2015</v>
      </c>
      <c r="D65" s="994">
        <v>2016</v>
      </c>
      <c r="E65" s="994">
        <v>2017</v>
      </c>
      <c r="F65" s="994">
        <v>2018</v>
      </c>
      <c r="G65" s="994">
        <v>2019</v>
      </c>
      <c r="H65" s="994">
        <v>2020</v>
      </c>
      <c r="I65" s="994">
        <v>2021</v>
      </c>
      <c r="J65" s="994">
        <v>2022</v>
      </c>
      <c r="K65" s="994">
        <v>2023</v>
      </c>
      <c r="L65" s="994">
        <v>2024</v>
      </c>
    </row>
    <row r="66" spans="1:12" ht="12.75">
      <c r="A66" s="993" t="s">
        <v>661</v>
      </c>
      <c r="B66" s="491"/>
      <c r="C66" s="1024">
        <v>125</v>
      </c>
      <c r="D66" s="1024">
        <v>145</v>
      </c>
      <c r="E66" s="1024">
        <v>165</v>
      </c>
      <c r="F66" s="1024">
        <v>165</v>
      </c>
      <c r="G66" s="1024">
        <v>165</v>
      </c>
      <c r="H66" s="1024">
        <v>165</v>
      </c>
      <c r="I66" s="1024">
        <v>165</v>
      </c>
      <c r="J66" s="1024">
        <v>165</v>
      </c>
      <c r="K66" s="1024">
        <v>165</v>
      </c>
      <c r="L66" s="1024">
        <v>165</v>
      </c>
    </row>
    <row r="67" spans="1:12" ht="12.75">
      <c r="A67" s="993" t="s">
        <v>662</v>
      </c>
      <c r="B67" s="491"/>
      <c r="C67" s="1024">
        <v>125</v>
      </c>
      <c r="D67" s="1024">
        <v>145</v>
      </c>
      <c r="E67" s="1024">
        <v>165</v>
      </c>
      <c r="F67" s="1024">
        <v>165</v>
      </c>
      <c r="G67" s="1024">
        <v>165</v>
      </c>
      <c r="H67" s="1024">
        <v>165</v>
      </c>
      <c r="I67" s="1024">
        <v>165</v>
      </c>
      <c r="J67" s="1024">
        <v>165</v>
      </c>
      <c r="K67" s="1024">
        <v>165</v>
      </c>
      <c r="L67" s="1024">
        <v>165</v>
      </c>
    </row>
    <row r="68" spans="1:12" ht="12.75">
      <c r="A68" s="993" t="s">
        <v>663</v>
      </c>
      <c r="B68" s="491"/>
      <c r="C68" s="1024"/>
      <c r="D68" s="1024">
        <v>125</v>
      </c>
      <c r="E68" s="1024">
        <v>145</v>
      </c>
      <c r="F68" s="1024">
        <v>165</v>
      </c>
      <c r="G68" s="1024">
        <v>165</v>
      </c>
      <c r="H68" s="1024">
        <v>165</v>
      </c>
      <c r="I68" s="1024">
        <v>165</v>
      </c>
      <c r="J68" s="1024">
        <v>165</v>
      </c>
      <c r="K68" s="1024">
        <v>165</v>
      </c>
      <c r="L68" s="1024">
        <v>165</v>
      </c>
    </row>
    <row r="69" spans="1:12" ht="12.75">
      <c r="A69" s="993" t="s">
        <v>664</v>
      </c>
      <c r="B69" s="491"/>
      <c r="C69" s="1024"/>
      <c r="D69" s="1024"/>
      <c r="E69" s="1024">
        <v>125</v>
      </c>
      <c r="F69" s="1024">
        <v>145</v>
      </c>
      <c r="G69" s="1024">
        <v>165</v>
      </c>
      <c r="H69" s="1024">
        <v>165</v>
      </c>
      <c r="I69" s="1024">
        <v>165</v>
      </c>
      <c r="J69" s="1024">
        <v>165</v>
      </c>
      <c r="K69" s="1024">
        <v>165</v>
      </c>
      <c r="L69" s="1024">
        <v>165</v>
      </c>
    </row>
    <row r="70" spans="1:12" ht="12.75">
      <c r="A70" s="993" t="s">
        <v>665</v>
      </c>
      <c r="B70" s="491"/>
      <c r="C70" s="1024"/>
      <c r="D70" s="1024"/>
      <c r="E70" s="1024"/>
      <c r="F70" s="1024">
        <v>125</v>
      </c>
      <c r="G70" s="1024">
        <v>145</v>
      </c>
      <c r="H70" s="1024">
        <v>165</v>
      </c>
      <c r="I70" s="1024">
        <v>165</v>
      </c>
      <c r="J70" s="1024">
        <v>165</v>
      </c>
      <c r="K70" s="1024">
        <v>165</v>
      </c>
      <c r="L70" s="1024">
        <v>165</v>
      </c>
    </row>
    <row r="71" spans="1:12" ht="12.75">
      <c r="A71" s="1028" t="s">
        <v>621</v>
      </c>
      <c r="B71" s="11"/>
      <c r="C71" s="1025">
        <f>SUM(C66:C70)</f>
        <v>250</v>
      </c>
      <c r="D71" s="1025">
        <f aca="true" t="shared" si="33" ref="D71:L71">SUM(D66:D70)</f>
        <v>415</v>
      </c>
      <c r="E71" s="1025">
        <f t="shared" si="33"/>
        <v>600</v>
      </c>
      <c r="F71" s="1025">
        <f t="shared" si="33"/>
        <v>765</v>
      </c>
      <c r="G71" s="1025">
        <f t="shared" si="33"/>
        <v>805</v>
      </c>
      <c r="H71" s="1025">
        <f t="shared" si="33"/>
        <v>825</v>
      </c>
      <c r="I71" s="1025">
        <f t="shared" si="33"/>
        <v>825</v>
      </c>
      <c r="J71" s="1025">
        <f t="shared" si="33"/>
        <v>825</v>
      </c>
      <c r="K71" s="1025">
        <f t="shared" si="33"/>
        <v>825</v>
      </c>
      <c r="L71" s="1025">
        <f t="shared" si="33"/>
        <v>825</v>
      </c>
    </row>
    <row r="72" spans="1:12" ht="12.75">
      <c r="A72" s="1028"/>
      <c r="B72" s="11"/>
      <c r="C72" s="1025"/>
      <c r="D72" s="1025"/>
      <c r="E72" s="1025"/>
      <c r="F72" s="1025"/>
      <c r="G72" s="1025"/>
      <c r="H72" s="1025"/>
      <c r="I72" s="1025"/>
      <c r="J72" s="1025"/>
      <c r="K72" s="1025"/>
      <c r="L72" s="1025"/>
    </row>
    <row r="73" spans="1:12" ht="13.5" thickBot="1">
      <c r="A73" s="1043" t="s">
        <v>665</v>
      </c>
      <c r="B73" s="11"/>
      <c r="C73" s="1025"/>
      <c r="D73" s="1025"/>
      <c r="E73" s="1025"/>
      <c r="F73" s="1025"/>
      <c r="G73" s="1025"/>
      <c r="H73" s="1025"/>
      <c r="I73" s="1025"/>
      <c r="J73" s="1025"/>
      <c r="K73" s="1025"/>
      <c r="L73" s="1025"/>
    </row>
    <row r="74" spans="1:12" ht="12.75">
      <c r="A74" s="1049" t="str">
        <f>A73&amp;" Summary"</f>
        <v>Campus 5 Summary</v>
      </c>
      <c r="B74" s="1040"/>
      <c r="C74" s="1041"/>
      <c r="D74" s="1041"/>
      <c r="E74" s="1041"/>
      <c r="F74" s="1041"/>
      <c r="G74" s="1041"/>
      <c r="H74" s="1041"/>
      <c r="I74" s="1041"/>
      <c r="J74" s="1041"/>
      <c r="K74" s="1041"/>
      <c r="L74" s="1042"/>
    </row>
    <row r="75" spans="1:12" ht="12.75">
      <c r="A75" s="1043" t="s">
        <v>666</v>
      </c>
      <c r="B75" s="1044">
        <f aca="true" t="shared" si="34" ref="B75:L75">INDEX($A$65:$L$71,MATCH($A$73,$A$65:$A$71,0),MATCH(B$65,$A$65:$L$65,0))</f>
        <v>0</v>
      </c>
      <c r="C75" s="1044">
        <f t="shared" si="34"/>
        <v>0</v>
      </c>
      <c r="D75" s="1044">
        <f t="shared" si="34"/>
        <v>0</v>
      </c>
      <c r="E75" s="1044">
        <f t="shared" si="34"/>
        <v>0</v>
      </c>
      <c r="F75" s="1044">
        <f t="shared" si="34"/>
        <v>125</v>
      </c>
      <c r="G75" s="1044">
        <f t="shared" si="34"/>
        <v>145</v>
      </c>
      <c r="H75" s="1044">
        <f t="shared" si="34"/>
        <v>165</v>
      </c>
      <c r="I75" s="1044">
        <f t="shared" si="34"/>
        <v>165</v>
      </c>
      <c r="J75" s="1044">
        <f t="shared" si="34"/>
        <v>165</v>
      </c>
      <c r="K75" s="1044">
        <f t="shared" si="34"/>
        <v>165</v>
      </c>
      <c r="L75" s="1045">
        <f t="shared" si="34"/>
        <v>165</v>
      </c>
    </row>
    <row r="76" spans="1:12" ht="12.75">
      <c r="A76" s="1043" t="s">
        <v>647</v>
      </c>
      <c r="B76" s="1044">
        <f aca="true" t="shared" si="35" ref="B76:L76">INDEX($A$42:$L$48,MATCH($A$73,$A$42:$A$48,0),MATCH(B$65,$A$42:$L$42,0))</f>
        <v>0</v>
      </c>
      <c r="C76" s="1044">
        <f t="shared" si="35"/>
        <v>0</v>
      </c>
      <c r="D76" s="1044">
        <f t="shared" si="35"/>
        <v>0</v>
      </c>
      <c r="E76" s="1044">
        <f t="shared" si="35"/>
        <v>81050.17999151835</v>
      </c>
      <c r="F76" s="1044">
        <f t="shared" si="35"/>
        <v>111755.40409158527</v>
      </c>
      <c r="G76" s="1044">
        <f t="shared" si="35"/>
        <v>125658.60932011208</v>
      </c>
      <c r="H76" s="1044">
        <f t="shared" si="35"/>
        <v>142314.87463826762</v>
      </c>
      <c r="I76" s="1044">
        <f t="shared" si="35"/>
        <v>145161.17213103297</v>
      </c>
      <c r="J76" s="1044">
        <f t="shared" si="35"/>
        <v>148064.39557365366</v>
      </c>
      <c r="K76" s="1044">
        <f t="shared" si="35"/>
        <v>151025.68348512673</v>
      </c>
      <c r="L76" s="1045">
        <f t="shared" si="35"/>
        <v>154046.19715482928</v>
      </c>
    </row>
    <row r="77" spans="1:12" ht="12.75">
      <c r="A77" s="1043" t="s">
        <v>252</v>
      </c>
      <c r="B77" s="1044"/>
      <c r="C77" s="1044">
        <f aca="true" t="shared" si="36" ref="C77:L77">C56*C$75</f>
        <v>0</v>
      </c>
      <c r="D77" s="1044">
        <f t="shared" si="36"/>
        <v>0</v>
      </c>
      <c r="E77" s="1044">
        <f t="shared" si="36"/>
        <v>0</v>
      </c>
      <c r="F77" s="1044">
        <f t="shared" si="36"/>
        <v>4062.5</v>
      </c>
      <c r="G77" s="1044">
        <f t="shared" si="36"/>
        <v>4712.5</v>
      </c>
      <c r="H77" s="1044">
        <f t="shared" si="36"/>
        <v>5362.5</v>
      </c>
      <c r="I77" s="1044">
        <f t="shared" si="36"/>
        <v>5362.5</v>
      </c>
      <c r="J77" s="1044">
        <f t="shared" si="36"/>
        <v>5362.5</v>
      </c>
      <c r="K77" s="1044">
        <f t="shared" si="36"/>
        <v>5362.5</v>
      </c>
      <c r="L77" s="1045">
        <f t="shared" si="36"/>
        <v>5362.5</v>
      </c>
    </row>
    <row r="78" spans="1:12" ht="12.75">
      <c r="A78" s="1043" t="s">
        <v>254</v>
      </c>
      <c r="B78" s="484"/>
      <c r="C78" s="1044">
        <f aca="true" t="shared" si="37" ref="C78:L78">C57*C$75</f>
        <v>0</v>
      </c>
      <c r="D78" s="1044">
        <f t="shared" si="37"/>
        <v>0</v>
      </c>
      <c r="E78" s="1044">
        <f t="shared" si="37"/>
        <v>0</v>
      </c>
      <c r="F78" s="1044">
        <f t="shared" si="37"/>
        <v>4062.5</v>
      </c>
      <c r="G78" s="1044">
        <f t="shared" si="37"/>
        <v>4712.5</v>
      </c>
      <c r="H78" s="1044">
        <f t="shared" si="37"/>
        <v>5362.5</v>
      </c>
      <c r="I78" s="1044">
        <f t="shared" si="37"/>
        <v>5362.5</v>
      </c>
      <c r="J78" s="1044">
        <f t="shared" si="37"/>
        <v>5362.5</v>
      </c>
      <c r="K78" s="1044">
        <f t="shared" si="37"/>
        <v>5362.5</v>
      </c>
      <c r="L78" s="1045">
        <f t="shared" si="37"/>
        <v>5362.5</v>
      </c>
    </row>
    <row r="79" spans="1:12" ht="13.5" thickBot="1">
      <c r="A79" s="1046" t="s">
        <v>22</v>
      </c>
      <c r="B79" s="216"/>
      <c r="C79" s="1047">
        <f aca="true" t="shared" si="38" ref="C79:L79">C58*C$75</f>
        <v>0</v>
      </c>
      <c r="D79" s="1047">
        <f t="shared" si="38"/>
        <v>0</v>
      </c>
      <c r="E79" s="1047">
        <f t="shared" si="38"/>
        <v>0</v>
      </c>
      <c r="F79" s="1047">
        <f t="shared" si="38"/>
        <v>8750</v>
      </c>
      <c r="G79" s="1047">
        <f t="shared" si="38"/>
        <v>10150</v>
      </c>
      <c r="H79" s="1047">
        <f t="shared" si="38"/>
        <v>11550</v>
      </c>
      <c r="I79" s="1047">
        <f t="shared" si="38"/>
        <v>11550</v>
      </c>
      <c r="J79" s="1047">
        <f t="shared" si="38"/>
        <v>11550</v>
      </c>
      <c r="K79" s="1047">
        <f t="shared" si="38"/>
        <v>11550</v>
      </c>
      <c r="L79" s="1048">
        <f t="shared" si="38"/>
        <v>11550</v>
      </c>
    </row>
    <row r="80" spans="1:12" ht="12.75">
      <c r="A80" s="1025"/>
      <c r="B80" s="994"/>
      <c r="C80" s="994"/>
      <c r="D80" s="994"/>
      <c r="E80" s="994"/>
      <c r="F80" s="994"/>
      <c r="G80" s="994"/>
      <c r="H80" s="994"/>
      <c r="I80" s="994"/>
      <c r="J80" s="994"/>
      <c r="K80" s="994"/>
      <c r="L80" s="994"/>
    </row>
    <row r="81" spans="1:12" ht="12.75">
      <c r="A81" s="1028"/>
      <c r="B81" s="11"/>
      <c r="C81" s="1025"/>
      <c r="D81" s="1025"/>
      <c r="E81" s="1025"/>
      <c r="F81" s="1025"/>
      <c r="G81" s="1025"/>
      <c r="H81" s="1025"/>
      <c r="I81" s="1025"/>
      <c r="J81" s="1025"/>
      <c r="K81" s="1025"/>
      <c r="L81" s="1025"/>
    </row>
    <row r="82" spans="1:12" ht="12.75">
      <c r="A82" s="993"/>
      <c r="B82" s="491"/>
      <c r="C82" s="1024"/>
      <c r="D82" s="1024"/>
      <c r="E82" s="1024"/>
      <c r="F82" s="1024"/>
      <c r="G82" s="1024"/>
      <c r="H82" s="1024"/>
      <c r="I82" s="1024"/>
      <c r="J82" s="1024"/>
      <c r="K82" s="1024"/>
      <c r="L82" s="1024"/>
    </row>
    <row r="83" spans="1:12" ht="12.75">
      <c r="A83" s="993"/>
      <c r="B83" s="491"/>
      <c r="C83" s="1024"/>
      <c r="D83" s="1024"/>
      <c r="E83" s="1024"/>
      <c r="F83" s="1024"/>
      <c r="G83" s="1024"/>
      <c r="H83" s="1024"/>
      <c r="I83" s="1024"/>
      <c r="J83" s="1024"/>
      <c r="K83" s="1024"/>
      <c r="L83" s="1024"/>
    </row>
    <row r="84" spans="1:12" ht="12.75">
      <c r="A84" s="993"/>
      <c r="B84" s="491"/>
      <c r="C84" s="1024"/>
      <c r="D84" s="1024"/>
      <c r="E84" s="1024"/>
      <c r="F84" s="1024"/>
      <c r="G84" s="1024"/>
      <c r="H84" s="1024"/>
      <c r="I84" s="1024"/>
      <c r="J84" s="1024"/>
      <c r="K84" s="1024"/>
      <c r="L84" s="1024"/>
    </row>
    <row r="85" spans="1:12" ht="12.75">
      <c r="A85" s="993"/>
      <c r="B85" s="491"/>
      <c r="C85" s="1024"/>
      <c r="D85" s="1024"/>
      <c r="E85" s="1024"/>
      <c r="F85" s="1024"/>
      <c r="G85" s="1024"/>
      <c r="H85" s="1024"/>
      <c r="I85" s="1024"/>
      <c r="J85" s="1024"/>
      <c r="K85" s="1024"/>
      <c r="L85" s="1024"/>
    </row>
    <row r="86" spans="1:12" ht="12.75">
      <c r="A86" s="993"/>
      <c r="B86" s="491"/>
      <c r="C86" s="1024"/>
      <c r="D86" s="1024"/>
      <c r="E86" s="1024"/>
      <c r="F86" s="1024"/>
      <c r="G86" s="1024"/>
      <c r="H86" s="1024"/>
      <c r="I86" s="1024"/>
      <c r="J86" s="1024"/>
      <c r="K86" s="1024"/>
      <c r="L86" s="1024"/>
    </row>
    <row r="87" spans="1:12" ht="12.75">
      <c r="A87" s="993"/>
      <c r="B87" s="491"/>
      <c r="C87" s="1024"/>
      <c r="D87" s="1024"/>
      <c r="E87" s="1024"/>
      <c r="F87" s="1024"/>
      <c r="G87" s="1024"/>
      <c r="H87" s="1024"/>
      <c r="I87" s="1024"/>
      <c r="J87" s="1024"/>
      <c r="K87" s="1024"/>
      <c r="L87" s="1024"/>
    </row>
    <row r="88" spans="1:12" ht="12.75">
      <c r="A88" s="993"/>
      <c r="B88" s="491"/>
      <c r="C88" s="1024"/>
      <c r="D88" s="1024"/>
      <c r="E88" s="1024"/>
      <c r="F88" s="1024"/>
      <c r="G88" s="1024"/>
      <c r="H88" s="1024"/>
      <c r="I88" s="1024"/>
      <c r="J88" s="1024"/>
      <c r="K88" s="1024"/>
      <c r="L88" s="1024"/>
    </row>
    <row r="89" spans="1:12" ht="12.75">
      <c r="A89" s="993"/>
      <c r="B89" s="491"/>
      <c r="C89" s="1024"/>
      <c r="D89" s="1024"/>
      <c r="E89" s="1024"/>
      <c r="F89" s="1024"/>
      <c r="G89" s="1024"/>
      <c r="H89" s="1024"/>
      <c r="I89" s="1024"/>
      <c r="J89" s="1024"/>
      <c r="K89" s="1024"/>
      <c r="L89" s="1024"/>
    </row>
    <row r="90" spans="1:12" ht="12.75">
      <c r="A90" s="993"/>
      <c r="B90" s="491"/>
      <c r="C90" s="1024"/>
      <c r="D90" s="1024"/>
      <c r="E90" s="1024"/>
      <c r="F90" s="1024"/>
      <c r="G90" s="1024"/>
      <c r="H90" s="1024"/>
      <c r="I90" s="1024"/>
      <c r="J90" s="1024"/>
      <c r="K90" s="1024"/>
      <c r="L90" s="1024"/>
    </row>
    <row r="91" spans="1:12" ht="12.75">
      <c r="A91" s="993"/>
      <c r="B91" s="491"/>
      <c r="C91" s="1024"/>
      <c r="D91" s="1024"/>
      <c r="E91" s="1024"/>
      <c r="F91" s="1024"/>
      <c r="G91" s="1024"/>
      <c r="H91" s="1024"/>
      <c r="I91" s="1024"/>
      <c r="J91" s="1024"/>
      <c r="K91" s="1024"/>
      <c r="L91" s="1024"/>
    </row>
  </sheetData>
  <sheetProtection/>
  <dataValidations count="1">
    <dataValidation allowBlank="1" showInputMessage="1" showErrorMessage="1" prompt="You may change any of the job titles." sqref="A2"/>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U251"/>
  <sheetViews>
    <sheetView zoomScale="85" zoomScaleNormal="85" zoomScalePageLayoutView="0" workbookViewId="0" topLeftCell="A1">
      <selection activeCell="A1" sqref="A1:B1"/>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79" t="str">
        <f>'Budget with Assumptions'!$A$2</f>
        <v>Connected Futures Academy- Campus 5</v>
      </c>
      <c r="B1" s="1080"/>
      <c r="C1" s="93"/>
      <c r="D1" s="93"/>
      <c r="E1" s="93"/>
      <c r="F1" s="93"/>
      <c r="G1" s="92"/>
      <c r="H1" s="92"/>
      <c r="I1" s="92"/>
      <c r="J1" s="92"/>
      <c r="K1" s="73"/>
      <c r="L1" s="73"/>
      <c r="M1" s="73"/>
      <c r="N1" s="73"/>
      <c r="O1" s="73"/>
    </row>
    <row r="2" spans="1:15" ht="19.5" customHeight="1">
      <c r="A2" s="412"/>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74" t="s">
        <v>62</v>
      </c>
      <c r="C4" s="1075"/>
      <c r="D4" s="1075"/>
      <c r="E4" s="1075"/>
      <c r="F4" s="1075"/>
      <c r="G4" s="1075"/>
      <c r="H4" s="1075"/>
      <c r="I4" s="1075"/>
      <c r="J4" s="1075"/>
      <c r="K4" s="1075"/>
      <c r="L4" s="1075"/>
      <c r="M4" s="1075"/>
      <c r="N4" s="1075"/>
      <c r="O4" s="1076"/>
    </row>
    <row r="5" spans="1:15" ht="32.25" customHeight="1" thickBot="1">
      <c r="A5" s="470"/>
      <c r="B5" s="297"/>
      <c r="C5" s="298"/>
      <c r="D5" s="1074" t="s">
        <v>193</v>
      </c>
      <c r="E5" s="1075"/>
      <c r="F5" s="1075"/>
      <c r="G5" s="1075"/>
      <c r="H5" s="1075"/>
      <c r="I5" s="1075"/>
      <c r="J5" s="1075"/>
      <c r="K5" s="1075"/>
      <c r="L5" s="1075"/>
      <c r="M5" s="1075"/>
      <c r="N5" s="1075"/>
      <c r="O5" s="1076"/>
    </row>
    <row r="6" spans="1:15" ht="40.5" customHeight="1" thickBot="1">
      <c r="A6" s="410" t="s">
        <v>80</v>
      </c>
      <c r="B6" s="876"/>
      <c r="C6" s="877"/>
      <c r="D6" s="878"/>
      <c r="E6" s="879" t="s">
        <v>192</v>
      </c>
      <c r="F6" s="880"/>
      <c r="G6" s="411">
        <f>'Budget with Assumptions'!L9</f>
        <v>2016</v>
      </c>
      <c r="H6" s="411"/>
      <c r="I6" s="411">
        <f>'Budget with Assumptions'!N9</f>
        <v>2017</v>
      </c>
      <c r="J6" s="411"/>
      <c r="K6" s="411">
        <f>'Budget with Assumptions'!P9</f>
        <v>2018</v>
      </c>
      <c r="L6" s="411"/>
      <c r="M6" s="411">
        <f>'Budget with Assumptions'!R9</f>
        <v>2019</v>
      </c>
      <c r="N6" s="411"/>
      <c r="O6" s="411">
        <f>'Budget with Assumptions'!T9</f>
        <v>2020</v>
      </c>
    </row>
    <row r="7" spans="1:15" ht="12.75">
      <c r="A7" s="119" t="s">
        <v>68</v>
      </c>
      <c r="B7" s="849" t="s">
        <v>229</v>
      </c>
      <c r="C7" s="881"/>
      <c r="D7" s="882"/>
      <c r="E7" s="471">
        <v>0</v>
      </c>
      <c r="F7" s="144"/>
      <c r="G7" s="111">
        <v>3</v>
      </c>
      <c r="H7" s="111"/>
      <c r="I7" s="111">
        <v>3.5</v>
      </c>
      <c r="J7" s="111"/>
      <c r="K7" s="111">
        <v>4</v>
      </c>
      <c r="L7" s="111"/>
      <c r="M7" s="111">
        <v>4</v>
      </c>
      <c r="N7" s="111"/>
      <c r="O7" s="111">
        <v>4</v>
      </c>
    </row>
    <row r="8" spans="1:15" ht="12.75">
      <c r="A8" s="516" t="s">
        <v>69</v>
      </c>
      <c r="B8" s="849" t="s">
        <v>229</v>
      </c>
      <c r="C8" s="881"/>
      <c r="D8" s="122"/>
      <c r="E8" s="471">
        <v>0</v>
      </c>
      <c r="F8" s="121"/>
      <c r="G8" s="121">
        <v>2</v>
      </c>
      <c r="H8" s="121"/>
      <c r="I8" s="121">
        <v>2</v>
      </c>
      <c r="J8" s="121"/>
      <c r="K8" s="121">
        <v>2</v>
      </c>
      <c r="L8" s="121"/>
      <c r="M8" s="121">
        <v>2</v>
      </c>
      <c r="N8" s="121"/>
      <c r="O8" s="121">
        <v>2</v>
      </c>
    </row>
    <row r="9" spans="1:15" ht="12.75">
      <c r="A9" s="516" t="s">
        <v>70</v>
      </c>
      <c r="B9" s="849" t="s">
        <v>229</v>
      </c>
      <c r="C9" s="112"/>
      <c r="D9" s="122"/>
      <c r="E9" s="471">
        <v>0</v>
      </c>
      <c r="F9" s="122"/>
      <c r="G9" s="121"/>
      <c r="H9" s="121"/>
      <c r="I9" s="121"/>
      <c r="J9" s="121"/>
      <c r="K9" s="121"/>
      <c r="L9" s="121"/>
      <c r="M9" s="121"/>
      <c r="N9" s="121"/>
      <c r="O9" s="121"/>
    </row>
    <row r="10" spans="1:15" ht="12.75">
      <c r="A10" s="516" t="s">
        <v>71</v>
      </c>
      <c r="B10" s="849" t="s">
        <v>229</v>
      </c>
      <c r="C10" s="881"/>
      <c r="D10" s="122"/>
      <c r="E10" s="471">
        <v>0</v>
      </c>
      <c r="F10" s="121"/>
      <c r="G10" s="121">
        <v>0.1</v>
      </c>
      <c r="H10" s="121"/>
      <c r="I10" s="121">
        <v>0.1</v>
      </c>
      <c r="J10" s="121"/>
      <c r="K10" s="121">
        <v>0.1</v>
      </c>
      <c r="L10" s="121"/>
      <c r="M10" s="121">
        <v>0.1</v>
      </c>
      <c r="N10" s="121"/>
      <c r="O10" s="121">
        <v>0.1</v>
      </c>
    </row>
    <row r="11" spans="1:15" ht="12.75">
      <c r="A11" s="516" t="s">
        <v>72</v>
      </c>
      <c r="B11" s="849" t="s">
        <v>229</v>
      </c>
      <c r="C11" s="881"/>
      <c r="D11" s="122"/>
      <c r="E11" s="471">
        <v>0</v>
      </c>
      <c r="F11" s="121"/>
      <c r="G11" s="121">
        <v>0.1</v>
      </c>
      <c r="H11" s="121"/>
      <c r="I11" s="121">
        <v>0.1</v>
      </c>
      <c r="J11" s="121"/>
      <c r="K11" s="121">
        <v>0.1</v>
      </c>
      <c r="L11" s="121"/>
      <c r="M11" s="121">
        <v>0.1</v>
      </c>
      <c r="N11" s="121"/>
      <c r="O11" s="121">
        <v>0.1</v>
      </c>
    </row>
    <row r="12" spans="1:21" ht="12.75">
      <c r="A12" s="516" t="s">
        <v>73</v>
      </c>
      <c r="B12" s="849" t="s">
        <v>229</v>
      </c>
      <c r="C12" s="881"/>
      <c r="D12" s="122"/>
      <c r="E12" s="471">
        <v>0</v>
      </c>
      <c r="F12" s="121"/>
      <c r="G12" s="121">
        <v>0.1</v>
      </c>
      <c r="H12" s="121"/>
      <c r="I12" s="121">
        <v>0.1</v>
      </c>
      <c r="J12" s="121"/>
      <c r="K12" s="121">
        <v>0.1</v>
      </c>
      <c r="L12" s="121"/>
      <c r="M12" s="121">
        <v>0.1</v>
      </c>
      <c r="N12" s="121"/>
      <c r="O12" s="121">
        <v>0.1</v>
      </c>
      <c r="P12"/>
      <c r="Q12"/>
      <c r="R12"/>
      <c r="S12"/>
      <c r="T12"/>
      <c r="U12"/>
    </row>
    <row r="13" spans="1:21" ht="12.75">
      <c r="A13" s="516" t="s">
        <v>74</v>
      </c>
      <c r="B13" s="849" t="s">
        <v>229</v>
      </c>
      <c r="C13" s="881"/>
      <c r="D13" s="122"/>
      <c r="E13" s="471">
        <v>0</v>
      </c>
      <c r="F13" s="121"/>
      <c r="G13" s="121">
        <v>0</v>
      </c>
      <c r="H13" s="121"/>
      <c r="I13" s="121">
        <v>0</v>
      </c>
      <c r="J13" s="121"/>
      <c r="K13" s="121">
        <v>0</v>
      </c>
      <c r="L13" s="121"/>
      <c r="M13" s="121">
        <v>0</v>
      </c>
      <c r="N13" s="121"/>
      <c r="O13" s="121">
        <v>0</v>
      </c>
      <c r="P13"/>
      <c r="Q13"/>
      <c r="R13"/>
      <c r="S13"/>
      <c r="T13"/>
      <c r="U13"/>
    </row>
    <row r="14" spans="1:21" ht="12.75">
      <c r="A14" s="516" t="s">
        <v>75</v>
      </c>
      <c r="B14" s="849" t="s">
        <v>229</v>
      </c>
      <c r="C14" s="881"/>
      <c r="D14" s="122"/>
      <c r="E14" s="471">
        <v>0</v>
      </c>
      <c r="F14" s="121"/>
      <c r="G14" s="121">
        <v>0</v>
      </c>
      <c r="H14" s="121"/>
      <c r="I14" s="121">
        <v>0</v>
      </c>
      <c r="J14" s="121"/>
      <c r="K14" s="121">
        <v>0</v>
      </c>
      <c r="L14" s="121"/>
      <c r="M14" s="121">
        <v>0</v>
      </c>
      <c r="N14" s="121"/>
      <c r="O14" s="121">
        <v>0</v>
      </c>
      <c r="P14"/>
      <c r="Q14"/>
      <c r="R14"/>
      <c r="S14"/>
      <c r="T14"/>
      <c r="U14"/>
    </row>
    <row r="15" spans="1:21" ht="12.75">
      <c r="A15" s="516" t="s">
        <v>76</v>
      </c>
      <c r="B15" s="849" t="s">
        <v>229</v>
      </c>
      <c r="C15" s="881"/>
      <c r="D15" s="122"/>
      <c r="E15" s="471">
        <v>0</v>
      </c>
      <c r="F15" s="121"/>
      <c r="G15" s="121">
        <v>0.1</v>
      </c>
      <c r="H15" s="121"/>
      <c r="I15" s="121">
        <v>0.1</v>
      </c>
      <c r="J15" s="121"/>
      <c r="K15" s="121">
        <v>0.1</v>
      </c>
      <c r="L15" s="121"/>
      <c r="M15" s="121">
        <v>0.1</v>
      </c>
      <c r="N15" s="121"/>
      <c r="O15" s="121">
        <v>0.1</v>
      </c>
      <c r="P15"/>
      <c r="Q15"/>
      <c r="R15"/>
      <c r="S15"/>
      <c r="T15"/>
      <c r="U15"/>
    </row>
    <row r="16" spans="1:21" ht="12.75">
      <c r="A16" s="120" t="s">
        <v>696</v>
      </c>
      <c r="B16" s="849" t="s">
        <v>229</v>
      </c>
      <c r="C16" s="881"/>
      <c r="D16" s="122"/>
      <c r="E16" s="471">
        <v>0</v>
      </c>
      <c r="F16" s="121"/>
      <c r="G16" s="121">
        <v>1</v>
      </c>
      <c r="H16" s="121"/>
      <c r="I16" s="121">
        <v>1</v>
      </c>
      <c r="J16" s="121"/>
      <c r="K16" s="121">
        <v>1</v>
      </c>
      <c r="L16" s="121"/>
      <c r="M16" s="121">
        <v>1</v>
      </c>
      <c r="N16" s="121"/>
      <c r="O16" s="121">
        <v>1</v>
      </c>
      <c r="P16"/>
      <c r="Q16"/>
      <c r="R16"/>
      <c r="S16"/>
      <c r="T16"/>
      <c r="U16"/>
    </row>
    <row r="17" spans="1:21" ht="12.75">
      <c r="A17" s="120" t="s">
        <v>77</v>
      </c>
      <c r="B17" s="849" t="s">
        <v>229</v>
      </c>
      <c r="C17" s="881"/>
      <c r="D17" s="122"/>
      <c r="E17" s="471">
        <v>0</v>
      </c>
      <c r="F17" s="121"/>
      <c r="G17" s="121">
        <v>0</v>
      </c>
      <c r="H17" s="121"/>
      <c r="I17" s="121">
        <v>0</v>
      </c>
      <c r="J17" s="121"/>
      <c r="K17" s="121">
        <v>0</v>
      </c>
      <c r="L17" s="121"/>
      <c r="M17" s="121">
        <v>0</v>
      </c>
      <c r="N17" s="121"/>
      <c r="O17" s="121">
        <v>0</v>
      </c>
      <c r="P17"/>
      <c r="Q17"/>
      <c r="R17"/>
      <c r="S17"/>
      <c r="T17"/>
      <c r="U17"/>
    </row>
    <row r="18" spans="1:21" ht="12.75">
      <c r="A18" s="120" t="s">
        <v>78</v>
      </c>
      <c r="B18" s="849" t="s">
        <v>229</v>
      </c>
      <c r="C18" s="881"/>
      <c r="D18" s="122"/>
      <c r="E18" s="471">
        <v>0</v>
      </c>
      <c r="F18" s="121"/>
      <c r="G18" s="121"/>
      <c r="H18" s="121"/>
      <c r="I18" s="121"/>
      <c r="J18" s="121"/>
      <c r="K18" s="121"/>
      <c r="L18" s="121"/>
      <c r="M18" s="121"/>
      <c r="N18" s="121"/>
      <c r="O18" s="121"/>
      <c r="P18"/>
      <c r="Q18"/>
      <c r="R18"/>
      <c r="S18"/>
      <c r="T18"/>
      <c r="U18"/>
    </row>
    <row r="19" spans="1:21" ht="12.75">
      <c r="A19" s="119" t="s">
        <v>79</v>
      </c>
      <c r="B19" s="849" t="s">
        <v>229</v>
      </c>
      <c r="C19" s="881"/>
      <c r="D19" s="122"/>
      <c r="E19" s="471">
        <v>0</v>
      </c>
      <c r="F19" s="121"/>
      <c r="G19" s="121">
        <v>0</v>
      </c>
      <c r="H19" s="121"/>
      <c r="I19" s="121">
        <v>0</v>
      </c>
      <c r="J19" s="121"/>
      <c r="K19" s="121">
        <v>0</v>
      </c>
      <c r="L19" s="121"/>
      <c r="M19" s="121">
        <v>0</v>
      </c>
      <c r="N19" s="121"/>
      <c r="O19" s="121">
        <v>0</v>
      </c>
      <c r="P19"/>
      <c r="Q19"/>
      <c r="R19"/>
      <c r="S19"/>
      <c r="T19"/>
      <c r="U19"/>
    </row>
    <row r="20" spans="1:21" ht="12.75">
      <c r="A20" s="120" t="s">
        <v>33</v>
      </c>
      <c r="B20" s="849" t="s">
        <v>229</v>
      </c>
      <c r="C20" s="881"/>
      <c r="D20" s="122"/>
      <c r="E20" s="471">
        <v>0</v>
      </c>
      <c r="F20" s="121"/>
      <c r="G20" s="121">
        <v>0</v>
      </c>
      <c r="H20" s="121"/>
      <c r="I20" s="121">
        <v>0</v>
      </c>
      <c r="J20" s="121"/>
      <c r="K20" s="121">
        <v>0</v>
      </c>
      <c r="L20" s="121"/>
      <c r="M20" s="121">
        <v>0</v>
      </c>
      <c r="N20" s="121"/>
      <c r="O20" s="121">
        <v>0</v>
      </c>
      <c r="P20"/>
      <c r="Q20"/>
      <c r="R20"/>
      <c r="S20"/>
      <c r="T20"/>
      <c r="U20"/>
    </row>
    <row r="21" spans="1:21" ht="12.75">
      <c r="A21" s="119" t="s">
        <v>34</v>
      </c>
      <c r="B21" s="849" t="s">
        <v>229</v>
      </c>
      <c r="C21" s="112"/>
      <c r="D21" s="122"/>
      <c r="E21" s="471">
        <v>0</v>
      </c>
      <c r="F21" s="122"/>
      <c r="G21" s="121"/>
      <c r="H21" s="121"/>
      <c r="I21" s="121"/>
      <c r="J21" s="121"/>
      <c r="K21" s="121"/>
      <c r="L21" s="121"/>
      <c r="M21" s="121"/>
      <c r="N21" s="121"/>
      <c r="O21" s="121"/>
      <c r="P21"/>
      <c r="Q21"/>
      <c r="R21"/>
      <c r="S21"/>
      <c r="T21"/>
      <c r="U21"/>
    </row>
    <row r="22" spans="1:21" ht="12.75">
      <c r="A22" s="136" t="s">
        <v>291</v>
      </c>
      <c r="B22" s="849" t="s">
        <v>229</v>
      </c>
      <c r="C22" s="112"/>
      <c r="D22" s="122"/>
      <c r="E22" s="471">
        <v>0</v>
      </c>
      <c r="F22" s="122"/>
      <c r="G22" s="121"/>
      <c r="H22" s="121"/>
      <c r="I22" s="121"/>
      <c r="J22" s="121"/>
      <c r="K22" s="121"/>
      <c r="L22" s="121"/>
      <c r="M22" s="121"/>
      <c r="N22" s="121"/>
      <c r="O22" s="121"/>
      <c r="P22"/>
      <c r="Q22"/>
      <c r="R22"/>
      <c r="S22"/>
      <c r="T22"/>
      <c r="U22"/>
    </row>
    <row r="23" spans="1:21" ht="12.75">
      <c r="A23" s="119" t="s">
        <v>285</v>
      </c>
      <c r="B23" s="849" t="s">
        <v>229</v>
      </c>
      <c r="C23" s="112"/>
      <c r="D23" s="122"/>
      <c r="E23" s="471">
        <v>0</v>
      </c>
      <c r="F23" s="122"/>
      <c r="G23" s="121"/>
      <c r="H23" s="121"/>
      <c r="I23" s="121"/>
      <c r="J23" s="121"/>
      <c r="K23" s="121"/>
      <c r="L23" s="121"/>
      <c r="M23" s="121"/>
      <c r="N23" s="121"/>
      <c r="O23" s="121"/>
      <c r="P23"/>
      <c r="Q23"/>
      <c r="R23"/>
      <c r="S23"/>
      <c r="T23"/>
      <c r="U23"/>
    </row>
    <row r="24" spans="1:21" ht="12.75">
      <c r="A24" s="119" t="s">
        <v>286</v>
      </c>
      <c r="B24" s="849" t="s">
        <v>229</v>
      </c>
      <c r="C24" s="112"/>
      <c r="D24" s="122"/>
      <c r="E24" s="471">
        <v>0</v>
      </c>
      <c r="F24" s="122"/>
      <c r="G24" s="121"/>
      <c r="H24" s="121"/>
      <c r="I24" s="121"/>
      <c r="J24" s="121"/>
      <c r="K24" s="121"/>
      <c r="L24" s="121"/>
      <c r="M24" s="121"/>
      <c r="N24" s="121"/>
      <c r="O24" s="121"/>
      <c r="P24"/>
      <c r="Q24"/>
      <c r="R24"/>
      <c r="S24"/>
      <c r="T24"/>
      <c r="U24"/>
    </row>
    <row r="25" spans="1:21" ht="12.75">
      <c r="A25" s="119" t="s">
        <v>292</v>
      </c>
      <c r="B25" s="849" t="s">
        <v>229</v>
      </c>
      <c r="C25" s="112"/>
      <c r="D25" s="122"/>
      <c r="E25" s="471">
        <v>0</v>
      </c>
      <c r="F25" s="122"/>
      <c r="G25" s="121"/>
      <c r="H25" s="121"/>
      <c r="I25" s="121"/>
      <c r="J25" s="121"/>
      <c r="K25" s="121"/>
      <c r="L25" s="121"/>
      <c r="M25" s="121"/>
      <c r="N25" s="121"/>
      <c r="O25" s="121"/>
      <c r="P25"/>
      <c r="Q25"/>
      <c r="R25"/>
      <c r="S25"/>
      <c r="T25"/>
      <c r="U25"/>
    </row>
    <row r="26" spans="1:21" ht="12.75">
      <c r="A26" s="119" t="s">
        <v>287</v>
      </c>
      <c r="B26" s="849" t="s">
        <v>229</v>
      </c>
      <c r="C26" s="112"/>
      <c r="D26" s="122"/>
      <c r="E26" s="471">
        <v>0</v>
      </c>
      <c r="F26" s="122"/>
      <c r="G26" s="121"/>
      <c r="H26" s="121"/>
      <c r="I26" s="121"/>
      <c r="J26" s="121"/>
      <c r="K26" s="121"/>
      <c r="L26" s="121"/>
      <c r="M26" s="121"/>
      <c r="N26" s="121"/>
      <c r="O26" s="121"/>
      <c r="P26"/>
      <c r="Q26"/>
      <c r="R26"/>
      <c r="S26"/>
      <c r="T26"/>
      <c r="U26"/>
    </row>
    <row r="27" spans="1:21" ht="12.75">
      <c r="A27" s="119" t="s">
        <v>288</v>
      </c>
      <c r="B27" s="849" t="s">
        <v>229</v>
      </c>
      <c r="C27" s="112"/>
      <c r="D27" s="122"/>
      <c r="E27" s="471">
        <v>0</v>
      </c>
      <c r="F27" s="122"/>
      <c r="G27" s="121"/>
      <c r="H27" s="121"/>
      <c r="I27" s="121"/>
      <c r="J27" s="121"/>
      <c r="K27" s="121"/>
      <c r="L27" s="121"/>
      <c r="M27" s="121"/>
      <c r="N27" s="121"/>
      <c r="O27" s="121"/>
      <c r="P27"/>
      <c r="Q27"/>
      <c r="R27"/>
      <c r="S27"/>
      <c r="T27"/>
      <c r="U27"/>
    </row>
    <row r="28" spans="1:21" ht="12.75">
      <c r="A28" s="120" t="s">
        <v>289</v>
      </c>
      <c r="B28" s="849" t="s">
        <v>229</v>
      </c>
      <c r="C28" s="881"/>
      <c r="D28" s="122"/>
      <c r="E28" s="471">
        <v>0</v>
      </c>
      <c r="F28" s="121"/>
      <c r="G28" s="121"/>
      <c r="H28" s="121"/>
      <c r="I28" s="121"/>
      <c r="J28" s="121"/>
      <c r="K28" s="121"/>
      <c r="L28" s="121"/>
      <c r="M28" s="121"/>
      <c r="N28" s="121"/>
      <c r="O28" s="121"/>
      <c r="P28"/>
      <c r="Q28"/>
      <c r="R28"/>
      <c r="S28"/>
      <c r="T28"/>
      <c r="U28"/>
    </row>
    <row r="29" spans="1:21" ht="13.5" thickBot="1">
      <c r="A29" s="120" t="s">
        <v>290</v>
      </c>
      <c r="B29" s="849" t="s">
        <v>229</v>
      </c>
      <c r="C29" s="883"/>
      <c r="D29" s="884"/>
      <c r="E29" s="471">
        <v>0</v>
      </c>
      <c r="F29" s="150"/>
      <c r="G29" s="151"/>
      <c r="H29" s="151"/>
      <c r="I29" s="121"/>
      <c r="J29" s="151"/>
      <c r="K29" s="121"/>
      <c r="L29" s="151"/>
      <c r="M29" s="121"/>
      <c r="N29" s="151"/>
      <c r="O29" s="121"/>
      <c r="P29"/>
      <c r="Q29"/>
      <c r="R29"/>
      <c r="S29"/>
      <c r="T29"/>
      <c r="U29"/>
    </row>
    <row r="30" spans="1:21" ht="40.5" customHeight="1" thickBot="1">
      <c r="A30" s="410" t="s">
        <v>85</v>
      </c>
      <c r="B30" s="418"/>
      <c r="C30" s="542"/>
      <c r="D30" s="542"/>
      <c r="E30" s="542"/>
      <c r="F30" s="542"/>
      <c r="G30" s="542"/>
      <c r="H30" s="542"/>
      <c r="I30" s="542"/>
      <c r="J30" s="542"/>
      <c r="K30" s="542"/>
      <c r="L30" s="542"/>
      <c r="M30" s="542"/>
      <c r="N30" s="542"/>
      <c r="O30" s="543"/>
      <c r="P30"/>
      <c r="Q30"/>
      <c r="R30"/>
      <c r="S30"/>
      <c r="T30"/>
      <c r="U30"/>
    </row>
    <row r="31" spans="1:21" ht="12.75">
      <c r="A31" s="137" t="s">
        <v>51</v>
      </c>
      <c r="B31" s="849" t="s">
        <v>229</v>
      </c>
      <c r="C31" s="152"/>
      <c r="D31" s="144"/>
      <c r="E31" s="144">
        <v>0</v>
      </c>
      <c r="F31" s="144"/>
      <c r="G31" s="144">
        <v>0</v>
      </c>
      <c r="H31" s="144"/>
      <c r="I31" s="144">
        <v>0</v>
      </c>
      <c r="J31" s="144"/>
      <c r="K31" s="144">
        <v>0</v>
      </c>
      <c r="L31" s="144"/>
      <c r="M31" s="144">
        <v>0</v>
      </c>
      <c r="N31" s="144"/>
      <c r="O31" s="144">
        <v>0</v>
      </c>
      <c r="P31"/>
      <c r="Q31"/>
      <c r="R31"/>
      <c r="S31"/>
      <c r="T31"/>
      <c r="U31"/>
    </row>
    <row r="32" spans="1:21" ht="12.75">
      <c r="A32" s="517" t="s">
        <v>81</v>
      </c>
      <c r="B32" s="849" t="s">
        <v>229</v>
      </c>
      <c r="C32" s="77"/>
      <c r="D32" s="111"/>
      <c r="E32" s="144">
        <v>0</v>
      </c>
      <c r="F32" s="111"/>
      <c r="G32" s="111">
        <v>0</v>
      </c>
      <c r="H32" s="111"/>
      <c r="I32" s="111">
        <v>0</v>
      </c>
      <c r="J32" s="111"/>
      <c r="K32" s="111">
        <v>0</v>
      </c>
      <c r="L32" s="111"/>
      <c r="M32" s="111">
        <v>0</v>
      </c>
      <c r="N32" s="111"/>
      <c r="O32" s="111">
        <v>0</v>
      </c>
      <c r="P32"/>
      <c r="Q32"/>
      <c r="R32"/>
      <c r="S32"/>
      <c r="T32"/>
      <c r="U32"/>
    </row>
    <row r="33" spans="1:21" ht="12.75">
      <c r="A33" s="517" t="s">
        <v>82</v>
      </c>
      <c r="B33" s="849" t="s">
        <v>229</v>
      </c>
      <c r="C33" s="77"/>
      <c r="D33" s="111"/>
      <c r="E33" s="144">
        <v>0</v>
      </c>
      <c r="F33" s="111"/>
      <c r="G33" s="111">
        <v>0</v>
      </c>
      <c r="H33" s="111"/>
      <c r="I33" s="111">
        <v>0</v>
      </c>
      <c r="J33" s="111"/>
      <c r="K33" s="111">
        <v>0</v>
      </c>
      <c r="L33" s="111"/>
      <c r="M33" s="111">
        <v>0</v>
      </c>
      <c r="N33" s="111"/>
      <c r="O33" s="111">
        <v>0</v>
      </c>
      <c r="P33"/>
      <c r="Q33"/>
      <c r="R33"/>
      <c r="S33"/>
      <c r="T33"/>
      <c r="U33"/>
    </row>
    <row r="34" spans="1:21" ht="12.75">
      <c r="A34" s="517" t="s">
        <v>71</v>
      </c>
      <c r="B34" s="849" t="s">
        <v>229</v>
      </c>
      <c r="C34" s="77"/>
      <c r="D34" s="111"/>
      <c r="E34" s="144">
        <v>0</v>
      </c>
      <c r="F34" s="111"/>
      <c r="G34" s="111">
        <v>0</v>
      </c>
      <c r="H34" s="111"/>
      <c r="I34" s="111">
        <v>0</v>
      </c>
      <c r="J34" s="111"/>
      <c r="K34" s="111">
        <v>0</v>
      </c>
      <c r="L34" s="111"/>
      <c r="M34" s="111">
        <v>0</v>
      </c>
      <c r="N34" s="111"/>
      <c r="O34" s="111">
        <v>0</v>
      </c>
      <c r="P34"/>
      <c r="Q34"/>
      <c r="R34"/>
      <c r="S34"/>
      <c r="T34"/>
      <c r="U34"/>
    </row>
    <row r="35" spans="1:21" ht="12.75">
      <c r="A35" s="517" t="s">
        <v>72</v>
      </c>
      <c r="B35" s="849" t="s">
        <v>229</v>
      </c>
      <c r="C35" s="77"/>
      <c r="D35" s="111"/>
      <c r="E35" s="144">
        <v>0</v>
      </c>
      <c r="F35" s="111"/>
      <c r="G35" s="111">
        <v>0</v>
      </c>
      <c r="H35" s="111"/>
      <c r="I35" s="111">
        <v>0</v>
      </c>
      <c r="J35" s="111"/>
      <c r="K35" s="111">
        <v>0</v>
      </c>
      <c r="L35" s="111"/>
      <c r="M35" s="111">
        <v>0</v>
      </c>
      <c r="N35" s="111"/>
      <c r="O35" s="111">
        <v>0</v>
      </c>
      <c r="P35"/>
      <c r="Q35"/>
      <c r="R35"/>
      <c r="S35"/>
      <c r="T35"/>
      <c r="U35"/>
    </row>
    <row r="36" spans="1:21" ht="12.75">
      <c r="A36" s="517" t="s">
        <v>73</v>
      </c>
      <c r="B36" s="849" t="s">
        <v>229</v>
      </c>
      <c r="C36" s="77"/>
      <c r="D36" s="111"/>
      <c r="E36" s="144">
        <v>0</v>
      </c>
      <c r="F36" s="111"/>
      <c r="G36" s="111">
        <v>0</v>
      </c>
      <c r="H36" s="111"/>
      <c r="I36" s="111">
        <v>0</v>
      </c>
      <c r="J36" s="111"/>
      <c r="K36" s="111">
        <v>0</v>
      </c>
      <c r="L36" s="111"/>
      <c r="M36" s="111">
        <v>0</v>
      </c>
      <c r="N36" s="111"/>
      <c r="O36" s="111">
        <v>0</v>
      </c>
      <c r="P36"/>
      <c r="Q36"/>
      <c r="R36"/>
      <c r="S36"/>
      <c r="T36"/>
      <c r="U36"/>
    </row>
    <row r="37" spans="1:21" ht="12.75">
      <c r="A37" s="517" t="s">
        <v>74</v>
      </c>
      <c r="B37" s="849" t="s">
        <v>229</v>
      </c>
      <c r="C37" s="77"/>
      <c r="D37" s="111"/>
      <c r="E37" s="144">
        <v>0</v>
      </c>
      <c r="F37" s="111"/>
      <c r="G37" s="111">
        <v>0</v>
      </c>
      <c r="H37" s="111"/>
      <c r="I37" s="111">
        <v>0</v>
      </c>
      <c r="J37" s="111"/>
      <c r="K37" s="111">
        <v>0</v>
      </c>
      <c r="L37" s="111"/>
      <c r="M37" s="111">
        <v>0</v>
      </c>
      <c r="N37" s="111"/>
      <c r="O37" s="111">
        <v>0</v>
      </c>
      <c r="P37"/>
      <c r="Q37"/>
      <c r="R37"/>
      <c r="S37"/>
      <c r="T37"/>
      <c r="U37"/>
    </row>
    <row r="38" spans="1:21" ht="12.75">
      <c r="A38" s="517" t="s">
        <v>75</v>
      </c>
      <c r="B38" s="849" t="s">
        <v>229</v>
      </c>
      <c r="C38" s="77"/>
      <c r="D38" s="111"/>
      <c r="E38" s="144">
        <v>0</v>
      </c>
      <c r="F38" s="111"/>
      <c r="G38" s="111">
        <v>0</v>
      </c>
      <c r="H38" s="111"/>
      <c r="I38" s="111">
        <v>0</v>
      </c>
      <c r="J38" s="111"/>
      <c r="K38" s="111">
        <v>0</v>
      </c>
      <c r="L38" s="111"/>
      <c r="M38" s="111">
        <v>0</v>
      </c>
      <c r="N38" s="111"/>
      <c r="O38" s="111">
        <v>0</v>
      </c>
      <c r="P38"/>
      <c r="Q38"/>
      <c r="R38"/>
      <c r="S38"/>
      <c r="T38"/>
      <c r="U38"/>
    </row>
    <row r="39" spans="1:21" ht="12.75">
      <c r="A39" s="517" t="s">
        <v>76</v>
      </c>
      <c r="B39" s="849" t="s">
        <v>229</v>
      </c>
      <c r="C39" s="77"/>
      <c r="D39" s="111"/>
      <c r="E39" s="144">
        <v>0</v>
      </c>
      <c r="F39" s="111"/>
      <c r="G39" s="111">
        <v>0</v>
      </c>
      <c r="H39" s="111"/>
      <c r="I39" s="111">
        <v>0</v>
      </c>
      <c r="J39" s="111"/>
      <c r="K39" s="111">
        <v>0</v>
      </c>
      <c r="L39" s="111"/>
      <c r="M39" s="111">
        <v>0</v>
      </c>
      <c r="N39" s="111"/>
      <c r="O39" s="111">
        <v>0</v>
      </c>
      <c r="P39"/>
      <c r="Q39"/>
      <c r="R39"/>
      <c r="S39"/>
      <c r="T39"/>
      <c r="U39"/>
    </row>
    <row r="40" spans="1:21" ht="12.75">
      <c r="A40" s="137" t="s">
        <v>83</v>
      </c>
      <c r="B40" s="849" t="s">
        <v>229</v>
      </c>
      <c r="C40" s="77"/>
      <c r="D40" s="111"/>
      <c r="E40" s="144">
        <v>0</v>
      </c>
      <c r="F40" s="111"/>
      <c r="G40" s="111">
        <v>0</v>
      </c>
      <c r="H40" s="111"/>
      <c r="I40" s="111">
        <v>0</v>
      </c>
      <c r="J40" s="111"/>
      <c r="K40" s="111">
        <v>0</v>
      </c>
      <c r="L40" s="111"/>
      <c r="M40" s="111">
        <v>0</v>
      </c>
      <c r="N40" s="111"/>
      <c r="O40" s="111">
        <v>0</v>
      </c>
      <c r="P40"/>
      <c r="Q40"/>
      <c r="R40"/>
      <c r="S40"/>
      <c r="T40"/>
      <c r="U40"/>
    </row>
    <row r="41" spans="1:21" ht="12.75">
      <c r="A41" s="137" t="s">
        <v>641</v>
      </c>
      <c r="B41" s="849" t="s">
        <v>229</v>
      </c>
      <c r="C41" s="77"/>
      <c r="D41" s="111"/>
      <c r="E41" s="144">
        <v>0</v>
      </c>
      <c r="F41" s="111"/>
      <c r="G41" s="111">
        <v>2</v>
      </c>
      <c r="H41" s="111"/>
      <c r="I41" s="111">
        <v>2</v>
      </c>
      <c r="J41" s="111"/>
      <c r="K41" s="111">
        <v>2</v>
      </c>
      <c r="L41" s="111"/>
      <c r="M41" s="111">
        <v>2</v>
      </c>
      <c r="N41" s="111"/>
      <c r="O41" s="111">
        <v>2</v>
      </c>
      <c r="P41"/>
      <c r="Q41"/>
      <c r="R41"/>
      <c r="S41"/>
      <c r="T41"/>
      <c r="U41"/>
    </row>
    <row r="42" spans="1:21" ht="12.75">
      <c r="A42" s="137" t="s">
        <v>642</v>
      </c>
      <c r="B42" s="849" t="s">
        <v>229</v>
      </c>
      <c r="C42" s="77"/>
      <c r="D42" s="111"/>
      <c r="E42" s="144">
        <v>0</v>
      </c>
      <c r="F42" s="111"/>
      <c r="G42" s="111">
        <v>1</v>
      </c>
      <c r="H42" s="111"/>
      <c r="I42" s="111">
        <v>1</v>
      </c>
      <c r="J42" s="111"/>
      <c r="K42" s="111">
        <v>1</v>
      </c>
      <c r="L42" s="111"/>
      <c r="M42" s="111">
        <v>1</v>
      </c>
      <c r="N42" s="111"/>
      <c r="O42" s="111">
        <v>1</v>
      </c>
      <c r="P42"/>
      <c r="Q42"/>
      <c r="R42"/>
      <c r="S42"/>
      <c r="T42"/>
      <c r="U42"/>
    </row>
    <row r="43" spans="1:21" ht="12.75">
      <c r="A43" s="120" t="s">
        <v>696</v>
      </c>
      <c r="B43" s="849" t="s">
        <v>229</v>
      </c>
      <c r="C43" s="77"/>
      <c r="D43" s="111"/>
      <c r="E43" s="144">
        <v>0.5</v>
      </c>
      <c r="F43" s="111"/>
      <c r="G43" s="144"/>
      <c r="H43" s="111"/>
      <c r="I43" s="144"/>
      <c r="J43" s="111"/>
      <c r="K43" s="144"/>
      <c r="L43" s="111"/>
      <c r="M43" s="144"/>
      <c r="N43" s="111"/>
      <c r="O43" s="144"/>
      <c r="P43"/>
      <c r="Q43"/>
      <c r="R43"/>
      <c r="S43"/>
      <c r="T43"/>
      <c r="U43"/>
    </row>
    <row r="44" spans="1:21" ht="12.75">
      <c r="A44" s="137" t="s">
        <v>34</v>
      </c>
      <c r="B44" s="849" t="s">
        <v>229</v>
      </c>
      <c r="C44" s="77"/>
      <c r="D44" s="111"/>
      <c r="E44" s="144">
        <v>0</v>
      </c>
      <c r="F44" s="111"/>
      <c r="G44" s="144">
        <v>0</v>
      </c>
      <c r="H44" s="111"/>
      <c r="I44" s="144">
        <v>0</v>
      </c>
      <c r="J44" s="111"/>
      <c r="K44" s="144">
        <v>0</v>
      </c>
      <c r="L44" s="111"/>
      <c r="M44" s="144">
        <v>0</v>
      </c>
      <c r="N44" s="111"/>
      <c r="O44" s="144">
        <v>0</v>
      </c>
      <c r="P44"/>
      <c r="Q44"/>
      <c r="R44"/>
      <c r="S44"/>
      <c r="T44"/>
      <c r="U44"/>
    </row>
    <row r="45" spans="1:21" ht="12.75">
      <c r="A45" s="137" t="s">
        <v>78</v>
      </c>
      <c r="B45" s="849" t="s">
        <v>229</v>
      </c>
      <c r="C45" s="77"/>
      <c r="D45" s="111"/>
      <c r="E45" s="144"/>
      <c r="F45" s="111"/>
      <c r="G45" s="111"/>
      <c r="H45" s="111"/>
      <c r="I45" s="111"/>
      <c r="J45" s="111"/>
      <c r="K45" s="111"/>
      <c r="L45" s="111"/>
      <c r="M45" s="111"/>
      <c r="N45" s="111"/>
      <c r="O45" s="111"/>
      <c r="P45"/>
      <c r="Q45"/>
      <c r="R45"/>
      <c r="S45"/>
      <c r="T45"/>
      <c r="U45"/>
    </row>
    <row r="46" spans="1:21" ht="12.75">
      <c r="A46" s="137" t="s">
        <v>54</v>
      </c>
      <c r="B46" s="849" t="s">
        <v>229</v>
      </c>
      <c r="C46" s="77"/>
      <c r="D46" s="111"/>
      <c r="E46" s="144"/>
      <c r="F46" s="111"/>
      <c r="G46" s="111"/>
      <c r="H46" s="111"/>
      <c r="I46" s="111"/>
      <c r="J46" s="111"/>
      <c r="K46" s="111"/>
      <c r="L46" s="111"/>
      <c r="M46" s="111"/>
      <c r="N46" s="111"/>
      <c r="O46" s="111"/>
      <c r="P46"/>
      <c r="Q46"/>
      <c r="R46"/>
      <c r="S46"/>
      <c r="T46"/>
      <c r="U46"/>
    </row>
    <row r="47" spans="1:21" ht="12.75">
      <c r="A47" s="137" t="s">
        <v>35</v>
      </c>
      <c r="B47" s="849" t="s">
        <v>229</v>
      </c>
      <c r="C47" s="77"/>
      <c r="D47" s="111"/>
      <c r="E47" s="144">
        <v>0</v>
      </c>
      <c r="F47" s="111"/>
      <c r="G47" s="111"/>
      <c r="H47" s="111"/>
      <c r="I47" s="111"/>
      <c r="J47" s="111"/>
      <c r="K47" s="111"/>
      <c r="L47" s="111"/>
      <c r="M47" s="111"/>
      <c r="N47" s="111"/>
      <c r="O47" s="111"/>
      <c r="P47"/>
      <c r="Q47"/>
      <c r="R47"/>
      <c r="S47"/>
      <c r="T47"/>
      <c r="U47"/>
    </row>
    <row r="48" spans="1:21" ht="12.75">
      <c r="A48" s="137" t="s">
        <v>84</v>
      </c>
      <c r="B48" s="849" t="s">
        <v>229</v>
      </c>
      <c r="C48" s="77"/>
      <c r="D48" s="111"/>
      <c r="E48" s="144"/>
      <c r="F48" s="111"/>
      <c r="G48" s="111"/>
      <c r="H48" s="111"/>
      <c r="I48" s="111"/>
      <c r="J48" s="111"/>
      <c r="K48" s="111"/>
      <c r="L48" s="111"/>
      <c r="M48" s="111"/>
      <c r="N48" s="111"/>
      <c r="O48" s="111"/>
      <c r="P48"/>
      <c r="Q48"/>
      <c r="R48"/>
      <c r="S48"/>
      <c r="T48"/>
      <c r="U48"/>
    </row>
    <row r="49" spans="1:21" ht="12.75">
      <c r="A49" s="137" t="s">
        <v>643</v>
      </c>
      <c r="B49" s="849" t="s">
        <v>229</v>
      </c>
      <c r="C49" s="77"/>
      <c r="D49" s="111"/>
      <c r="E49" s="144">
        <v>0</v>
      </c>
      <c r="F49" s="111"/>
      <c r="G49" s="111">
        <v>0.5</v>
      </c>
      <c r="H49" s="111"/>
      <c r="I49" s="111">
        <v>0.5</v>
      </c>
      <c r="J49" s="111"/>
      <c r="K49" s="111">
        <v>0.5</v>
      </c>
      <c r="L49" s="111"/>
      <c r="M49" s="111">
        <v>0.5</v>
      </c>
      <c r="N49" s="111"/>
      <c r="O49" s="111">
        <v>0.5</v>
      </c>
      <c r="P49"/>
      <c r="Q49"/>
      <c r="R49"/>
      <c r="S49"/>
      <c r="T49"/>
      <c r="U49"/>
    </row>
    <row r="50" spans="1:21" ht="12.75">
      <c r="A50" s="140" t="s">
        <v>630</v>
      </c>
      <c r="B50" s="849" t="s">
        <v>229</v>
      </c>
      <c r="C50" s="77"/>
      <c r="D50" s="111"/>
      <c r="E50" s="144"/>
      <c r="F50" s="111"/>
      <c r="G50" s="111"/>
      <c r="H50" s="111"/>
      <c r="I50" s="111"/>
      <c r="J50" s="111"/>
      <c r="K50" s="111"/>
      <c r="L50" s="111"/>
      <c r="M50" s="111"/>
      <c r="N50" s="111"/>
      <c r="O50" s="111"/>
      <c r="P50"/>
      <c r="Q50"/>
      <c r="R50"/>
      <c r="S50"/>
      <c r="T50"/>
      <c r="U50"/>
    </row>
    <row r="51" spans="1:21" ht="12.75">
      <c r="A51" s="1030" t="s">
        <v>631</v>
      </c>
      <c r="B51" s="849" t="s">
        <v>229</v>
      </c>
      <c r="C51" s="77"/>
      <c r="D51" s="111"/>
      <c r="E51" s="144"/>
      <c r="F51" s="111"/>
      <c r="G51" s="111"/>
      <c r="H51" s="111"/>
      <c r="I51" s="111"/>
      <c r="J51" s="111"/>
      <c r="K51" s="111"/>
      <c r="L51" s="111"/>
      <c r="M51" s="111"/>
      <c r="N51" s="111"/>
      <c r="O51" s="111"/>
      <c r="P51"/>
      <c r="Q51"/>
      <c r="R51"/>
      <c r="S51"/>
      <c r="T51"/>
      <c r="U51"/>
    </row>
    <row r="52" spans="1:21" ht="12.75">
      <c r="A52" s="78" t="s">
        <v>108</v>
      </c>
      <c r="B52" s="849" t="s">
        <v>229</v>
      </c>
      <c r="C52" s="77"/>
      <c r="D52" s="111"/>
      <c r="E52" s="144"/>
      <c r="F52" s="111"/>
      <c r="G52" s="111"/>
      <c r="H52" s="111"/>
      <c r="I52" s="111"/>
      <c r="J52" s="111"/>
      <c r="K52" s="111"/>
      <c r="L52" s="111"/>
      <c r="M52" s="111"/>
      <c r="N52" s="111"/>
      <c r="O52" s="111"/>
      <c r="P52"/>
      <c r="Q52"/>
      <c r="R52"/>
      <c r="S52"/>
      <c r="T52"/>
      <c r="U52"/>
    </row>
    <row r="53" spans="1:21" ht="12.75">
      <c r="A53" s="78" t="s">
        <v>297</v>
      </c>
      <c r="B53" s="849" t="s">
        <v>229</v>
      </c>
      <c r="C53" s="77"/>
      <c r="D53" s="111"/>
      <c r="E53" s="144"/>
      <c r="F53" s="111"/>
      <c r="G53" s="111"/>
      <c r="H53" s="111"/>
      <c r="I53" s="111"/>
      <c r="J53" s="111"/>
      <c r="K53" s="111"/>
      <c r="L53" s="111"/>
      <c r="M53" s="111"/>
      <c r="N53" s="111"/>
      <c r="O53" s="111"/>
      <c r="P53"/>
      <c r="Q53"/>
      <c r="R53"/>
      <c r="S53"/>
      <c r="T53"/>
      <c r="U53"/>
    </row>
    <row r="54" spans="1:21" ht="12.75">
      <c r="A54" s="78" t="s">
        <v>293</v>
      </c>
      <c r="B54" s="849" t="s">
        <v>229</v>
      </c>
      <c r="C54" s="77"/>
      <c r="D54" s="111"/>
      <c r="E54" s="144"/>
      <c r="F54" s="111"/>
      <c r="G54" s="111"/>
      <c r="H54" s="111"/>
      <c r="I54" s="111"/>
      <c r="J54" s="111"/>
      <c r="K54" s="111"/>
      <c r="L54" s="111"/>
      <c r="M54" s="111"/>
      <c r="N54" s="111"/>
      <c r="O54" s="111"/>
      <c r="P54"/>
      <c r="Q54"/>
      <c r="R54"/>
      <c r="S54"/>
      <c r="T54"/>
      <c r="U54"/>
    </row>
    <row r="55" spans="1:21" ht="12.75">
      <c r="A55" s="134" t="s">
        <v>294</v>
      </c>
      <c r="B55" s="849" t="s">
        <v>229</v>
      </c>
      <c r="C55" s="77"/>
      <c r="D55" s="111"/>
      <c r="E55" s="144"/>
      <c r="F55" s="111"/>
      <c r="G55" s="111"/>
      <c r="H55" s="111"/>
      <c r="I55" s="111"/>
      <c r="J55" s="111"/>
      <c r="K55" s="111"/>
      <c r="L55" s="111"/>
      <c r="M55" s="111"/>
      <c r="N55" s="111"/>
      <c r="O55" s="111"/>
      <c r="P55"/>
      <c r="Q55"/>
      <c r="R55"/>
      <c r="S55"/>
      <c r="T55"/>
      <c r="U55"/>
    </row>
    <row r="56" spans="1:21" ht="12.75">
      <c r="A56" s="135" t="s">
        <v>295</v>
      </c>
      <c r="B56" s="849" t="s">
        <v>229</v>
      </c>
      <c r="C56" s="77"/>
      <c r="D56" s="111"/>
      <c r="E56" s="144"/>
      <c r="F56" s="111"/>
      <c r="G56" s="111"/>
      <c r="H56" s="111"/>
      <c r="I56" s="111"/>
      <c r="J56" s="111"/>
      <c r="K56" s="111"/>
      <c r="L56" s="111"/>
      <c r="M56" s="111"/>
      <c r="N56" s="111"/>
      <c r="O56" s="111"/>
      <c r="P56"/>
      <c r="Q56"/>
      <c r="R56"/>
      <c r="S56"/>
      <c r="T56"/>
      <c r="U56"/>
    </row>
    <row r="57" spans="1:21" ht="12.75">
      <c r="A57" s="156" t="s">
        <v>296</v>
      </c>
      <c r="B57" s="849" t="s">
        <v>229</v>
      </c>
      <c r="C57" s="112"/>
      <c r="D57" s="122"/>
      <c r="E57" s="144"/>
      <c r="F57" s="122"/>
      <c r="G57" s="111"/>
      <c r="H57" s="121"/>
      <c r="I57" s="111"/>
      <c r="J57" s="121"/>
      <c r="K57" s="111"/>
      <c r="L57" s="121"/>
      <c r="M57" s="111"/>
      <c r="N57" s="121"/>
      <c r="O57" s="121"/>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74" t="s">
        <v>63</v>
      </c>
      <c r="C60" s="1075"/>
      <c r="D60" s="1075"/>
      <c r="E60" s="1075"/>
      <c r="F60" s="1075"/>
      <c r="G60" s="1075"/>
      <c r="H60" s="1075"/>
      <c r="I60" s="1075"/>
      <c r="J60" s="1075"/>
      <c r="K60" s="1075"/>
      <c r="L60" s="1075"/>
      <c r="M60" s="1075"/>
      <c r="N60" s="1075"/>
      <c r="O60" s="1076"/>
      <c r="P60"/>
      <c r="Q60"/>
      <c r="R60"/>
      <c r="S60"/>
      <c r="T60"/>
      <c r="U60"/>
    </row>
    <row r="61" spans="1:21" ht="25.5">
      <c r="A61" s="81"/>
      <c r="B61" s="131"/>
      <c r="C61" s="132" t="s">
        <v>50</v>
      </c>
      <c r="D61" s="132"/>
      <c r="E61" s="414" t="str">
        <f>E6</f>
        <v>Incubation Year</v>
      </c>
      <c r="F61" s="415"/>
      <c r="G61" s="416">
        <f>$G$6</f>
        <v>2016</v>
      </c>
      <c r="H61" s="416"/>
      <c r="I61" s="416">
        <f>$I$6</f>
        <v>2017</v>
      </c>
      <c r="J61" s="416"/>
      <c r="K61" s="416">
        <f>$K$6</f>
        <v>2018</v>
      </c>
      <c r="L61" s="416"/>
      <c r="M61" s="416">
        <f>$M$6</f>
        <v>2019</v>
      </c>
      <c r="N61" s="416"/>
      <c r="O61" s="416">
        <f>$O$6</f>
        <v>2020</v>
      </c>
      <c r="P61"/>
      <c r="Q61"/>
      <c r="R61"/>
      <c r="S61"/>
      <c r="T61"/>
      <c r="U61"/>
    </row>
    <row r="62" spans="1:21" ht="19.5" customHeight="1">
      <c r="A62" s="1077" t="s">
        <v>565</v>
      </c>
      <c r="B62" s="1078"/>
      <c r="C62" s="82"/>
      <c r="D62" s="118"/>
      <c r="E62" s="518" t="s">
        <v>229</v>
      </c>
      <c r="F62" s="118"/>
      <c r="G62" s="118">
        <v>0</v>
      </c>
      <c r="H62" s="118">
        <v>0.02</v>
      </c>
      <c r="I62" s="118">
        <v>0.02</v>
      </c>
      <c r="J62" s="118">
        <v>0.02</v>
      </c>
      <c r="K62" s="118">
        <v>0.02</v>
      </c>
      <c r="L62" s="118">
        <v>0.02</v>
      </c>
      <c r="M62" s="118">
        <v>0.02</v>
      </c>
      <c r="N62" s="118">
        <v>0.02</v>
      </c>
      <c r="O62" s="118">
        <v>0.02</v>
      </c>
      <c r="P62"/>
      <c r="Q62"/>
      <c r="R62"/>
      <c r="S62"/>
      <c r="T62"/>
      <c r="U62"/>
    </row>
    <row r="63" spans="1:21" ht="13.5" thickBot="1">
      <c r="A63" s="4"/>
      <c r="B63" s="4"/>
      <c r="C63" s="83"/>
      <c r="D63" s="148"/>
      <c r="E63" s="148"/>
      <c r="F63" s="148"/>
      <c r="G63" s="148"/>
      <c r="H63" s="148"/>
      <c r="I63" s="148"/>
      <c r="J63" s="148"/>
      <c r="K63" s="148"/>
      <c r="L63" s="148"/>
      <c r="M63" s="148"/>
      <c r="N63" s="148"/>
      <c r="O63" s="148"/>
      <c r="P63"/>
      <c r="Q63"/>
      <c r="R63"/>
      <c r="S63"/>
      <c r="T63"/>
      <c r="U63"/>
    </row>
    <row r="64" spans="1:21" ht="40.5" customHeight="1" thickBot="1">
      <c r="A64" s="534" t="str">
        <f aca="true" t="shared" si="0" ref="A64:A89">A6</f>
        <v>Positions that Participate in the Chicago Teachers Pension Fund (CTPF):         </v>
      </c>
      <c r="B64" s="411" t="s">
        <v>52</v>
      </c>
      <c r="C64" s="417"/>
      <c r="D64" s="418"/>
      <c r="E64" s="419"/>
      <c r="F64" s="419"/>
      <c r="G64" s="420"/>
      <c r="H64" s="420"/>
      <c r="I64" s="420"/>
      <c r="J64" s="420"/>
      <c r="K64" s="420"/>
      <c r="L64" s="420"/>
      <c r="M64" s="420"/>
      <c r="N64" s="420"/>
      <c r="O64" s="421"/>
      <c r="P64"/>
      <c r="Q64"/>
      <c r="R64"/>
      <c r="S64"/>
      <c r="T64"/>
      <c r="U64"/>
    </row>
    <row r="65" spans="1:21" ht="12.75">
      <c r="A65" s="406" t="str">
        <f t="shared" si="0"/>
        <v>Teachers </v>
      </c>
      <c r="B65" s="143">
        <v>50000</v>
      </c>
      <c r="C65" s="84">
        <f aca="true" t="shared" si="1" ref="C65:C73">B65*(1+C$62)</f>
        <v>50000</v>
      </c>
      <c r="D65" s="149"/>
      <c r="E65" s="982">
        <v>0</v>
      </c>
      <c r="F65" s="149"/>
      <c r="G65" s="481">
        <f aca="true" t="shared" si="2" ref="G65:G87">C65*(1+G$62)</f>
        <v>50000</v>
      </c>
      <c r="H65" s="481"/>
      <c r="I65" s="481">
        <f>G65*(1+I$62)</f>
        <v>51000</v>
      </c>
      <c r="J65" s="481"/>
      <c r="K65" s="481">
        <f>I65*(1+K$62)</f>
        <v>52020</v>
      </c>
      <c r="L65" s="481"/>
      <c r="M65" s="481">
        <f>K65*(1+M$62)</f>
        <v>53060.4</v>
      </c>
      <c r="N65" s="481"/>
      <c r="O65" s="481">
        <f>M65*(1+O$62)</f>
        <v>54121.608</v>
      </c>
      <c r="P65"/>
      <c r="Q65"/>
      <c r="R65"/>
      <c r="S65"/>
      <c r="T65"/>
      <c r="U65"/>
    </row>
    <row r="66" spans="1:21" ht="12.75">
      <c r="A66" s="519" t="str">
        <f t="shared" si="0"/>
        <v>SPED Teachers (reimbursed by CPS)</v>
      </c>
      <c r="B66" s="141">
        <v>55000</v>
      </c>
      <c r="C66" s="84">
        <f t="shared" si="1"/>
        <v>55000</v>
      </c>
      <c r="D66" s="138"/>
      <c r="E66" s="982">
        <v>0</v>
      </c>
      <c r="F66" s="293"/>
      <c r="G66" s="481">
        <f t="shared" si="2"/>
        <v>55000</v>
      </c>
      <c r="H66" s="481"/>
      <c r="I66" s="481">
        <f aca="true" t="shared" si="3" ref="I66:I87">G66*(1+I$62)</f>
        <v>56100</v>
      </c>
      <c r="J66" s="481"/>
      <c r="K66" s="481">
        <f aca="true" t="shared" si="4" ref="K66:K87">I66*(1+K$62)</f>
        <v>57222</v>
      </c>
      <c r="L66" s="481"/>
      <c r="M66" s="481">
        <f aca="true" t="shared" si="5" ref="M66:M87">K66*(1+M$62)</f>
        <v>58366.44</v>
      </c>
      <c r="N66" s="481"/>
      <c r="O66" s="481">
        <f aca="true" t="shared" si="6" ref="O66:O87">M66*(1+O$62)</f>
        <v>59533.768800000005</v>
      </c>
      <c r="P66"/>
      <c r="Q66"/>
      <c r="R66"/>
      <c r="S66"/>
      <c r="T66"/>
      <c r="U66"/>
    </row>
    <row r="67" spans="1:21" ht="12.75">
      <c r="A67" s="519" t="str">
        <f t="shared" si="0"/>
        <v>SPED Aides (reimbursed by CPS)</v>
      </c>
      <c r="B67" s="141"/>
      <c r="C67" s="110">
        <f t="shared" si="1"/>
        <v>0</v>
      </c>
      <c r="D67" s="139"/>
      <c r="E67" s="982">
        <v>0</v>
      </c>
      <c r="F67" s="293"/>
      <c r="G67" s="481">
        <f t="shared" si="2"/>
        <v>0</v>
      </c>
      <c r="H67" s="481"/>
      <c r="I67" s="481">
        <f t="shared" si="3"/>
        <v>0</v>
      </c>
      <c r="J67" s="481"/>
      <c r="K67" s="481">
        <f t="shared" si="4"/>
        <v>0</v>
      </c>
      <c r="L67" s="481"/>
      <c r="M67" s="481">
        <f t="shared" si="5"/>
        <v>0</v>
      </c>
      <c r="N67" s="481"/>
      <c r="O67" s="481">
        <f t="shared" si="6"/>
        <v>0</v>
      </c>
      <c r="P67"/>
      <c r="Q67"/>
      <c r="R67"/>
      <c r="S67"/>
      <c r="T67"/>
      <c r="U67"/>
    </row>
    <row r="68" spans="1:21" ht="12.75">
      <c r="A68" s="519" t="str">
        <f t="shared" si="0"/>
        <v>SPED Clinicians-Psychologist (reimbursed by CPS)</v>
      </c>
      <c r="B68" s="141">
        <v>62500</v>
      </c>
      <c r="C68" s="84">
        <f t="shared" si="1"/>
        <v>62500</v>
      </c>
      <c r="D68" s="138"/>
      <c r="E68" s="982">
        <v>0</v>
      </c>
      <c r="F68" s="293"/>
      <c r="G68" s="481">
        <f t="shared" si="2"/>
        <v>62500</v>
      </c>
      <c r="H68" s="481"/>
      <c r="I68" s="481">
        <f t="shared" si="3"/>
        <v>63750</v>
      </c>
      <c r="J68" s="481"/>
      <c r="K68" s="481">
        <f t="shared" si="4"/>
        <v>65025</v>
      </c>
      <c r="L68" s="481"/>
      <c r="M68" s="481">
        <f t="shared" si="5"/>
        <v>66325.5</v>
      </c>
      <c r="N68" s="481"/>
      <c r="O68" s="481">
        <f t="shared" si="6"/>
        <v>67652.01</v>
      </c>
      <c r="P68"/>
      <c r="Q68"/>
      <c r="R68"/>
      <c r="S68"/>
      <c r="T68"/>
      <c r="U68"/>
    </row>
    <row r="69" spans="1:21" ht="12.75">
      <c r="A69" s="519" t="str">
        <f t="shared" si="0"/>
        <v>SPED Clinicians-Social Worker (reimbursed by CPS)</v>
      </c>
      <c r="B69" s="141">
        <v>55000</v>
      </c>
      <c r="C69" s="84">
        <f t="shared" si="1"/>
        <v>55000</v>
      </c>
      <c r="D69" s="138"/>
      <c r="E69" s="982">
        <v>0</v>
      </c>
      <c r="F69" s="293"/>
      <c r="G69" s="481">
        <f t="shared" si="2"/>
        <v>55000</v>
      </c>
      <c r="H69" s="481"/>
      <c r="I69" s="481">
        <f t="shared" si="3"/>
        <v>56100</v>
      </c>
      <c r="J69" s="481"/>
      <c r="K69" s="481">
        <f t="shared" si="4"/>
        <v>57222</v>
      </c>
      <c r="L69" s="481"/>
      <c r="M69" s="481">
        <f t="shared" si="5"/>
        <v>58366.44</v>
      </c>
      <c r="N69" s="481"/>
      <c r="O69" s="481">
        <f t="shared" si="6"/>
        <v>59533.768800000005</v>
      </c>
      <c r="P69"/>
      <c r="Q69"/>
      <c r="R69"/>
      <c r="S69"/>
      <c r="T69"/>
      <c r="U69"/>
    </row>
    <row r="70" spans="1:21" ht="12.75">
      <c r="A70" s="519" t="str">
        <f t="shared" si="0"/>
        <v>SPED Clinicians-Speech Therapist (reimbursed by CPS)</v>
      </c>
      <c r="B70" s="141">
        <v>55000</v>
      </c>
      <c r="C70" s="84">
        <f t="shared" si="1"/>
        <v>55000</v>
      </c>
      <c r="D70" s="138"/>
      <c r="E70" s="982">
        <v>0</v>
      </c>
      <c r="F70" s="293"/>
      <c r="G70" s="481">
        <f t="shared" si="2"/>
        <v>55000</v>
      </c>
      <c r="H70" s="481"/>
      <c r="I70" s="481">
        <f t="shared" si="3"/>
        <v>56100</v>
      </c>
      <c r="J70" s="481"/>
      <c r="K70" s="481">
        <f t="shared" si="4"/>
        <v>57222</v>
      </c>
      <c r="L70" s="481"/>
      <c r="M70" s="481">
        <f t="shared" si="5"/>
        <v>58366.44</v>
      </c>
      <c r="N70" s="481"/>
      <c r="O70" s="481">
        <f t="shared" si="6"/>
        <v>59533.768800000005</v>
      </c>
      <c r="P70"/>
      <c r="Q70"/>
      <c r="R70"/>
      <c r="S70"/>
      <c r="T70"/>
      <c r="U70"/>
    </row>
    <row r="71" spans="1:21" ht="12.75">
      <c r="A71" s="519" t="str">
        <f t="shared" si="0"/>
        <v>SPED Clinicians-Physical Therapist (reimbursed by CPS)</v>
      </c>
      <c r="B71" s="141"/>
      <c r="C71" s="84">
        <f t="shared" si="1"/>
        <v>0</v>
      </c>
      <c r="D71" s="138"/>
      <c r="E71" s="982">
        <v>0</v>
      </c>
      <c r="F71" s="293"/>
      <c r="G71" s="481">
        <f t="shared" si="2"/>
        <v>0</v>
      </c>
      <c r="H71" s="481"/>
      <c r="I71" s="481">
        <f t="shared" si="3"/>
        <v>0</v>
      </c>
      <c r="J71" s="481"/>
      <c r="K71" s="481">
        <f t="shared" si="4"/>
        <v>0</v>
      </c>
      <c r="L71" s="481"/>
      <c r="M71" s="481">
        <f t="shared" si="5"/>
        <v>0</v>
      </c>
      <c r="N71" s="481"/>
      <c r="O71" s="481">
        <f t="shared" si="6"/>
        <v>0</v>
      </c>
      <c r="P71"/>
      <c r="Q71"/>
      <c r="R71"/>
      <c r="S71"/>
      <c r="T71"/>
      <c r="U71"/>
    </row>
    <row r="72" spans="1:21" ht="12.75">
      <c r="A72" s="519" t="str">
        <f t="shared" si="0"/>
        <v>SPED Clinicians-Occupational Therapist (reimbursed by CPS)</v>
      </c>
      <c r="B72" s="141"/>
      <c r="C72" s="84">
        <f t="shared" si="1"/>
        <v>0</v>
      </c>
      <c r="D72" s="138"/>
      <c r="E72" s="982">
        <v>0</v>
      </c>
      <c r="F72" s="293"/>
      <c r="G72" s="481">
        <f t="shared" si="2"/>
        <v>0</v>
      </c>
      <c r="H72" s="481"/>
      <c r="I72" s="481">
        <f t="shared" si="3"/>
        <v>0</v>
      </c>
      <c r="J72" s="481"/>
      <c r="K72" s="481">
        <f t="shared" si="4"/>
        <v>0</v>
      </c>
      <c r="L72" s="481"/>
      <c r="M72" s="481">
        <f t="shared" si="5"/>
        <v>0</v>
      </c>
      <c r="N72" s="481"/>
      <c r="O72" s="481">
        <f t="shared" si="6"/>
        <v>0</v>
      </c>
      <c r="P72"/>
      <c r="Q72"/>
      <c r="R72"/>
      <c r="S72"/>
      <c r="T72"/>
      <c r="U72"/>
    </row>
    <row r="73" spans="1:21" ht="12.75" customHeight="1">
      <c r="A73" s="519" t="str">
        <f t="shared" si="0"/>
        <v>SPED Clinicians-Nurse (reimbursed by CPS)</v>
      </c>
      <c r="B73" s="873">
        <v>55000</v>
      </c>
      <c r="C73" s="110">
        <f t="shared" si="1"/>
        <v>55000</v>
      </c>
      <c r="D73" s="139"/>
      <c r="E73" s="982">
        <v>0</v>
      </c>
      <c r="F73" s="293"/>
      <c r="G73" s="481">
        <f t="shared" si="2"/>
        <v>55000</v>
      </c>
      <c r="H73" s="481"/>
      <c r="I73" s="481">
        <f t="shared" si="3"/>
        <v>56100</v>
      </c>
      <c r="J73" s="481"/>
      <c r="K73" s="481">
        <f t="shared" si="4"/>
        <v>57222</v>
      </c>
      <c r="L73" s="481"/>
      <c r="M73" s="481">
        <f t="shared" si="5"/>
        <v>58366.44</v>
      </c>
      <c r="N73" s="481"/>
      <c r="O73" s="481">
        <f t="shared" si="6"/>
        <v>59533.768800000005</v>
      </c>
      <c r="P73"/>
      <c r="Q73"/>
      <c r="R73"/>
      <c r="S73"/>
      <c r="T73"/>
      <c r="U73"/>
    </row>
    <row r="74" spans="1:21" ht="12.75">
      <c r="A74" s="406" t="str">
        <f t="shared" si="0"/>
        <v>Lead Teacher / Site Director</v>
      </c>
      <c r="B74" s="141">
        <v>60000</v>
      </c>
      <c r="C74" s="84">
        <f aca="true" t="shared" si="7" ref="C74:C87">B74*(1+C$62)</f>
        <v>60000</v>
      </c>
      <c r="D74" s="138"/>
      <c r="E74" s="982">
        <v>0</v>
      </c>
      <c r="F74" s="293"/>
      <c r="G74" s="481">
        <f t="shared" si="2"/>
        <v>60000</v>
      </c>
      <c r="H74" s="481"/>
      <c r="I74" s="481">
        <f t="shared" si="3"/>
        <v>61200</v>
      </c>
      <c r="J74" s="481"/>
      <c r="K74" s="481">
        <f t="shared" si="4"/>
        <v>62424</v>
      </c>
      <c r="L74" s="481"/>
      <c r="M74" s="481">
        <f t="shared" si="5"/>
        <v>63672.48</v>
      </c>
      <c r="N74" s="481"/>
      <c r="O74" s="481">
        <f t="shared" si="6"/>
        <v>64945.9296</v>
      </c>
      <c r="P74"/>
      <c r="Q74"/>
      <c r="R74"/>
      <c r="S74"/>
      <c r="T74"/>
      <c r="U74"/>
    </row>
    <row r="75" spans="1:21" ht="12.75">
      <c r="A75" s="406" t="str">
        <f t="shared" si="0"/>
        <v>Counselors</v>
      </c>
      <c r="B75" s="141">
        <v>0</v>
      </c>
      <c r="C75" s="84">
        <f t="shared" si="7"/>
        <v>0</v>
      </c>
      <c r="D75" s="138"/>
      <c r="E75" s="982">
        <v>0</v>
      </c>
      <c r="F75" s="293"/>
      <c r="G75" s="481">
        <f t="shared" si="2"/>
        <v>0</v>
      </c>
      <c r="H75" s="481"/>
      <c r="I75" s="481">
        <f t="shared" si="3"/>
        <v>0</v>
      </c>
      <c r="J75" s="481"/>
      <c r="K75" s="481">
        <f t="shared" si="4"/>
        <v>0</v>
      </c>
      <c r="L75" s="481"/>
      <c r="M75" s="481">
        <f t="shared" si="5"/>
        <v>0</v>
      </c>
      <c r="N75" s="481"/>
      <c r="O75" s="481">
        <f t="shared" si="6"/>
        <v>0</v>
      </c>
      <c r="P75"/>
      <c r="Q75"/>
      <c r="R75"/>
      <c r="S75"/>
      <c r="T75"/>
      <c r="U75"/>
    </row>
    <row r="76" spans="1:21" ht="12.75">
      <c r="A76" s="406" t="str">
        <f t="shared" si="0"/>
        <v>Librarians</v>
      </c>
      <c r="B76" s="141"/>
      <c r="C76" s="84">
        <f t="shared" si="7"/>
        <v>0</v>
      </c>
      <c r="D76" s="138"/>
      <c r="E76" s="982">
        <v>0</v>
      </c>
      <c r="F76" s="293"/>
      <c r="G76" s="481">
        <f t="shared" si="2"/>
        <v>0</v>
      </c>
      <c r="H76" s="481"/>
      <c r="I76" s="481">
        <f t="shared" si="3"/>
        <v>0</v>
      </c>
      <c r="J76" s="481"/>
      <c r="K76" s="481">
        <f t="shared" si="4"/>
        <v>0</v>
      </c>
      <c r="L76" s="481"/>
      <c r="M76" s="481">
        <f t="shared" si="5"/>
        <v>0</v>
      </c>
      <c r="N76" s="481"/>
      <c r="O76" s="481">
        <f t="shared" si="6"/>
        <v>0</v>
      </c>
      <c r="P76"/>
      <c r="Q76"/>
      <c r="R76"/>
      <c r="S76"/>
      <c r="T76"/>
      <c r="U76"/>
    </row>
    <row r="77" spans="1:21" ht="12.75">
      <c r="A77" s="406" t="str">
        <f t="shared" si="0"/>
        <v>Deans</v>
      </c>
      <c r="B77" s="141">
        <v>0</v>
      </c>
      <c r="C77" s="84">
        <f t="shared" si="7"/>
        <v>0</v>
      </c>
      <c r="D77" s="138"/>
      <c r="E77" s="982">
        <v>0</v>
      </c>
      <c r="F77" s="293"/>
      <c r="G77" s="481">
        <f t="shared" si="2"/>
        <v>0</v>
      </c>
      <c r="H77" s="481"/>
      <c r="I77" s="481">
        <f t="shared" si="3"/>
        <v>0</v>
      </c>
      <c r="J77" s="481"/>
      <c r="K77" s="481">
        <f t="shared" si="4"/>
        <v>0</v>
      </c>
      <c r="L77" s="481"/>
      <c r="M77" s="481">
        <f t="shared" si="5"/>
        <v>0</v>
      </c>
      <c r="N77" s="481"/>
      <c r="O77" s="481">
        <f t="shared" si="6"/>
        <v>0</v>
      </c>
      <c r="P77"/>
      <c r="Q77"/>
      <c r="R77"/>
      <c r="S77"/>
      <c r="T77"/>
      <c r="U77"/>
    </row>
    <row r="78" spans="1:21" ht="12.75">
      <c r="A78" s="406" t="str">
        <f t="shared" si="0"/>
        <v>Principal</v>
      </c>
      <c r="B78" s="141">
        <v>0</v>
      </c>
      <c r="C78" s="84">
        <f t="shared" si="7"/>
        <v>0</v>
      </c>
      <c r="D78" s="138"/>
      <c r="E78" s="982">
        <v>0</v>
      </c>
      <c r="F78" s="293"/>
      <c r="G78" s="481">
        <f t="shared" si="2"/>
        <v>0</v>
      </c>
      <c r="H78" s="481"/>
      <c r="I78" s="481">
        <f t="shared" si="3"/>
        <v>0</v>
      </c>
      <c r="J78" s="481"/>
      <c r="K78" s="481">
        <f t="shared" si="4"/>
        <v>0</v>
      </c>
      <c r="L78" s="481"/>
      <c r="M78" s="481">
        <f t="shared" si="5"/>
        <v>0</v>
      </c>
      <c r="N78" s="481"/>
      <c r="O78" s="481">
        <f t="shared" si="6"/>
        <v>0</v>
      </c>
      <c r="P78"/>
      <c r="Q78"/>
      <c r="R78"/>
      <c r="S78"/>
      <c r="T78"/>
      <c r="U78"/>
    </row>
    <row r="79" spans="1:21" ht="12.75">
      <c r="A79" s="406" t="str">
        <f t="shared" si="0"/>
        <v>Assistant Principal</v>
      </c>
      <c r="B79" s="141">
        <v>0</v>
      </c>
      <c r="C79" s="84">
        <f t="shared" si="7"/>
        <v>0</v>
      </c>
      <c r="D79" s="138"/>
      <c r="E79" s="982">
        <v>0</v>
      </c>
      <c r="F79" s="293"/>
      <c r="G79" s="481">
        <f t="shared" si="2"/>
        <v>0</v>
      </c>
      <c r="H79" s="481"/>
      <c r="I79" s="481">
        <f t="shared" si="3"/>
        <v>0</v>
      </c>
      <c r="J79" s="481"/>
      <c r="K79" s="481">
        <f t="shared" si="4"/>
        <v>0</v>
      </c>
      <c r="L79" s="481"/>
      <c r="M79" s="481">
        <f t="shared" si="5"/>
        <v>0</v>
      </c>
      <c r="N79" s="481"/>
      <c r="O79" s="481">
        <f t="shared" si="6"/>
        <v>0</v>
      </c>
      <c r="P79"/>
      <c r="Q79"/>
      <c r="R79"/>
      <c r="S79"/>
      <c r="T79"/>
      <c r="U79"/>
    </row>
    <row r="80" spans="1:21" ht="12.75">
      <c r="A80" s="406" t="str">
        <f t="shared" si="0"/>
        <v>A</v>
      </c>
      <c r="B80" s="141"/>
      <c r="C80" s="84">
        <f t="shared" si="7"/>
        <v>0</v>
      </c>
      <c r="D80" s="138"/>
      <c r="E80" s="982">
        <v>0</v>
      </c>
      <c r="F80" s="293"/>
      <c r="G80" s="481">
        <f t="shared" si="2"/>
        <v>0</v>
      </c>
      <c r="H80" s="481"/>
      <c r="I80" s="481">
        <f t="shared" si="3"/>
        <v>0</v>
      </c>
      <c r="J80" s="481"/>
      <c r="K80" s="481">
        <f t="shared" si="4"/>
        <v>0</v>
      </c>
      <c r="L80" s="481"/>
      <c r="M80" s="481">
        <f t="shared" si="5"/>
        <v>0</v>
      </c>
      <c r="N80" s="481"/>
      <c r="O80" s="481">
        <f t="shared" si="6"/>
        <v>0</v>
      </c>
      <c r="P80"/>
      <c r="Q80"/>
      <c r="R80"/>
      <c r="S80"/>
      <c r="T80"/>
      <c r="U80"/>
    </row>
    <row r="81" spans="1:21" ht="12.75">
      <c r="A81" s="532" t="str">
        <f t="shared" si="0"/>
        <v>B</v>
      </c>
      <c r="B81" s="141"/>
      <c r="C81" s="84">
        <f t="shared" si="7"/>
        <v>0</v>
      </c>
      <c r="D81" s="138"/>
      <c r="E81" s="982">
        <v>0</v>
      </c>
      <c r="F81" s="293"/>
      <c r="G81" s="481">
        <f t="shared" si="2"/>
        <v>0</v>
      </c>
      <c r="H81" s="481"/>
      <c r="I81" s="481">
        <f t="shared" si="3"/>
        <v>0</v>
      </c>
      <c r="J81" s="481"/>
      <c r="K81" s="481">
        <f t="shared" si="4"/>
        <v>0</v>
      </c>
      <c r="L81" s="481"/>
      <c r="M81" s="481">
        <f t="shared" si="5"/>
        <v>0</v>
      </c>
      <c r="N81" s="481"/>
      <c r="O81" s="481">
        <f t="shared" si="6"/>
        <v>0</v>
      </c>
      <c r="P81"/>
      <c r="Q81"/>
      <c r="R81"/>
      <c r="S81"/>
      <c r="T81"/>
      <c r="U81"/>
    </row>
    <row r="82" spans="1:21" ht="12.75">
      <c r="A82" s="532" t="str">
        <f t="shared" si="0"/>
        <v>C</v>
      </c>
      <c r="B82" s="141"/>
      <c r="C82" s="84">
        <f t="shared" si="7"/>
        <v>0</v>
      </c>
      <c r="D82" s="138"/>
      <c r="E82" s="982">
        <v>0</v>
      </c>
      <c r="F82" s="293"/>
      <c r="G82" s="481">
        <f t="shared" si="2"/>
        <v>0</v>
      </c>
      <c r="H82" s="481"/>
      <c r="I82" s="481">
        <f t="shared" si="3"/>
        <v>0</v>
      </c>
      <c r="J82" s="481"/>
      <c r="K82" s="481">
        <f t="shared" si="4"/>
        <v>0</v>
      </c>
      <c r="L82" s="481"/>
      <c r="M82" s="481">
        <f t="shared" si="5"/>
        <v>0</v>
      </c>
      <c r="N82" s="481"/>
      <c r="O82" s="481">
        <f t="shared" si="6"/>
        <v>0</v>
      </c>
      <c r="P82"/>
      <c r="Q82"/>
      <c r="R82"/>
      <c r="S82"/>
      <c r="T82"/>
      <c r="U82"/>
    </row>
    <row r="83" spans="1:21" ht="12.75">
      <c r="A83" s="532" t="str">
        <f t="shared" si="0"/>
        <v>D</v>
      </c>
      <c r="B83" s="141"/>
      <c r="C83" s="84">
        <f t="shared" si="7"/>
        <v>0</v>
      </c>
      <c r="D83" s="138"/>
      <c r="E83" s="982">
        <v>0</v>
      </c>
      <c r="F83" s="293"/>
      <c r="G83" s="481">
        <f t="shared" si="2"/>
        <v>0</v>
      </c>
      <c r="H83" s="481"/>
      <c r="I83" s="481">
        <f t="shared" si="3"/>
        <v>0</v>
      </c>
      <c r="J83" s="481"/>
      <c r="K83" s="481">
        <f t="shared" si="4"/>
        <v>0</v>
      </c>
      <c r="L83" s="481"/>
      <c r="M83" s="481">
        <f t="shared" si="5"/>
        <v>0</v>
      </c>
      <c r="N83" s="481"/>
      <c r="O83" s="481">
        <f t="shared" si="6"/>
        <v>0</v>
      </c>
      <c r="P83"/>
      <c r="Q83"/>
      <c r="R83"/>
      <c r="S83"/>
      <c r="T83"/>
      <c r="U83"/>
    </row>
    <row r="84" spans="1:21" ht="12.75">
      <c r="A84" s="532" t="str">
        <f t="shared" si="0"/>
        <v>E</v>
      </c>
      <c r="B84" s="141"/>
      <c r="C84" s="84">
        <f t="shared" si="7"/>
        <v>0</v>
      </c>
      <c r="D84" s="138"/>
      <c r="E84" s="982">
        <v>0</v>
      </c>
      <c r="F84" s="293"/>
      <c r="G84" s="481">
        <f t="shared" si="2"/>
        <v>0</v>
      </c>
      <c r="H84" s="481"/>
      <c r="I84" s="481">
        <f t="shared" si="3"/>
        <v>0</v>
      </c>
      <c r="J84" s="481"/>
      <c r="K84" s="481">
        <f t="shared" si="4"/>
        <v>0</v>
      </c>
      <c r="L84" s="481"/>
      <c r="M84" s="481">
        <f t="shared" si="5"/>
        <v>0</v>
      </c>
      <c r="N84" s="481"/>
      <c r="O84" s="481">
        <f t="shared" si="6"/>
        <v>0</v>
      </c>
      <c r="P84"/>
      <c r="Q84"/>
      <c r="R84"/>
      <c r="S84"/>
      <c r="T84"/>
      <c r="U84"/>
    </row>
    <row r="85" spans="1:21" ht="12.75">
      <c r="A85" s="532" t="str">
        <f t="shared" si="0"/>
        <v>F</v>
      </c>
      <c r="B85" s="141"/>
      <c r="C85" s="84">
        <f t="shared" si="7"/>
        <v>0</v>
      </c>
      <c r="D85" s="84"/>
      <c r="E85" s="982">
        <v>0</v>
      </c>
      <c r="F85" s="149"/>
      <c r="G85" s="481">
        <f t="shared" si="2"/>
        <v>0</v>
      </c>
      <c r="H85" s="481"/>
      <c r="I85" s="481">
        <f t="shared" si="3"/>
        <v>0</v>
      </c>
      <c r="J85" s="481"/>
      <c r="K85" s="481">
        <f t="shared" si="4"/>
        <v>0</v>
      </c>
      <c r="L85" s="481"/>
      <c r="M85" s="481">
        <f t="shared" si="5"/>
        <v>0</v>
      </c>
      <c r="N85" s="481"/>
      <c r="O85" s="481">
        <f t="shared" si="6"/>
        <v>0</v>
      </c>
      <c r="P85"/>
      <c r="Q85"/>
      <c r="R85"/>
      <c r="S85"/>
      <c r="T85"/>
      <c r="U85"/>
    </row>
    <row r="86" spans="1:21" ht="12.75">
      <c r="A86" s="532" t="str">
        <f t="shared" si="0"/>
        <v>G</v>
      </c>
      <c r="B86" s="141"/>
      <c r="C86" s="84">
        <f t="shared" si="7"/>
        <v>0</v>
      </c>
      <c r="D86" s="84"/>
      <c r="E86" s="982">
        <v>0</v>
      </c>
      <c r="F86" s="149"/>
      <c r="G86" s="481">
        <f t="shared" si="2"/>
        <v>0</v>
      </c>
      <c r="H86" s="481"/>
      <c r="I86" s="481">
        <f t="shared" si="3"/>
        <v>0</v>
      </c>
      <c r="J86" s="481"/>
      <c r="K86" s="481">
        <f t="shared" si="4"/>
        <v>0</v>
      </c>
      <c r="L86" s="481"/>
      <c r="M86" s="481">
        <f t="shared" si="5"/>
        <v>0</v>
      </c>
      <c r="N86" s="481"/>
      <c r="O86" s="481">
        <f t="shared" si="6"/>
        <v>0</v>
      </c>
      <c r="P86"/>
      <c r="Q86"/>
      <c r="R86"/>
      <c r="S86"/>
      <c r="T86"/>
      <c r="U86"/>
    </row>
    <row r="87" spans="1:21" ht="13.5" thickBot="1">
      <c r="A87" s="533" t="str">
        <f t="shared" si="0"/>
        <v>H</v>
      </c>
      <c r="B87" s="153"/>
      <c r="C87" s="154">
        <f t="shared" si="7"/>
        <v>0</v>
      </c>
      <c r="D87" s="154"/>
      <c r="E87" s="982">
        <v>0</v>
      </c>
      <c r="F87" s="294"/>
      <c r="G87" s="481">
        <f t="shared" si="2"/>
        <v>0</v>
      </c>
      <c r="H87" s="481"/>
      <c r="I87" s="481">
        <f t="shared" si="3"/>
        <v>0</v>
      </c>
      <c r="J87" s="481"/>
      <c r="K87" s="481">
        <f t="shared" si="4"/>
        <v>0</v>
      </c>
      <c r="L87" s="481"/>
      <c r="M87" s="481">
        <f t="shared" si="5"/>
        <v>0</v>
      </c>
      <c r="N87" s="481"/>
      <c r="O87" s="481">
        <f t="shared" si="6"/>
        <v>0</v>
      </c>
      <c r="P87"/>
      <c r="Q87"/>
      <c r="R87"/>
      <c r="S87"/>
      <c r="T87"/>
      <c r="U87"/>
    </row>
    <row r="88" spans="1:21" ht="40.5" customHeight="1" thickBot="1">
      <c r="A88" s="535" t="str">
        <f t="shared" si="0"/>
        <v>Positions that Do NOT Participate in the Chicago Teachers Pension Fund (CTPF):         </v>
      </c>
      <c r="B88" s="541"/>
      <c r="C88" s="420"/>
      <c r="D88" s="420"/>
      <c r="E88" s="420"/>
      <c r="F88" s="420"/>
      <c r="G88" s="420"/>
      <c r="H88" s="420"/>
      <c r="I88" s="420"/>
      <c r="J88" s="420"/>
      <c r="K88" s="420"/>
      <c r="L88" s="420"/>
      <c r="M88" s="420"/>
      <c r="N88" s="420"/>
      <c r="O88" s="421"/>
      <c r="P88"/>
      <c r="Q88"/>
      <c r="R88"/>
      <c r="S88"/>
      <c r="T88"/>
      <c r="U88"/>
    </row>
    <row r="89" spans="1:21" ht="12.75">
      <c r="A89" s="422" t="str">
        <f t="shared" si="0"/>
        <v>Teachers</v>
      </c>
      <c r="B89" s="143">
        <v>0</v>
      </c>
      <c r="C89" s="149">
        <f>B89*(1+C$62)</f>
        <v>0</v>
      </c>
      <c r="D89" s="149"/>
      <c r="E89" s="149">
        <f>B89</f>
        <v>0</v>
      </c>
      <c r="F89" s="149"/>
      <c r="G89" s="481">
        <f aca="true" t="shared" si="8" ref="G89:G115">C89*(1+G$62)</f>
        <v>0</v>
      </c>
      <c r="H89" s="481"/>
      <c r="I89" s="481">
        <f>G89*(1+I$62)</f>
        <v>0</v>
      </c>
      <c r="J89" s="481"/>
      <c r="K89" s="481">
        <f>I89*(1+K$62)</f>
        <v>0</v>
      </c>
      <c r="L89" s="481"/>
      <c r="M89" s="481">
        <f>K89*(1+M$62)</f>
        <v>0</v>
      </c>
      <c r="N89" s="481"/>
      <c r="O89" s="481">
        <f>M89*(1+O$62)</f>
        <v>0</v>
      </c>
      <c r="P89"/>
      <c r="Q89"/>
      <c r="R89"/>
      <c r="S89"/>
      <c r="T89"/>
      <c r="U89"/>
    </row>
    <row r="90" spans="1:21" ht="12.75">
      <c r="A90" s="520" t="str">
        <f aca="true" t="shared" si="9" ref="A90:A107">A32</f>
        <v>SPED Teachers (positions that are reimbursed by CPS)</v>
      </c>
      <c r="B90" s="141">
        <v>0</v>
      </c>
      <c r="C90" s="84">
        <f>B90*(1+C$62)</f>
        <v>0</v>
      </c>
      <c r="D90" s="84"/>
      <c r="E90" s="149">
        <f aca="true" t="shared" si="10" ref="E90:E115">B90</f>
        <v>0</v>
      </c>
      <c r="F90" s="149"/>
      <c r="G90" s="481">
        <f t="shared" si="8"/>
        <v>0</v>
      </c>
      <c r="H90" s="481"/>
      <c r="I90" s="481">
        <f aca="true" t="shared" si="11" ref="I90:I115">G90*(1+I$62)</f>
        <v>0</v>
      </c>
      <c r="J90" s="481"/>
      <c r="K90" s="481">
        <f aca="true" t="shared" si="12" ref="K90:K115">I90*(1+K$62)</f>
        <v>0</v>
      </c>
      <c r="L90" s="481"/>
      <c r="M90" s="481">
        <f aca="true" t="shared" si="13" ref="M90:M115">K90*(1+M$62)</f>
        <v>0</v>
      </c>
      <c r="N90" s="481"/>
      <c r="O90" s="481">
        <f aca="true" t="shared" si="14" ref="O90:O115">M90*(1+O$62)</f>
        <v>0</v>
      </c>
      <c r="P90"/>
      <c r="Q90"/>
      <c r="R90"/>
      <c r="S90"/>
      <c r="T90"/>
      <c r="U90"/>
    </row>
    <row r="91" spans="1:21" ht="12.75">
      <c r="A91" s="520" t="str">
        <f t="shared" si="9"/>
        <v>SPED Aides (positions that are reimbursed by CPS)</v>
      </c>
      <c r="B91" s="141"/>
      <c r="C91" s="84">
        <f>B91*(1+C$62)</f>
        <v>0</v>
      </c>
      <c r="D91" s="84"/>
      <c r="E91" s="149">
        <f t="shared" si="10"/>
        <v>0</v>
      </c>
      <c r="F91" s="149"/>
      <c r="G91" s="481">
        <f t="shared" si="8"/>
        <v>0</v>
      </c>
      <c r="H91" s="481"/>
      <c r="I91" s="481">
        <f t="shared" si="11"/>
        <v>0</v>
      </c>
      <c r="J91" s="481"/>
      <c r="K91" s="481">
        <f t="shared" si="12"/>
        <v>0</v>
      </c>
      <c r="L91" s="481"/>
      <c r="M91" s="481">
        <f t="shared" si="13"/>
        <v>0</v>
      </c>
      <c r="N91" s="481"/>
      <c r="O91" s="481">
        <f t="shared" si="14"/>
        <v>0</v>
      </c>
      <c r="P91"/>
      <c r="Q91"/>
      <c r="R91"/>
      <c r="S91"/>
      <c r="T91"/>
      <c r="U91"/>
    </row>
    <row r="92" spans="1:21" ht="12.75">
      <c r="A92" s="520" t="str">
        <f t="shared" si="9"/>
        <v>SPED Clinicians-Psychologist (reimbursed by CPS)</v>
      </c>
      <c r="B92" s="141">
        <v>0</v>
      </c>
      <c r="C92" s="84">
        <f aca="true" t="shared" si="15" ref="C92:C103">B92*(1+C$62)</f>
        <v>0</v>
      </c>
      <c r="D92" s="84"/>
      <c r="E92" s="149">
        <f t="shared" si="10"/>
        <v>0</v>
      </c>
      <c r="F92" s="149"/>
      <c r="G92" s="481">
        <f t="shared" si="8"/>
        <v>0</v>
      </c>
      <c r="H92" s="481"/>
      <c r="I92" s="481">
        <f t="shared" si="11"/>
        <v>0</v>
      </c>
      <c r="J92" s="481"/>
      <c r="K92" s="481">
        <f t="shared" si="12"/>
        <v>0</v>
      </c>
      <c r="L92" s="481"/>
      <c r="M92" s="481">
        <f t="shared" si="13"/>
        <v>0</v>
      </c>
      <c r="N92" s="481"/>
      <c r="O92" s="481">
        <f t="shared" si="14"/>
        <v>0</v>
      </c>
      <c r="P92"/>
      <c r="Q92"/>
      <c r="R92"/>
      <c r="S92"/>
      <c r="T92"/>
      <c r="U92"/>
    </row>
    <row r="93" spans="1:21" ht="12.75">
      <c r="A93" s="520" t="str">
        <f t="shared" si="9"/>
        <v>SPED Clinicians-Social Worker (reimbursed by CPS)</v>
      </c>
      <c r="B93" s="141">
        <v>0</v>
      </c>
      <c r="C93" s="84">
        <f t="shared" si="15"/>
        <v>0</v>
      </c>
      <c r="D93" s="84"/>
      <c r="E93" s="149">
        <f t="shared" si="10"/>
        <v>0</v>
      </c>
      <c r="F93" s="149"/>
      <c r="G93" s="481">
        <f t="shared" si="8"/>
        <v>0</v>
      </c>
      <c r="H93" s="481"/>
      <c r="I93" s="481">
        <f t="shared" si="11"/>
        <v>0</v>
      </c>
      <c r="J93" s="481"/>
      <c r="K93" s="481">
        <f t="shared" si="12"/>
        <v>0</v>
      </c>
      <c r="L93" s="481"/>
      <c r="M93" s="481">
        <f t="shared" si="13"/>
        <v>0</v>
      </c>
      <c r="N93" s="481"/>
      <c r="O93" s="481">
        <f t="shared" si="14"/>
        <v>0</v>
      </c>
      <c r="P93"/>
      <c r="Q93"/>
      <c r="R93"/>
      <c r="S93"/>
      <c r="T93"/>
      <c r="U93"/>
    </row>
    <row r="94" spans="1:21" ht="12.75">
      <c r="A94" s="520" t="str">
        <f t="shared" si="9"/>
        <v>SPED Clinicians-Speech Therapist (reimbursed by CPS)</v>
      </c>
      <c r="B94" s="141">
        <v>0</v>
      </c>
      <c r="C94" s="84">
        <f t="shared" si="15"/>
        <v>0</v>
      </c>
      <c r="D94" s="84"/>
      <c r="E94" s="149">
        <f t="shared" si="10"/>
        <v>0</v>
      </c>
      <c r="F94" s="149"/>
      <c r="G94" s="481">
        <f t="shared" si="8"/>
        <v>0</v>
      </c>
      <c r="H94" s="481"/>
      <c r="I94" s="481">
        <f t="shared" si="11"/>
        <v>0</v>
      </c>
      <c r="J94" s="481"/>
      <c r="K94" s="481">
        <f t="shared" si="12"/>
        <v>0</v>
      </c>
      <c r="L94" s="481"/>
      <c r="M94" s="481">
        <f t="shared" si="13"/>
        <v>0</v>
      </c>
      <c r="N94" s="481"/>
      <c r="O94" s="481">
        <f t="shared" si="14"/>
        <v>0</v>
      </c>
      <c r="P94"/>
      <c r="Q94"/>
      <c r="R94"/>
      <c r="S94"/>
      <c r="T94"/>
      <c r="U94"/>
    </row>
    <row r="95" spans="1:21" ht="12.75">
      <c r="A95" s="520" t="str">
        <f t="shared" si="9"/>
        <v>SPED Clinicians-Physical Therapist (reimbursed by CPS)</v>
      </c>
      <c r="B95" s="141"/>
      <c r="C95" s="84">
        <f t="shared" si="15"/>
        <v>0</v>
      </c>
      <c r="D95" s="84"/>
      <c r="E95" s="149">
        <f t="shared" si="10"/>
        <v>0</v>
      </c>
      <c r="F95" s="149"/>
      <c r="G95" s="481">
        <f t="shared" si="8"/>
        <v>0</v>
      </c>
      <c r="H95" s="481"/>
      <c r="I95" s="481">
        <f t="shared" si="11"/>
        <v>0</v>
      </c>
      <c r="J95" s="481"/>
      <c r="K95" s="481">
        <f t="shared" si="12"/>
        <v>0</v>
      </c>
      <c r="L95" s="481"/>
      <c r="M95" s="481">
        <f t="shared" si="13"/>
        <v>0</v>
      </c>
      <c r="N95" s="481"/>
      <c r="O95" s="481">
        <f t="shared" si="14"/>
        <v>0</v>
      </c>
      <c r="P95"/>
      <c r="Q95"/>
      <c r="R95"/>
      <c r="S95"/>
      <c r="T95"/>
      <c r="U95"/>
    </row>
    <row r="96" spans="1:21" ht="12.75">
      <c r="A96" s="520" t="str">
        <f t="shared" si="9"/>
        <v>SPED Clinicians-Occupational Therapist (reimbursed by CPS)</v>
      </c>
      <c r="B96" s="141"/>
      <c r="C96" s="84">
        <f t="shared" si="15"/>
        <v>0</v>
      </c>
      <c r="D96" s="84"/>
      <c r="E96" s="149">
        <f t="shared" si="10"/>
        <v>0</v>
      </c>
      <c r="F96" s="149"/>
      <c r="G96" s="481">
        <f t="shared" si="8"/>
        <v>0</v>
      </c>
      <c r="H96" s="481"/>
      <c r="I96" s="481">
        <f t="shared" si="11"/>
        <v>0</v>
      </c>
      <c r="J96" s="481"/>
      <c r="K96" s="481">
        <f t="shared" si="12"/>
        <v>0</v>
      </c>
      <c r="L96" s="481"/>
      <c r="M96" s="481">
        <f t="shared" si="13"/>
        <v>0</v>
      </c>
      <c r="N96" s="481"/>
      <c r="O96" s="481">
        <f t="shared" si="14"/>
        <v>0</v>
      </c>
      <c r="P96"/>
      <c r="Q96"/>
      <c r="R96"/>
      <c r="S96"/>
      <c r="T96"/>
      <c r="U96"/>
    </row>
    <row r="97" spans="1:21" ht="12.75">
      <c r="A97" s="520" t="str">
        <f t="shared" si="9"/>
        <v>SPED Clinicians-Nurse (reimbursed by CPS)</v>
      </c>
      <c r="B97" s="141">
        <v>0</v>
      </c>
      <c r="C97" s="84">
        <f t="shared" si="15"/>
        <v>0</v>
      </c>
      <c r="D97" s="84"/>
      <c r="E97" s="149">
        <f t="shared" si="10"/>
        <v>0</v>
      </c>
      <c r="F97" s="149"/>
      <c r="G97" s="481">
        <f t="shared" si="8"/>
        <v>0</v>
      </c>
      <c r="H97" s="481"/>
      <c r="I97" s="481">
        <f t="shared" si="11"/>
        <v>0</v>
      </c>
      <c r="J97" s="481"/>
      <c r="K97" s="481">
        <f t="shared" si="12"/>
        <v>0</v>
      </c>
      <c r="L97" s="481"/>
      <c r="M97" s="481">
        <f t="shared" si="13"/>
        <v>0</v>
      </c>
      <c r="N97" s="481"/>
      <c r="O97" s="481">
        <f t="shared" si="14"/>
        <v>0</v>
      </c>
      <c r="P97"/>
      <c r="Q97"/>
      <c r="R97"/>
      <c r="S97"/>
      <c r="T97"/>
      <c r="U97"/>
    </row>
    <row r="98" spans="1:21" ht="12.75">
      <c r="A98" s="422" t="str">
        <f t="shared" si="9"/>
        <v>Teacher Assistants/Aides</v>
      </c>
      <c r="B98" s="141">
        <v>0</v>
      </c>
      <c r="C98" s="84">
        <f t="shared" si="15"/>
        <v>0</v>
      </c>
      <c r="D98" s="84"/>
      <c r="E98" s="149">
        <f t="shared" si="10"/>
        <v>0</v>
      </c>
      <c r="F98" s="149"/>
      <c r="G98" s="481">
        <f t="shared" si="8"/>
        <v>0</v>
      </c>
      <c r="H98" s="481"/>
      <c r="I98" s="481">
        <f t="shared" si="11"/>
        <v>0</v>
      </c>
      <c r="J98" s="481"/>
      <c r="K98" s="481">
        <f t="shared" si="12"/>
        <v>0</v>
      </c>
      <c r="L98" s="481"/>
      <c r="M98" s="481">
        <f t="shared" si="13"/>
        <v>0</v>
      </c>
      <c r="N98" s="481"/>
      <c r="O98" s="481">
        <f t="shared" si="14"/>
        <v>0</v>
      </c>
      <c r="P98"/>
      <c r="Q98"/>
      <c r="R98"/>
      <c r="S98"/>
      <c r="T98"/>
      <c r="U98"/>
    </row>
    <row r="99" spans="1:21" ht="12.75">
      <c r="A99" s="422" t="str">
        <f t="shared" si="9"/>
        <v>Mentors</v>
      </c>
      <c r="B99" s="138">
        <v>25000</v>
      </c>
      <c r="C99" s="84">
        <f t="shared" si="15"/>
        <v>25000</v>
      </c>
      <c r="D99" s="84"/>
      <c r="E99" s="149">
        <f t="shared" si="10"/>
        <v>25000</v>
      </c>
      <c r="F99" s="149"/>
      <c r="G99" s="481">
        <f t="shared" si="8"/>
        <v>25000</v>
      </c>
      <c r="H99" s="481"/>
      <c r="I99" s="481">
        <f t="shared" si="11"/>
        <v>25500</v>
      </c>
      <c r="J99" s="481"/>
      <c r="K99" s="481">
        <f t="shared" si="12"/>
        <v>26010</v>
      </c>
      <c r="L99" s="481"/>
      <c r="M99" s="481">
        <f t="shared" si="13"/>
        <v>26530.2</v>
      </c>
      <c r="N99" s="481"/>
      <c r="O99" s="481">
        <f t="shared" si="14"/>
        <v>27060.804</v>
      </c>
      <c r="P99"/>
      <c r="Q99"/>
      <c r="R99"/>
      <c r="S99"/>
      <c r="T99"/>
      <c r="U99"/>
    </row>
    <row r="100" spans="1:21" ht="12.75">
      <c r="A100" s="422" t="str">
        <f t="shared" si="9"/>
        <v>Academic Advisor</v>
      </c>
      <c r="B100" s="138">
        <v>42500</v>
      </c>
      <c r="C100" s="84">
        <f t="shared" si="15"/>
        <v>42500</v>
      </c>
      <c r="D100" s="84"/>
      <c r="E100" s="149">
        <f t="shared" si="10"/>
        <v>42500</v>
      </c>
      <c r="F100" s="149"/>
      <c r="G100" s="481">
        <f t="shared" si="8"/>
        <v>42500</v>
      </c>
      <c r="H100" s="481"/>
      <c r="I100" s="481">
        <f t="shared" si="11"/>
        <v>43350</v>
      </c>
      <c r="J100" s="481"/>
      <c r="K100" s="481">
        <f t="shared" si="12"/>
        <v>44217</v>
      </c>
      <c r="L100" s="481"/>
      <c r="M100" s="481">
        <f t="shared" si="13"/>
        <v>45101.340000000004</v>
      </c>
      <c r="N100" s="481"/>
      <c r="O100" s="481">
        <f t="shared" si="14"/>
        <v>46003.3668</v>
      </c>
      <c r="P100"/>
      <c r="Q100"/>
      <c r="R100"/>
      <c r="S100"/>
      <c r="T100"/>
      <c r="U100"/>
    </row>
    <row r="101" spans="1:21" ht="12.75">
      <c r="A101" s="422" t="str">
        <f t="shared" si="9"/>
        <v>Lead Teacher / Site Director</v>
      </c>
      <c r="B101" s="138">
        <f>B74</f>
        <v>60000</v>
      </c>
      <c r="C101" s="84">
        <f t="shared" si="15"/>
        <v>60000</v>
      </c>
      <c r="D101" s="84"/>
      <c r="E101" s="149">
        <f t="shared" si="10"/>
        <v>60000</v>
      </c>
      <c r="F101" s="149"/>
      <c r="G101" s="481">
        <f t="shared" si="8"/>
        <v>60000</v>
      </c>
      <c r="H101" s="481"/>
      <c r="I101" s="481">
        <f t="shared" si="11"/>
        <v>61200</v>
      </c>
      <c r="J101" s="481"/>
      <c r="K101" s="481">
        <f t="shared" si="12"/>
        <v>62424</v>
      </c>
      <c r="L101" s="481"/>
      <c r="M101" s="481">
        <f t="shared" si="13"/>
        <v>63672.48</v>
      </c>
      <c r="N101" s="481"/>
      <c r="O101" s="481">
        <f t="shared" si="14"/>
        <v>64945.9296</v>
      </c>
      <c r="P101"/>
      <c r="Q101"/>
      <c r="R101"/>
      <c r="S101"/>
      <c r="T101"/>
      <c r="U101"/>
    </row>
    <row r="102" spans="1:21" ht="12.75">
      <c r="A102" s="422" t="str">
        <f t="shared" si="9"/>
        <v>Assistant Principal</v>
      </c>
      <c r="B102" s="141">
        <v>0</v>
      </c>
      <c r="C102" s="84">
        <f t="shared" si="15"/>
        <v>0</v>
      </c>
      <c r="D102" s="84"/>
      <c r="E102" s="149">
        <f t="shared" si="10"/>
        <v>0</v>
      </c>
      <c r="F102" s="149"/>
      <c r="G102" s="481">
        <f t="shared" si="8"/>
        <v>0</v>
      </c>
      <c r="H102" s="481"/>
      <c r="I102" s="481">
        <f t="shared" si="11"/>
        <v>0</v>
      </c>
      <c r="J102" s="481"/>
      <c r="K102" s="481">
        <f t="shared" si="12"/>
        <v>0</v>
      </c>
      <c r="L102" s="481"/>
      <c r="M102" s="481">
        <f t="shared" si="13"/>
        <v>0</v>
      </c>
      <c r="N102" s="481"/>
      <c r="O102" s="481">
        <f t="shared" si="14"/>
        <v>0</v>
      </c>
      <c r="P102"/>
      <c r="Q102"/>
      <c r="R102"/>
      <c r="S102"/>
      <c r="T102"/>
      <c r="U102"/>
    </row>
    <row r="103" spans="1:21" ht="12.75" customHeight="1">
      <c r="A103" s="422" t="str">
        <f t="shared" si="9"/>
        <v>Librarians</v>
      </c>
      <c r="B103" s="874"/>
      <c r="C103" s="84">
        <f t="shared" si="15"/>
        <v>0</v>
      </c>
      <c r="D103" s="139"/>
      <c r="E103" s="149">
        <f t="shared" si="10"/>
        <v>0</v>
      </c>
      <c r="F103" s="293"/>
      <c r="G103" s="481">
        <f t="shared" si="8"/>
        <v>0</v>
      </c>
      <c r="H103" s="481"/>
      <c r="I103" s="481">
        <f t="shared" si="11"/>
        <v>0</v>
      </c>
      <c r="J103" s="481"/>
      <c r="K103" s="481">
        <f t="shared" si="12"/>
        <v>0</v>
      </c>
      <c r="L103" s="481"/>
      <c r="M103" s="481">
        <f t="shared" si="13"/>
        <v>0</v>
      </c>
      <c r="N103" s="481"/>
      <c r="O103" s="481">
        <f t="shared" si="14"/>
        <v>0</v>
      </c>
      <c r="P103"/>
      <c r="Q103"/>
      <c r="R103"/>
      <c r="S103"/>
      <c r="T103"/>
      <c r="U103"/>
    </row>
    <row r="104" spans="1:21" ht="12.75">
      <c r="A104" s="422" t="str">
        <f t="shared" si="9"/>
        <v>Custodians</v>
      </c>
      <c r="B104" s="138"/>
      <c r="C104" s="84">
        <f aca="true" t="shared" si="16" ref="C104:C115">B104*(1+C$62)</f>
        <v>0</v>
      </c>
      <c r="D104" s="84"/>
      <c r="E104" s="149">
        <f t="shared" si="10"/>
        <v>0</v>
      </c>
      <c r="F104" s="149"/>
      <c r="G104" s="481">
        <f t="shared" si="8"/>
        <v>0</v>
      </c>
      <c r="H104" s="481"/>
      <c r="I104" s="481">
        <f t="shared" si="11"/>
        <v>0</v>
      </c>
      <c r="J104" s="481"/>
      <c r="K104" s="481">
        <f t="shared" si="12"/>
        <v>0</v>
      </c>
      <c r="L104" s="481"/>
      <c r="M104" s="481">
        <f t="shared" si="13"/>
        <v>0</v>
      </c>
      <c r="N104" s="481"/>
      <c r="O104" s="481">
        <f t="shared" si="14"/>
        <v>0</v>
      </c>
      <c r="P104"/>
      <c r="Q104"/>
      <c r="R104"/>
      <c r="S104"/>
      <c r="T104"/>
      <c r="U104"/>
    </row>
    <row r="105" spans="1:21" ht="12.75">
      <c r="A105" s="422" t="str">
        <f t="shared" si="9"/>
        <v>Security</v>
      </c>
      <c r="B105" s="138"/>
      <c r="C105" s="84">
        <f t="shared" si="16"/>
        <v>0</v>
      </c>
      <c r="D105" s="84"/>
      <c r="E105" s="149">
        <f t="shared" si="10"/>
        <v>0</v>
      </c>
      <c r="F105" s="149"/>
      <c r="G105" s="481">
        <f t="shared" si="8"/>
        <v>0</v>
      </c>
      <c r="H105" s="481"/>
      <c r="I105" s="481">
        <f t="shared" si="11"/>
        <v>0</v>
      </c>
      <c r="J105" s="481"/>
      <c r="K105" s="481">
        <f t="shared" si="12"/>
        <v>0</v>
      </c>
      <c r="L105" s="481"/>
      <c r="M105" s="481">
        <f t="shared" si="13"/>
        <v>0</v>
      </c>
      <c r="N105" s="481"/>
      <c r="O105" s="481">
        <f t="shared" si="14"/>
        <v>0</v>
      </c>
      <c r="P105"/>
      <c r="Q105"/>
      <c r="R105"/>
      <c r="S105"/>
      <c r="T105"/>
      <c r="U105"/>
    </row>
    <row r="106" spans="1:21" ht="12.75">
      <c r="A106" s="422" t="str">
        <f t="shared" si="9"/>
        <v>Full-Time Executive Team (i.e., CEO's, COO, CFO, Directors, etc.)</v>
      </c>
      <c r="B106" s="874"/>
      <c r="C106" s="84"/>
      <c r="D106" s="84"/>
      <c r="E106" s="149"/>
      <c r="F106" s="149"/>
      <c r="G106" s="481"/>
      <c r="H106" s="481"/>
      <c r="I106" s="481"/>
      <c r="J106" s="481"/>
      <c r="K106" s="481"/>
      <c r="L106" s="481"/>
      <c r="M106" s="481"/>
      <c r="N106" s="481"/>
      <c r="O106" s="481"/>
      <c r="P106"/>
      <c r="Q106"/>
      <c r="R106"/>
      <c r="S106"/>
      <c r="T106"/>
      <c r="U106"/>
    </row>
    <row r="107" spans="1:21" ht="12.75">
      <c r="A107" s="422" t="str">
        <f t="shared" si="9"/>
        <v>Registrar</v>
      </c>
      <c r="B107" s="138">
        <v>32000</v>
      </c>
      <c r="C107" s="84">
        <f t="shared" si="16"/>
        <v>32000</v>
      </c>
      <c r="D107" s="84"/>
      <c r="E107" s="149">
        <f t="shared" si="10"/>
        <v>32000</v>
      </c>
      <c r="F107" s="149"/>
      <c r="G107" s="481">
        <f t="shared" si="8"/>
        <v>32000</v>
      </c>
      <c r="H107" s="481"/>
      <c r="I107" s="481">
        <f t="shared" si="11"/>
        <v>32640</v>
      </c>
      <c r="J107" s="481"/>
      <c r="K107" s="481">
        <f t="shared" si="12"/>
        <v>33292.8</v>
      </c>
      <c r="L107" s="481"/>
      <c r="M107" s="481">
        <f t="shared" si="13"/>
        <v>33958.656</v>
      </c>
      <c r="N107" s="481"/>
      <c r="O107" s="481">
        <f t="shared" si="14"/>
        <v>34637.82912</v>
      </c>
      <c r="P107"/>
      <c r="Q107"/>
      <c r="R107"/>
      <c r="S107"/>
      <c r="T107"/>
      <c r="U107"/>
    </row>
    <row r="108" spans="1:21" ht="12.75">
      <c r="A108" s="422" t="str">
        <f>A50</f>
        <v>I</v>
      </c>
      <c r="B108" s="138"/>
      <c r="C108" s="84">
        <f t="shared" si="16"/>
        <v>0</v>
      </c>
      <c r="D108" s="84"/>
      <c r="E108" s="149">
        <f t="shared" si="10"/>
        <v>0</v>
      </c>
      <c r="F108" s="149"/>
      <c r="G108" s="481">
        <f t="shared" si="8"/>
        <v>0</v>
      </c>
      <c r="H108" s="481"/>
      <c r="I108" s="481">
        <f t="shared" si="11"/>
        <v>0</v>
      </c>
      <c r="J108" s="481"/>
      <c r="K108" s="481">
        <f t="shared" si="12"/>
        <v>0</v>
      </c>
      <c r="L108" s="481"/>
      <c r="M108" s="481">
        <f t="shared" si="13"/>
        <v>0</v>
      </c>
      <c r="N108" s="481"/>
      <c r="O108" s="481">
        <f t="shared" si="14"/>
        <v>0</v>
      </c>
      <c r="P108"/>
      <c r="Q108"/>
      <c r="R108"/>
      <c r="S108"/>
      <c r="T108"/>
      <c r="U108"/>
    </row>
    <row r="109" spans="1:21" ht="12.75">
      <c r="A109" s="422" t="str">
        <f aca="true" t="shared" si="17" ref="A109:A115">A51</f>
        <v>J</v>
      </c>
      <c r="B109" s="138"/>
      <c r="C109" s="84">
        <f t="shared" si="16"/>
        <v>0</v>
      </c>
      <c r="D109" s="84"/>
      <c r="E109" s="149">
        <f t="shared" si="10"/>
        <v>0</v>
      </c>
      <c r="F109" s="149"/>
      <c r="G109" s="481">
        <f t="shared" si="8"/>
        <v>0</v>
      </c>
      <c r="H109" s="481"/>
      <c r="I109" s="481">
        <f t="shared" si="11"/>
        <v>0</v>
      </c>
      <c r="J109" s="481"/>
      <c r="K109" s="481">
        <f t="shared" si="12"/>
        <v>0</v>
      </c>
      <c r="L109" s="481"/>
      <c r="M109" s="481">
        <f t="shared" si="13"/>
        <v>0</v>
      </c>
      <c r="N109" s="481"/>
      <c r="O109" s="481">
        <f t="shared" si="14"/>
        <v>0</v>
      </c>
      <c r="P109"/>
      <c r="Q109"/>
      <c r="R109"/>
      <c r="S109"/>
      <c r="T109"/>
      <c r="U109"/>
    </row>
    <row r="110" spans="1:21" ht="12.75">
      <c r="A110" s="422" t="str">
        <f t="shared" si="17"/>
        <v>K</v>
      </c>
      <c r="B110" s="138"/>
      <c r="C110" s="84">
        <f t="shared" si="16"/>
        <v>0</v>
      </c>
      <c r="D110" s="84"/>
      <c r="E110" s="149">
        <f t="shared" si="10"/>
        <v>0</v>
      </c>
      <c r="F110" s="149"/>
      <c r="G110" s="481">
        <f t="shared" si="8"/>
        <v>0</v>
      </c>
      <c r="H110" s="481"/>
      <c r="I110" s="481">
        <f t="shared" si="11"/>
        <v>0</v>
      </c>
      <c r="J110" s="481"/>
      <c r="K110" s="481">
        <f t="shared" si="12"/>
        <v>0</v>
      </c>
      <c r="L110" s="481"/>
      <c r="M110" s="481">
        <f t="shared" si="13"/>
        <v>0</v>
      </c>
      <c r="N110" s="481"/>
      <c r="O110" s="481">
        <f t="shared" si="14"/>
        <v>0</v>
      </c>
      <c r="P110"/>
      <c r="Q110"/>
      <c r="R110"/>
      <c r="S110"/>
      <c r="T110"/>
      <c r="U110"/>
    </row>
    <row r="111" spans="1:21" ht="12.75">
      <c r="A111" s="422" t="str">
        <f t="shared" si="17"/>
        <v>L </v>
      </c>
      <c r="B111" s="138"/>
      <c r="C111" s="84">
        <f t="shared" si="16"/>
        <v>0</v>
      </c>
      <c r="D111" s="84"/>
      <c r="E111" s="149">
        <f t="shared" si="10"/>
        <v>0</v>
      </c>
      <c r="F111" s="149"/>
      <c r="G111" s="481">
        <f t="shared" si="8"/>
        <v>0</v>
      </c>
      <c r="H111" s="481"/>
      <c r="I111" s="481">
        <f t="shared" si="11"/>
        <v>0</v>
      </c>
      <c r="J111" s="481"/>
      <c r="K111" s="481">
        <f t="shared" si="12"/>
        <v>0</v>
      </c>
      <c r="L111" s="481"/>
      <c r="M111" s="481">
        <f t="shared" si="13"/>
        <v>0</v>
      </c>
      <c r="N111" s="481"/>
      <c r="O111" s="481">
        <f t="shared" si="14"/>
        <v>0</v>
      </c>
      <c r="P111"/>
      <c r="Q111"/>
      <c r="R111"/>
      <c r="S111"/>
      <c r="T111"/>
      <c r="U111"/>
    </row>
    <row r="112" spans="1:21" ht="12.75">
      <c r="A112" s="422" t="str">
        <f t="shared" si="17"/>
        <v>M</v>
      </c>
      <c r="B112" s="138"/>
      <c r="C112" s="84">
        <f t="shared" si="16"/>
        <v>0</v>
      </c>
      <c r="D112" s="84"/>
      <c r="E112" s="149">
        <f t="shared" si="10"/>
        <v>0</v>
      </c>
      <c r="F112" s="149"/>
      <c r="G112" s="481">
        <f t="shared" si="8"/>
        <v>0</v>
      </c>
      <c r="H112" s="481"/>
      <c r="I112" s="481">
        <f t="shared" si="11"/>
        <v>0</v>
      </c>
      <c r="J112" s="481"/>
      <c r="K112" s="481">
        <f t="shared" si="12"/>
        <v>0</v>
      </c>
      <c r="L112" s="481"/>
      <c r="M112" s="481">
        <f t="shared" si="13"/>
        <v>0</v>
      </c>
      <c r="N112" s="481"/>
      <c r="O112" s="481">
        <f t="shared" si="14"/>
        <v>0</v>
      </c>
      <c r="P112"/>
      <c r="Q112"/>
      <c r="R112"/>
      <c r="S112"/>
      <c r="T112"/>
      <c r="U112"/>
    </row>
    <row r="113" spans="1:21" ht="12.75">
      <c r="A113" s="422" t="str">
        <f t="shared" si="17"/>
        <v>N</v>
      </c>
      <c r="B113" s="138"/>
      <c r="C113" s="84">
        <f t="shared" si="16"/>
        <v>0</v>
      </c>
      <c r="D113" s="84"/>
      <c r="E113" s="149">
        <f t="shared" si="10"/>
        <v>0</v>
      </c>
      <c r="F113" s="149"/>
      <c r="G113" s="481">
        <f t="shared" si="8"/>
        <v>0</v>
      </c>
      <c r="H113" s="481"/>
      <c r="I113" s="481">
        <f t="shared" si="11"/>
        <v>0</v>
      </c>
      <c r="J113" s="481"/>
      <c r="K113" s="481">
        <f t="shared" si="12"/>
        <v>0</v>
      </c>
      <c r="L113" s="481"/>
      <c r="M113" s="481">
        <f t="shared" si="13"/>
        <v>0</v>
      </c>
      <c r="N113" s="481"/>
      <c r="O113" s="481">
        <f t="shared" si="14"/>
        <v>0</v>
      </c>
      <c r="P113"/>
      <c r="Q113"/>
      <c r="R113"/>
      <c r="S113"/>
      <c r="T113"/>
      <c r="U113"/>
    </row>
    <row r="114" spans="1:21" ht="12.75">
      <c r="A114" s="422" t="str">
        <f t="shared" si="17"/>
        <v>O</v>
      </c>
      <c r="B114" s="138"/>
      <c r="C114" s="84">
        <f t="shared" si="16"/>
        <v>0</v>
      </c>
      <c r="D114" s="84"/>
      <c r="E114" s="149">
        <f t="shared" si="10"/>
        <v>0</v>
      </c>
      <c r="F114" s="149"/>
      <c r="G114" s="481">
        <f t="shared" si="8"/>
        <v>0</v>
      </c>
      <c r="H114" s="481"/>
      <c r="I114" s="481">
        <f t="shared" si="11"/>
        <v>0</v>
      </c>
      <c r="J114" s="481"/>
      <c r="K114" s="481">
        <f t="shared" si="12"/>
        <v>0</v>
      </c>
      <c r="L114" s="481"/>
      <c r="M114" s="481">
        <f t="shared" si="13"/>
        <v>0</v>
      </c>
      <c r="N114" s="481"/>
      <c r="O114" s="481">
        <f t="shared" si="14"/>
        <v>0</v>
      </c>
      <c r="P114"/>
      <c r="Q114"/>
      <c r="R114"/>
      <c r="S114"/>
      <c r="T114"/>
      <c r="U114"/>
    </row>
    <row r="115" spans="1:21" ht="12.75">
      <c r="A115" s="422" t="str">
        <f t="shared" si="17"/>
        <v>P</v>
      </c>
      <c r="B115" s="138"/>
      <c r="C115" s="84">
        <f t="shared" si="16"/>
        <v>0</v>
      </c>
      <c r="D115" s="84"/>
      <c r="E115" s="149">
        <f t="shared" si="10"/>
        <v>0</v>
      </c>
      <c r="F115" s="149"/>
      <c r="G115" s="481">
        <f t="shared" si="8"/>
        <v>0</v>
      </c>
      <c r="H115" s="481"/>
      <c r="I115" s="481">
        <f t="shared" si="11"/>
        <v>0</v>
      </c>
      <c r="J115" s="481"/>
      <c r="K115" s="481">
        <f t="shared" si="12"/>
        <v>0</v>
      </c>
      <c r="L115" s="481"/>
      <c r="M115" s="481">
        <f t="shared" si="13"/>
        <v>0</v>
      </c>
      <c r="N115" s="481"/>
      <c r="O115" s="481">
        <f t="shared" si="14"/>
        <v>0</v>
      </c>
      <c r="P115"/>
      <c r="Q115"/>
      <c r="R115"/>
      <c r="S115"/>
      <c r="T115"/>
      <c r="U115"/>
    </row>
    <row r="116" spans="1:21" ht="38.25" customHeight="1" thickBot="1">
      <c r="A116" s="142"/>
      <c r="B116" s="74"/>
      <c r="C116" s="74"/>
      <c r="D116" s="74"/>
      <c r="E116" s="74"/>
      <c r="F116" s="74"/>
      <c r="G116" s="74"/>
      <c r="H116" s="74"/>
      <c r="I116" s="74"/>
      <c r="J116" s="74"/>
      <c r="K116" s="74"/>
      <c r="L116" s="74"/>
      <c r="M116" s="74"/>
      <c r="N116" s="74"/>
      <c r="O116" s="74"/>
      <c r="P116"/>
      <c r="Q116"/>
      <c r="R116"/>
      <c r="S116"/>
      <c r="T116"/>
      <c r="U116"/>
    </row>
    <row r="117" spans="1:21" ht="24" customHeight="1" thickBot="1">
      <c r="A117" s="145"/>
      <c r="B117" s="1074" t="s">
        <v>64</v>
      </c>
      <c r="C117" s="1075"/>
      <c r="D117" s="1075"/>
      <c r="E117" s="1075"/>
      <c r="F117" s="1075"/>
      <c r="G117" s="1075"/>
      <c r="H117" s="1075"/>
      <c r="I117" s="1075"/>
      <c r="J117" s="1075"/>
      <c r="K117" s="1075"/>
      <c r="L117" s="1075"/>
      <c r="M117" s="1075"/>
      <c r="N117" s="1075"/>
      <c r="O117" s="1076"/>
      <c r="P117"/>
      <c r="Q117"/>
      <c r="R117"/>
      <c r="S117"/>
      <c r="T117"/>
      <c r="U117"/>
    </row>
    <row r="118" spans="1:21" ht="40.5" customHeight="1" thickBot="1">
      <c r="A118" s="536" t="str">
        <f>A6</f>
        <v>Positions that Participate in the Chicago Teachers Pension Fund (CTPF):         </v>
      </c>
      <c r="B118" s="537"/>
      <c r="C118" s="538" t="s">
        <v>50</v>
      </c>
      <c r="D118" s="538"/>
      <c r="E118" s="539" t="str">
        <f>E6</f>
        <v>Incubation Year</v>
      </c>
      <c r="F118" s="538"/>
      <c r="G118" s="538">
        <f>$G$6</f>
        <v>2016</v>
      </c>
      <c r="H118" s="538"/>
      <c r="I118" s="538">
        <f>$I$6</f>
        <v>2017</v>
      </c>
      <c r="J118" s="538"/>
      <c r="K118" s="538">
        <f>$K$6</f>
        <v>2018</v>
      </c>
      <c r="L118" s="538"/>
      <c r="M118" s="538">
        <f>$M$6</f>
        <v>2019</v>
      </c>
      <c r="N118" s="538"/>
      <c r="O118" s="540">
        <f>$O$6</f>
        <v>2020</v>
      </c>
      <c r="P118"/>
      <c r="Q118"/>
      <c r="R118"/>
      <c r="S118"/>
      <c r="T118"/>
      <c r="U118"/>
    </row>
    <row r="119" spans="1:21" ht="12.75">
      <c r="A119" s="407" t="str">
        <f>A7</f>
        <v>Teachers </v>
      </c>
      <c r="B119" s="850" t="s">
        <v>229</v>
      </c>
      <c r="C119" s="155"/>
      <c r="D119" s="155"/>
      <c r="E119" s="522">
        <f aca="true" t="shared" si="18" ref="E119:E141">E7*E65</f>
        <v>0</v>
      </c>
      <c r="F119" s="155"/>
      <c r="G119" s="522">
        <f aca="true" t="shared" si="19" ref="G119:G141">G7*G65</f>
        <v>150000</v>
      </c>
      <c r="H119" s="133"/>
      <c r="I119" s="522">
        <f aca="true" t="shared" si="20" ref="I119:I141">I7*I65</f>
        <v>178500</v>
      </c>
      <c r="J119" s="123"/>
      <c r="K119" s="522">
        <f aca="true" t="shared" si="21" ref="K119:K141">K7*K65</f>
        <v>208080</v>
      </c>
      <c r="L119" s="123"/>
      <c r="M119" s="522">
        <f aca="true" t="shared" si="22" ref="M119:M141">M7*M65</f>
        <v>212241.6</v>
      </c>
      <c r="N119" s="123"/>
      <c r="O119" s="522">
        <f aca="true" t="shared" si="23" ref="O119:O141">O7*O65</f>
        <v>216486.432</v>
      </c>
      <c r="P119"/>
      <c r="Q119"/>
      <c r="R119"/>
      <c r="S119"/>
      <c r="T119"/>
      <c r="U119"/>
    </row>
    <row r="120" spans="1:21" ht="15.75" customHeight="1">
      <c r="A120" s="521" t="str">
        <f aca="true" t="shared" si="24" ref="A120:A141">A8</f>
        <v>SPED Teachers (reimbursed by CPS)</v>
      </c>
      <c r="B120" s="850" t="s">
        <v>229</v>
      </c>
      <c r="C120" s="123"/>
      <c r="D120" s="123"/>
      <c r="E120" s="522">
        <f t="shared" si="18"/>
        <v>0</v>
      </c>
      <c r="F120" s="123"/>
      <c r="G120" s="522">
        <f t="shared" si="19"/>
        <v>110000</v>
      </c>
      <c r="H120" s="133"/>
      <c r="I120" s="522">
        <f t="shared" si="20"/>
        <v>112200</v>
      </c>
      <c r="J120" s="123"/>
      <c r="K120" s="522">
        <f t="shared" si="21"/>
        <v>114444</v>
      </c>
      <c r="L120" s="123"/>
      <c r="M120" s="522">
        <f t="shared" si="22"/>
        <v>116732.88</v>
      </c>
      <c r="N120" s="123"/>
      <c r="O120" s="522">
        <f t="shared" si="23"/>
        <v>119067.53760000001</v>
      </c>
      <c r="P120"/>
      <c r="Q120"/>
      <c r="R120"/>
      <c r="S120"/>
      <c r="T120"/>
      <c r="U120"/>
    </row>
    <row r="121" spans="1:21" ht="12.75">
      <c r="A121" s="521" t="str">
        <f t="shared" si="24"/>
        <v>SPED Aides (reimbursed by CPS)</v>
      </c>
      <c r="B121" s="850" t="s">
        <v>229</v>
      </c>
      <c r="C121" s="124">
        <f aca="true" t="shared" si="25" ref="C121:C126">C65*C7</f>
        <v>0</v>
      </c>
      <c r="D121" s="124"/>
      <c r="E121" s="522">
        <f t="shared" si="18"/>
        <v>0</v>
      </c>
      <c r="F121" s="124"/>
      <c r="G121" s="522">
        <f t="shared" si="19"/>
        <v>0</v>
      </c>
      <c r="H121" s="133"/>
      <c r="I121" s="522">
        <f t="shared" si="20"/>
        <v>0</v>
      </c>
      <c r="J121" s="123"/>
      <c r="K121" s="522">
        <f t="shared" si="21"/>
        <v>0</v>
      </c>
      <c r="L121" s="123"/>
      <c r="M121" s="522">
        <f t="shared" si="22"/>
        <v>0</v>
      </c>
      <c r="N121" s="123"/>
      <c r="O121" s="522">
        <f t="shared" si="23"/>
        <v>0</v>
      </c>
      <c r="P121"/>
      <c r="Q121"/>
      <c r="R121"/>
      <c r="S121"/>
      <c r="T121"/>
      <c r="U121"/>
    </row>
    <row r="122" spans="1:21" ht="12.75">
      <c r="A122" s="521" t="str">
        <f t="shared" si="24"/>
        <v>SPED Clinicians-Psychologist (reimbursed by CPS)</v>
      </c>
      <c r="B122" s="850" t="s">
        <v>229</v>
      </c>
      <c r="C122" s="124">
        <f t="shared" si="25"/>
        <v>0</v>
      </c>
      <c r="D122" s="124"/>
      <c r="E122" s="522">
        <f t="shared" si="18"/>
        <v>0</v>
      </c>
      <c r="F122" s="124"/>
      <c r="G122" s="522">
        <f t="shared" si="19"/>
        <v>6250</v>
      </c>
      <c r="H122" s="133"/>
      <c r="I122" s="522">
        <f t="shared" si="20"/>
        <v>6375</v>
      </c>
      <c r="J122" s="123"/>
      <c r="K122" s="522">
        <f t="shared" si="21"/>
        <v>6502.5</v>
      </c>
      <c r="L122" s="123"/>
      <c r="M122" s="522">
        <f t="shared" si="22"/>
        <v>6632.55</v>
      </c>
      <c r="N122" s="123"/>
      <c r="O122" s="522">
        <f t="shared" si="23"/>
        <v>6765.201</v>
      </c>
      <c r="P122"/>
      <c r="Q122"/>
      <c r="R122"/>
      <c r="S122"/>
      <c r="T122"/>
      <c r="U122"/>
    </row>
    <row r="123" spans="1:21" ht="12.75">
      <c r="A123" s="521" t="str">
        <f t="shared" si="24"/>
        <v>SPED Clinicians-Social Worker (reimbursed by CPS)</v>
      </c>
      <c r="B123" s="850" t="s">
        <v>229</v>
      </c>
      <c r="C123" s="123">
        <f t="shared" si="25"/>
        <v>0</v>
      </c>
      <c r="D123" s="123"/>
      <c r="E123" s="522">
        <f t="shared" si="18"/>
        <v>0</v>
      </c>
      <c r="F123" s="123"/>
      <c r="G123" s="522">
        <f t="shared" si="19"/>
        <v>5500</v>
      </c>
      <c r="H123" s="133"/>
      <c r="I123" s="522">
        <f t="shared" si="20"/>
        <v>5610</v>
      </c>
      <c r="J123" s="123"/>
      <c r="K123" s="522">
        <f t="shared" si="21"/>
        <v>5722.200000000001</v>
      </c>
      <c r="L123" s="123"/>
      <c r="M123" s="522">
        <f t="shared" si="22"/>
        <v>5836.644</v>
      </c>
      <c r="N123" s="123"/>
      <c r="O123" s="522">
        <f t="shared" si="23"/>
        <v>5953.376880000001</v>
      </c>
      <c r="P123"/>
      <c r="Q123"/>
      <c r="R123"/>
      <c r="S123"/>
      <c r="T123"/>
      <c r="U123"/>
    </row>
    <row r="124" spans="1:21" ht="12.75">
      <c r="A124" s="521" t="str">
        <f t="shared" si="24"/>
        <v>SPED Clinicians-Speech Therapist (reimbursed by CPS)</v>
      </c>
      <c r="B124" s="850" t="s">
        <v>229</v>
      </c>
      <c r="C124" s="124">
        <f t="shared" si="25"/>
        <v>0</v>
      </c>
      <c r="D124" s="124"/>
      <c r="E124" s="522">
        <f t="shared" si="18"/>
        <v>0</v>
      </c>
      <c r="F124" s="124"/>
      <c r="G124" s="522">
        <f t="shared" si="19"/>
        <v>5500</v>
      </c>
      <c r="H124" s="133"/>
      <c r="I124" s="522">
        <f t="shared" si="20"/>
        <v>5610</v>
      </c>
      <c r="J124" s="123"/>
      <c r="K124" s="522">
        <f t="shared" si="21"/>
        <v>5722.200000000001</v>
      </c>
      <c r="L124" s="123"/>
      <c r="M124" s="522">
        <f t="shared" si="22"/>
        <v>5836.644</v>
      </c>
      <c r="N124" s="123"/>
      <c r="O124" s="522">
        <f t="shared" si="23"/>
        <v>5953.376880000001</v>
      </c>
      <c r="P124"/>
      <c r="Q124"/>
      <c r="R124"/>
      <c r="S124"/>
      <c r="T124"/>
      <c r="U124"/>
    </row>
    <row r="125" spans="1:21" ht="12.75">
      <c r="A125" s="521" t="str">
        <f t="shared" si="24"/>
        <v>SPED Clinicians-Physical Therapist (reimbursed by CPS)</v>
      </c>
      <c r="B125" s="850" t="s">
        <v>229</v>
      </c>
      <c r="C125" s="124">
        <f t="shared" si="25"/>
        <v>0</v>
      </c>
      <c r="D125" s="124"/>
      <c r="E125" s="522">
        <f t="shared" si="18"/>
        <v>0</v>
      </c>
      <c r="F125" s="124"/>
      <c r="G125" s="522">
        <f t="shared" si="19"/>
        <v>0</v>
      </c>
      <c r="H125" s="133"/>
      <c r="I125" s="522">
        <f t="shared" si="20"/>
        <v>0</v>
      </c>
      <c r="J125" s="123"/>
      <c r="K125" s="522">
        <f t="shared" si="21"/>
        <v>0</v>
      </c>
      <c r="L125" s="123"/>
      <c r="M125" s="522">
        <f t="shared" si="22"/>
        <v>0</v>
      </c>
      <c r="N125" s="123"/>
      <c r="O125" s="522">
        <f t="shared" si="23"/>
        <v>0</v>
      </c>
      <c r="P125"/>
      <c r="Q125"/>
      <c r="R125"/>
      <c r="S125"/>
      <c r="T125"/>
      <c r="U125"/>
    </row>
    <row r="126" spans="1:21" ht="12.75">
      <c r="A126" s="521" t="str">
        <f t="shared" si="24"/>
        <v>SPED Clinicians-Occupational Therapist (reimbursed by CPS)</v>
      </c>
      <c r="B126" s="850" t="s">
        <v>229</v>
      </c>
      <c r="C126" s="124">
        <f t="shared" si="25"/>
        <v>0</v>
      </c>
      <c r="D126" s="124"/>
      <c r="E126" s="522">
        <f t="shared" si="18"/>
        <v>0</v>
      </c>
      <c r="F126" s="124"/>
      <c r="G126" s="522">
        <f t="shared" si="19"/>
        <v>0</v>
      </c>
      <c r="H126" s="133"/>
      <c r="I126" s="522">
        <f t="shared" si="20"/>
        <v>0</v>
      </c>
      <c r="J126" s="123"/>
      <c r="K126" s="522">
        <f t="shared" si="21"/>
        <v>0</v>
      </c>
      <c r="L126" s="123"/>
      <c r="M126" s="522">
        <f t="shared" si="22"/>
        <v>0</v>
      </c>
      <c r="N126" s="123"/>
      <c r="O126" s="522">
        <f t="shared" si="23"/>
        <v>0</v>
      </c>
      <c r="P126"/>
      <c r="Q126"/>
      <c r="R126"/>
      <c r="S126"/>
      <c r="T126"/>
      <c r="U126"/>
    </row>
    <row r="127" spans="1:21" ht="12.75">
      <c r="A127" s="521" t="str">
        <f t="shared" si="24"/>
        <v>SPED Clinicians-Nurse (reimbursed by CPS)</v>
      </c>
      <c r="B127" s="850" t="s">
        <v>229</v>
      </c>
      <c r="C127" s="124">
        <f>C71*C19</f>
        <v>0</v>
      </c>
      <c r="D127" s="124"/>
      <c r="E127" s="522">
        <f t="shared" si="18"/>
        <v>0</v>
      </c>
      <c r="F127" s="124"/>
      <c r="G127" s="522">
        <f t="shared" si="19"/>
        <v>5500</v>
      </c>
      <c r="H127" s="133"/>
      <c r="I127" s="522">
        <f t="shared" si="20"/>
        <v>5610</v>
      </c>
      <c r="J127" s="123"/>
      <c r="K127" s="522">
        <f t="shared" si="21"/>
        <v>5722.200000000001</v>
      </c>
      <c r="L127" s="123"/>
      <c r="M127" s="522">
        <f t="shared" si="22"/>
        <v>5836.644</v>
      </c>
      <c r="N127" s="123"/>
      <c r="O127" s="522">
        <f t="shared" si="23"/>
        <v>5953.376880000001</v>
      </c>
      <c r="P127"/>
      <c r="Q127"/>
      <c r="R127"/>
      <c r="S127"/>
      <c r="T127"/>
      <c r="U127"/>
    </row>
    <row r="128" spans="1:21" ht="12.75">
      <c r="A128" s="407" t="str">
        <f t="shared" si="24"/>
        <v>Lead Teacher / Site Director</v>
      </c>
      <c r="B128" s="850" t="s">
        <v>229</v>
      </c>
      <c r="C128" s="124">
        <f>C72*C20</f>
        <v>0</v>
      </c>
      <c r="D128" s="124"/>
      <c r="E128" s="522">
        <f t="shared" si="18"/>
        <v>0</v>
      </c>
      <c r="F128" s="124"/>
      <c r="G128" s="522">
        <f t="shared" si="19"/>
        <v>60000</v>
      </c>
      <c r="H128" s="133"/>
      <c r="I128" s="522">
        <f t="shared" si="20"/>
        <v>61200</v>
      </c>
      <c r="J128" s="123"/>
      <c r="K128" s="522">
        <f t="shared" si="21"/>
        <v>62424</v>
      </c>
      <c r="L128" s="123"/>
      <c r="M128" s="522">
        <f t="shared" si="22"/>
        <v>63672.48</v>
      </c>
      <c r="N128" s="123"/>
      <c r="O128" s="522">
        <f t="shared" si="23"/>
        <v>64945.9296</v>
      </c>
      <c r="P128"/>
      <c r="Q128"/>
      <c r="R128"/>
      <c r="S128"/>
      <c r="T128"/>
      <c r="U128"/>
    </row>
    <row r="129" spans="1:21" ht="12.75" customHeight="1" thickBot="1">
      <c r="A129" s="407" t="str">
        <f t="shared" si="24"/>
        <v>Counselors</v>
      </c>
      <c r="B129" s="850" t="s">
        <v>229</v>
      </c>
      <c r="C129" s="125"/>
      <c r="D129" s="125"/>
      <c r="E129" s="522">
        <f t="shared" si="18"/>
        <v>0</v>
      </c>
      <c r="F129" s="125"/>
      <c r="G129" s="522">
        <f t="shared" si="19"/>
        <v>0</v>
      </c>
      <c r="H129" s="133"/>
      <c r="I129" s="522">
        <f t="shared" si="20"/>
        <v>0</v>
      </c>
      <c r="J129" s="123"/>
      <c r="K129" s="522">
        <f t="shared" si="21"/>
        <v>0</v>
      </c>
      <c r="L129" s="123"/>
      <c r="M129" s="522">
        <f t="shared" si="22"/>
        <v>0</v>
      </c>
      <c r="N129" s="123"/>
      <c r="O129" s="522">
        <f t="shared" si="23"/>
        <v>0</v>
      </c>
      <c r="P129"/>
      <c r="Q129"/>
      <c r="R129"/>
      <c r="S129"/>
      <c r="T129"/>
      <c r="U129"/>
    </row>
    <row r="130" spans="1:21" ht="12.75" customHeight="1" thickBot="1">
      <c r="A130" s="407" t="str">
        <f t="shared" si="24"/>
        <v>Librarians</v>
      </c>
      <c r="B130" s="850" t="s">
        <v>229</v>
      </c>
      <c r="C130" s="157">
        <f>SUM(C121:C129)</f>
        <v>0</v>
      </c>
      <c r="D130" s="124"/>
      <c r="E130" s="522">
        <f t="shared" si="18"/>
        <v>0</v>
      </c>
      <c r="F130" s="124"/>
      <c r="G130" s="522">
        <f t="shared" si="19"/>
        <v>0</v>
      </c>
      <c r="H130" s="133"/>
      <c r="I130" s="522">
        <f t="shared" si="20"/>
        <v>0</v>
      </c>
      <c r="J130" s="123"/>
      <c r="K130" s="522">
        <f t="shared" si="21"/>
        <v>0</v>
      </c>
      <c r="L130" s="123"/>
      <c r="M130" s="522">
        <f t="shared" si="22"/>
        <v>0</v>
      </c>
      <c r="N130" s="123"/>
      <c r="O130" s="522">
        <f t="shared" si="23"/>
        <v>0</v>
      </c>
      <c r="P130"/>
      <c r="Q130"/>
      <c r="R130"/>
      <c r="S130"/>
      <c r="T130"/>
      <c r="U130"/>
    </row>
    <row r="131" spans="1:21" ht="12.75" customHeight="1">
      <c r="A131" s="407" t="str">
        <f t="shared" si="24"/>
        <v>Deans</v>
      </c>
      <c r="B131" s="850" t="s">
        <v>229</v>
      </c>
      <c r="C131" s="126"/>
      <c r="D131" s="126"/>
      <c r="E131" s="522">
        <f t="shared" si="18"/>
        <v>0</v>
      </c>
      <c r="F131" s="126"/>
      <c r="G131" s="522">
        <f t="shared" si="19"/>
        <v>0</v>
      </c>
      <c r="H131" s="133"/>
      <c r="I131" s="522">
        <f t="shared" si="20"/>
        <v>0</v>
      </c>
      <c r="J131" s="123"/>
      <c r="K131" s="522">
        <f t="shared" si="21"/>
        <v>0</v>
      </c>
      <c r="L131" s="123"/>
      <c r="M131" s="522">
        <f t="shared" si="22"/>
        <v>0</v>
      </c>
      <c r="N131" s="123"/>
      <c r="O131" s="522">
        <f t="shared" si="23"/>
        <v>0</v>
      </c>
      <c r="P131"/>
      <c r="Q131"/>
      <c r="R131"/>
      <c r="S131"/>
      <c r="T131"/>
      <c r="U131"/>
    </row>
    <row r="132" spans="1:21" ht="12.75">
      <c r="A132" s="407" t="str">
        <f t="shared" si="24"/>
        <v>Principal</v>
      </c>
      <c r="B132" s="850" t="s">
        <v>229</v>
      </c>
      <c r="C132" s="124">
        <f>C74*C28</f>
        <v>0</v>
      </c>
      <c r="D132" s="124"/>
      <c r="E132" s="522">
        <f t="shared" si="18"/>
        <v>0</v>
      </c>
      <c r="F132" s="124"/>
      <c r="G132" s="522">
        <f t="shared" si="19"/>
        <v>0</v>
      </c>
      <c r="H132" s="133"/>
      <c r="I132" s="522">
        <f t="shared" si="20"/>
        <v>0</v>
      </c>
      <c r="J132" s="123"/>
      <c r="K132" s="522">
        <f t="shared" si="21"/>
        <v>0</v>
      </c>
      <c r="L132" s="123"/>
      <c r="M132" s="522">
        <f t="shared" si="22"/>
        <v>0</v>
      </c>
      <c r="N132" s="123"/>
      <c r="O132" s="522">
        <f t="shared" si="23"/>
        <v>0</v>
      </c>
      <c r="P132"/>
      <c r="Q132"/>
      <c r="R132"/>
      <c r="S132"/>
      <c r="T132"/>
      <c r="U132"/>
    </row>
    <row r="133" spans="1:21" ht="12.75">
      <c r="A133" s="407" t="str">
        <f t="shared" si="24"/>
        <v>Assistant Principal</v>
      </c>
      <c r="B133" s="850" t="s">
        <v>229</v>
      </c>
      <c r="C133" s="124">
        <f>C75*C29</f>
        <v>0</v>
      </c>
      <c r="D133" s="124"/>
      <c r="E133" s="522">
        <f t="shared" si="18"/>
        <v>0</v>
      </c>
      <c r="F133" s="124"/>
      <c r="G133" s="522">
        <f t="shared" si="19"/>
        <v>0</v>
      </c>
      <c r="H133" s="133"/>
      <c r="I133" s="522">
        <f t="shared" si="20"/>
        <v>0</v>
      </c>
      <c r="J133" s="123"/>
      <c r="K133" s="522">
        <f t="shared" si="21"/>
        <v>0</v>
      </c>
      <c r="L133" s="123"/>
      <c r="M133" s="522">
        <f t="shared" si="22"/>
        <v>0</v>
      </c>
      <c r="N133" s="123"/>
      <c r="O133" s="522">
        <f t="shared" si="23"/>
        <v>0</v>
      </c>
      <c r="P133"/>
      <c r="Q133"/>
      <c r="R133"/>
      <c r="S133"/>
      <c r="T133"/>
      <c r="U133"/>
    </row>
    <row r="134" spans="1:21" ht="12.75">
      <c r="A134" s="407" t="str">
        <f t="shared" si="24"/>
        <v>A</v>
      </c>
      <c r="B134" s="850" t="s">
        <v>229</v>
      </c>
      <c r="C134" s="124">
        <f aca="true" t="shared" si="26" ref="C134:C141">C76*C30</f>
        <v>0</v>
      </c>
      <c r="D134" s="124"/>
      <c r="E134" s="522">
        <f t="shared" si="18"/>
        <v>0</v>
      </c>
      <c r="F134" s="124"/>
      <c r="G134" s="522">
        <f t="shared" si="19"/>
        <v>0</v>
      </c>
      <c r="H134" s="133"/>
      <c r="I134" s="522">
        <f t="shared" si="20"/>
        <v>0</v>
      </c>
      <c r="J134" s="123"/>
      <c r="K134" s="522">
        <f t="shared" si="21"/>
        <v>0</v>
      </c>
      <c r="L134" s="123"/>
      <c r="M134" s="522">
        <f t="shared" si="22"/>
        <v>0</v>
      </c>
      <c r="N134" s="123"/>
      <c r="O134" s="522">
        <f t="shared" si="23"/>
        <v>0</v>
      </c>
      <c r="P134"/>
      <c r="Q134"/>
      <c r="R134"/>
      <c r="S134"/>
      <c r="T134"/>
      <c r="U134"/>
    </row>
    <row r="135" spans="1:21" ht="12.75">
      <c r="A135" s="837" t="str">
        <f t="shared" si="24"/>
        <v>B</v>
      </c>
      <c r="B135" s="850" t="s">
        <v>229</v>
      </c>
      <c r="C135" s="124">
        <f t="shared" si="26"/>
        <v>0</v>
      </c>
      <c r="D135" s="124"/>
      <c r="E135" s="522">
        <f t="shared" si="18"/>
        <v>0</v>
      </c>
      <c r="F135" s="124"/>
      <c r="G135" s="522">
        <f t="shared" si="19"/>
        <v>0</v>
      </c>
      <c r="H135" s="133"/>
      <c r="I135" s="522">
        <f t="shared" si="20"/>
        <v>0</v>
      </c>
      <c r="J135" s="123"/>
      <c r="K135" s="522">
        <f t="shared" si="21"/>
        <v>0</v>
      </c>
      <c r="L135" s="123"/>
      <c r="M135" s="522">
        <f t="shared" si="22"/>
        <v>0</v>
      </c>
      <c r="N135" s="123"/>
      <c r="O135" s="522">
        <f t="shared" si="23"/>
        <v>0</v>
      </c>
      <c r="P135"/>
      <c r="Q135"/>
      <c r="R135"/>
      <c r="S135"/>
      <c r="T135"/>
      <c r="U135"/>
    </row>
    <row r="136" spans="1:21" ht="12.75">
      <c r="A136" s="837" t="str">
        <f t="shared" si="24"/>
        <v>C</v>
      </c>
      <c r="B136" s="850" t="s">
        <v>229</v>
      </c>
      <c r="C136" s="124">
        <f t="shared" si="26"/>
        <v>0</v>
      </c>
      <c r="D136" s="124"/>
      <c r="E136" s="522">
        <f t="shared" si="18"/>
        <v>0</v>
      </c>
      <c r="F136" s="124"/>
      <c r="G136" s="522">
        <f t="shared" si="19"/>
        <v>0</v>
      </c>
      <c r="H136" s="133"/>
      <c r="I136" s="522">
        <f t="shared" si="20"/>
        <v>0</v>
      </c>
      <c r="J136" s="123"/>
      <c r="K136" s="522">
        <f t="shared" si="21"/>
        <v>0</v>
      </c>
      <c r="L136" s="123"/>
      <c r="M136" s="522">
        <f t="shared" si="22"/>
        <v>0</v>
      </c>
      <c r="N136" s="123"/>
      <c r="O136" s="522">
        <f t="shared" si="23"/>
        <v>0</v>
      </c>
      <c r="P136"/>
      <c r="Q136"/>
      <c r="R136"/>
      <c r="S136"/>
      <c r="T136"/>
      <c r="U136"/>
    </row>
    <row r="137" spans="1:21" ht="12.75">
      <c r="A137" s="837" t="str">
        <f t="shared" si="24"/>
        <v>D</v>
      </c>
      <c r="B137" s="850" t="s">
        <v>229</v>
      </c>
      <c r="C137" s="124">
        <f t="shared" si="26"/>
        <v>0</v>
      </c>
      <c r="D137" s="124"/>
      <c r="E137" s="522">
        <f t="shared" si="18"/>
        <v>0</v>
      </c>
      <c r="F137" s="124"/>
      <c r="G137" s="522">
        <f t="shared" si="19"/>
        <v>0</v>
      </c>
      <c r="H137" s="133"/>
      <c r="I137" s="522">
        <f t="shared" si="20"/>
        <v>0</v>
      </c>
      <c r="J137" s="123"/>
      <c r="K137" s="522">
        <f t="shared" si="21"/>
        <v>0</v>
      </c>
      <c r="L137" s="123"/>
      <c r="M137" s="522">
        <f t="shared" si="22"/>
        <v>0</v>
      </c>
      <c r="N137" s="123"/>
      <c r="O137" s="522">
        <f t="shared" si="23"/>
        <v>0</v>
      </c>
      <c r="P137"/>
      <c r="Q137"/>
      <c r="R137"/>
      <c r="S137"/>
      <c r="T137"/>
      <c r="U137"/>
    </row>
    <row r="138" spans="1:21" ht="12.75">
      <c r="A138" s="837" t="str">
        <f t="shared" si="24"/>
        <v>E</v>
      </c>
      <c r="B138" s="850" t="s">
        <v>229</v>
      </c>
      <c r="C138" s="124">
        <f t="shared" si="26"/>
        <v>0</v>
      </c>
      <c r="D138" s="124"/>
      <c r="E138" s="522">
        <f t="shared" si="18"/>
        <v>0</v>
      </c>
      <c r="F138" s="124"/>
      <c r="G138" s="522">
        <f t="shared" si="19"/>
        <v>0</v>
      </c>
      <c r="H138" s="133"/>
      <c r="I138" s="522">
        <f t="shared" si="20"/>
        <v>0</v>
      </c>
      <c r="J138" s="123"/>
      <c r="K138" s="522">
        <f t="shared" si="21"/>
        <v>0</v>
      </c>
      <c r="L138" s="123"/>
      <c r="M138" s="522">
        <f t="shared" si="22"/>
        <v>0</v>
      </c>
      <c r="N138" s="123"/>
      <c r="O138" s="522">
        <f t="shared" si="23"/>
        <v>0</v>
      </c>
      <c r="P138"/>
      <c r="Q138"/>
      <c r="R138"/>
      <c r="S138"/>
      <c r="T138"/>
      <c r="U138"/>
    </row>
    <row r="139" spans="1:21" ht="12.75">
      <c r="A139" s="837" t="str">
        <f t="shared" si="24"/>
        <v>F</v>
      </c>
      <c r="B139" s="850" t="s">
        <v>229</v>
      </c>
      <c r="C139" s="124">
        <f t="shared" si="26"/>
        <v>0</v>
      </c>
      <c r="D139" s="124"/>
      <c r="E139" s="522">
        <f t="shared" si="18"/>
        <v>0</v>
      </c>
      <c r="F139" s="124"/>
      <c r="G139" s="522">
        <f t="shared" si="19"/>
        <v>0</v>
      </c>
      <c r="H139" s="133"/>
      <c r="I139" s="522">
        <f t="shared" si="20"/>
        <v>0</v>
      </c>
      <c r="J139" s="123"/>
      <c r="K139" s="522">
        <f t="shared" si="21"/>
        <v>0</v>
      </c>
      <c r="L139" s="123"/>
      <c r="M139" s="522">
        <f t="shared" si="22"/>
        <v>0</v>
      </c>
      <c r="N139" s="123"/>
      <c r="O139" s="522">
        <f t="shared" si="23"/>
        <v>0</v>
      </c>
      <c r="P139"/>
      <c r="Q139"/>
      <c r="R139"/>
      <c r="S139"/>
      <c r="T139"/>
      <c r="U139"/>
    </row>
    <row r="140" spans="1:21" ht="12.75">
      <c r="A140" s="837" t="str">
        <f t="shared" si="24"/>
        <v>G</v>
      </c>
      <c r="B140" s="850" t="s">
        <v>229</v>
      </c>
      <c r="C140" s="124">
        <f t="shared" si="26"/>
        <v>0</v>
      </c>
      <c r="D140" s="124"/>
      <c r="E140" s="522">
        <f t="shared" si="18"/>
        <v>0</v>
      </c>
      <c r="F140" s="124"/>
      <c r="G140" s="522">
        <f t="shared" si="19"/>
        <v>0</v>
      </c>
      <c r="H140" s="133"/>
      <c r="I140" s="522">
        <f t="shared" si="20"/>
        <v>0</v>
      </c>
      <c r="J140" s="123"/>
      <c r="K140" s="522">
        <f t="shared" si="21"/>
        <v>0</v>
      </c>
      <c r="L140" s="123"/>
      <c r="M140" s="522">
        <f t="shared" si="22"/>
        <v>0</v>
      </c>
      <c r="N140" s="123"/>
      <c r="O140" s="522">
        <f t="shared" si="23"/>
        <v>0</v>
      </c>
      <c r="P140"/>
      <c r="Q140"/>
      <c r="R140"/>
      <c r="S140"/>
      <c r="T140"/>
      <c r="U140"/>
    </row>
    <row r="141" spans="1:21" ht="13.5" thickBot="1">
      <c r="A141" s="838" t="str">
        <f t="shared" si="24"/>
        <v>H</v>
      </c>
      <c r="B141" s="851" t="s">
        <v>229</v>
      </c>
      <c r="C141" s="429">
        <f t="shared" si="26"/>
        <v>0</v>
      </c>
      <c r="D141" s="429"/>
      <c r="E141" s="523">
        <f t="shared" si="18"/>
        <v>0</v>
      </c>
      <c r="F141" s="429"/>
      <c r="G141" s="522">
        <f t="shared" si="19"/>
        <v>0</v>
      </c>
      <c r="H141" s="133"/>
      <c r="I141" s="522">
        <f t="shared" si="20"/>
        <v>0</v>
      </c>
      <c r="J141" s="123"/>
      <c r="K141" s="522">
        <f t="shared" si="21"/>
        <v>0</v>
      </c>
      <c r="L141" s="123"/>
      <c r="M141" s="522">
        <f t="shared" si="22"/>
        <v>0</v>
      </c>
      <c r="N141" s="123"/>
      <c r="O141" s="522">
        <f t="shared" si="23"/>
        <v>0</v>
      </c>
      <c r="P141"/>
      <c r="Q141"/>
      <c r="R141"/>
      <c r="S141"/>
      <c r="T141"/>
      <c r="U141"/>
    </row>
    <row r="142" spans="1:21" ht="13.5" thickBot="1">
      <c r="A142" s="525" t="s">
        <v>281</v>
      </c>
      <c r="B142" s="852"/>
      <c r="C142" s="430"/>
      <c r="D142" s="430"/>
      <c r="E142" s="524">
        <f>SUM(E119:E141)</f>
        <v>0</v>
      </c>
      <c r="F142" s="430"/>
      <c r="G142" s="524">
        <f>SUM(G119:G141)</f>
        <v>342750</v>
      </c>
      <c r="H142" s="430"/>
      <c r="I142" s="524">
        <f>SUM(I119:I141)</f>
        <v>375105</v>
      </c>
      <c r="J142" s="430"/>
      <c r="K142" s="524">
        <f>SUM(K119:K141)</f>
        <v>408617.10000000003</v>
      </c>
      <c r="L142" s="430"/>
      <c r="M142" s="524">
        <f>SUM(M119:M141)</f>
        <v>416789.4419999999</v>
      </c>
      <c r="N142" s="430"/>
      <c r="O142" s="524">
        <f>SUM(O119:O141)</f>
        <v>425125.23084</v>
      </c>
      <c r="P142"/>
      <c r="Q142"/>
      <c r="R142"/>
      <c r="S142"/>
      <c r="T142"/>
      <c r="U142"/>
    </row>
    <row r="143" spans="1:21" ht="13.5" thickBot="1">
      <c r="A143" s="983" t="s">
        <v>392</v>
      </c>
      <c r="B143" s="527"/>
      <c r="C143" s="147"/>
      <c r="D143" s="147"/>
      <c r="E143" s="526"/>
      <c r="F143" s="126"/>
      <c r="G143" s="526"/>
      <c r="H143" s="126"/>
      <c r="I143" s="526"/>
      <c r="J143" s="126"/>
      <c r="K143" s="526"/>
      <c r="L143" s="126"/>
      <c r="M143" s="526"/>
      <c r="N143" s="126"/>
      <c r="O143" s="526"/>
      <c r="P143"/>
      <c r="Q143"/>
      <c r="R143"/>
      <c r="S143"/>
      <c r="T143"/>
      <c r="U143"/>
    </row>
    <row r="144" spans="1:21" ht="12.75">
      <c r="A144" s="839" t="s">
        <v>275</v>
      </c>
      <c r="B144" s="853" t="s">
        <v>229</v>
      </c>
      <c r="C144" s="124"/>
      <c r="D144" s="124"/>
      <c r="E144" s="853">
        <v>0</v>
      </c>
      <c r="F144" s="124"/>
      <c r="G144" s="158"/>
      <c r="H144" s="124"/>
      <c r="I144" s="158"/>
      <c r="J144" s="124"/>
      <c r="K144" s="158"/>
      <c r="L144" s="124"/>
      <c r="M144" s="158"/>
      <c r="N144" s="124"/>
      <c r="O144" s="158"/>
      <c r="P144"/>
      <c r="Q144"/>
      <c r="R144"/>
      <c r="S144"/>
      <c r="T144"/>
      <c r="U144"/>
    </row>
    <row r="145" spans="1:21" ht="12.75">
      <c r="A145" s="839" t="s">
        <v>278</v>
      </c>
      <c r="B145" s="853" t="s">
        <v>229</v>
      </c>
      <c r="C145" s="124"/>
      <c r="D145" s="124"/>
      <c r="E145" s="853">
        <v>0</v>
      </c>
      <c r="F145" s="124"/>
      <c r="G145" s="158"/>
      <c r="H145" s="124"/>
      <c r="I145" s="158"/>
      <c r="J145" s="124"/>
      <c r="K145" s="158"/>
      <c r="L145" s="124"/>
      <c r="M145" s="158"/>
      <c r="N145" s="124"/>
      <c r="O145" s="158"/>
      <c r="P145"/>
      <c r="Q145"/>
      <c r="R145"/>
      <c r="S145"/>
      <c r="T145"/>
      <c r="U145"/>
    </row>
    <row r="146" spans="1:21" ht="12.75">
      <c r="A146" s="839" t="s">
        <v>276</v>
      </c>
      <c r="B146" s="853" t="s">
        <v>229</v>
      </c>
      <c r="C146" s="124"/>
      <c r="D146" s="124"/>
      <c r="E146" s="853">
        <v>0</v>
      </c>
      <c r="F146" s="124"/>
      <c r="G146" s="158"/>
      <c r="H146" s="124"/>
      <c r="I146" s="158"/>
      <c r="J146" s="124"/>
      <c r="K146" s="158"/>
      <c r="L146" s="124"/>
      <c r="M146" s="158"/>
      <c r="N146" s="124"/>
      <c r="O146" s="158"/>
      <c r="P146"/>
      <c r="Q146"/>
      <c r="R146"/>
      <c r="S146"/>
      <c r="T146"/>
      <c r="U146"/>
    </row>
    <row r="147" spans="1:21" ht="13.5" thickBot="1">
      <c r="A147" s="840" t="s">
        <v>277</v>
      </c>
      <c r="B147" s="853" t="s">
        <v>229</v>
      </c>
      <c r="C147" s="124"/>
      <c r="D147" s="124"/>
      <c r="E147" s="885">
        <v>0</v>
      </c>
      <c r="F147" s="124"/>
      <c r="G147" s="742"/>
      <c r="H147" s="429"/>
      <c r="I147" s="742"/>
      <c r="J147" s="429"/>
      <c r="K147" s="742"/>
      <c r="L147" s="429"/>
      <c r="M147" s="742"/>
      <c r="N147" s="429"/>
      <c r="O147" s="742"/>
      <c r="P147"/>
      <c r="Q147"/>
      <c r="R147"/>
      <c r="S147"/>
      <c r="T147"/>
      <c r="U147"/>
    </row>
    <row r="148" spans="1:21" ht="13.5" thickBot="1">
      <c r="A148" s="525" t="s">
        <v>282</v>
      </c>
      <c r="B148" s="854"/>
      <c r="C148" s="886"/>
      <c r="D148" s="886"/>
      <c r="E148" s="524">
        <f>SUM(E144:E147)</f>
        <v>0</v>
      </c>
      <c r="F148" s="875"/>
      <c r="G148" s="524">
        <f>SUM(G144:G147)</f>
        <v>0</v>
      </c>
      <c r="H148" s="431"/>
      <c r="I148" s="524">
        <f>SUM(I144:I147)</f>
        <v>0</v>
      </c>
      <c r="J148" s="430"/>
      <c r="K148" s="524">
        <f>SUM(K144:K147)</f>
        <v>0</v>
      </c>
      <c r="L148" s="430"/>
      <c r="M148" s="524">
        <f>SUM(M144:M147)</f>
        <v>0</v>
      </c>
      <c r="N148" s="430"/>
      <c r="O148" s="524">
        <f>SUM(O144:O147)</f>
        <v>0</v>
      </c>
      <c r="P148"/>
      <c r="Q148"/>
      <c r="R148"/>
      <c r="S148"/>
      <c r="T148"/>
      <c r="U148"/>
    </row>
    <row r="149" spans="1:21" ht="40.5" customHeight="1" thickBot="1">
      <c r="A149" s="544" t="str">
        <f aca="true" t="shared" si="27" ref="A149:A176">A30</f>
        <v>Positions that Do NOT Participate in the Chicago Teachers Pension Fund (CTPF):         </v>
      </c>
      <c r="B149" s="855"/>
      <c r="C149" s="545"/>
      <c r="D149" s="545"/>
      <c r="E149" s="545"/>
      <c r="F149" s="545"/>
      <c r="G149" s="545"/>
      <c r="H149" s="545"/>
      <c r="I149" s="545"/>
      <c r="J149" s="545"/>
      <c r="K149" s="545"/>
      <c r="L149" s="545"/>
      <c r="M149" s="545"/>
      <c r="N149" s="545"/>
      <c r="O149" s="546"/>
      <c r="P149"/>
      <c r="Q149"/>
      <c r="R149"/>
      <c r="S149"/>
      <c r="T149"/>
      <c r="U149"/>
    </row>
    <row r="150" spans="1:21" ht="12.75">
      <c r="A150" s="406" t="str">
        <f t="shared" si="27"/>
        <v>Teachers</v>
      </c>
      <c r="B150" s="849" t="s">
        <v>229</v>
      </c>
      <c r="C150" s="147">
        <f aca="true" t="shared" si="28" ref="C150:C166">C85*C39</f>
        <v>0</v>
      </c>
      <c r="D150" s="147"/>
      <c r="E150" s="526">
        <f>E31*E89</f>
        <v>0</v>
      </c>
      <c r="F150" s="126">
        <f>F31*F89</f>
        <v>0</v>
      </c>
      <c r="G150" s="526">
        <f>G31*G89</f>
        <v>0</v>
      </c>
      <c r="H150" s="126"/>
      <c r="I150" s="526">
        <f>I31*I89</f>
        <v>0</v>
      </c>
      <c r="J150" s="126"/>
      <c r="K150" s="526">
        <f aca="true" t="shared" si="29" ref="K150:K176">K31*K89</f>
        <v>0</v>
      </c>
      <c r="L150" s="126"/>
      <c r="M150" s="526">
        <f aca="true" t="shared" si="30" ref="M150:M176">M31*M89</f>
        <v>0</v>
      </c>
      <c r="N150" s="126"/>
      <c r="O150" s="526">
        <f aca="true" t="shared" si="31" ref="O150:O176">O31*O89</f>
        <v>0</v>
      </c>
      <c r="P150"/>
      <c r="Q150"/>
      <c r="R150"/>
      <c r="S150"/>
      <c r="T150"/>
      <c r="U150"/>
    </row>
    <row r="151" spans="1:21" ht="12.75">
      <c r="A151" s="521" t="str">
        <f t="shared" si="27"/>
        <v>SPED Teachers (positions that are reimbursed by CPS)</v>
      </c>
      <c r="B151" s="849" t="s">
        <v>229</v>
      </c>
      <c r="C151" s="124">
        <f t="shared" si="28"/>
        <v>0</v>
      </c>
      <c r="D151" s="124"/>
      <c r="E151" s="526">
        <f aca="true" t="shared" si="32" ref="E151:E176">E32*E90</f>
        <v>0</v>
      </c>
      <c r="F151" s="126"/>
      <c r="G151" s="526">
        <f aca="true" t="shared" si="33" ref="G151:G176">G32*G90</f>
        <v>0</v>
      </c>
      <c r="H151" s="126"/>
      <c r="I151" s="526">
        <f aca="true" t="shared" si="34" ref="I151:I176">I32*I90</f>
        <v>0</v>
      </c>
      <c r="J151" s="126"/>
      <c r="K151" s="526">
        <f t="shared" si="29"/>
        <v>0</v>
      </c>
      <c r="L151" s="126"/>
      <c r="M151" s="526">
        <f t="shared" si="30"/>
        <v>0</v>
      </c>
      <c r="N151" s="126"/>
      <c r="O151" s="526">
        <f t="shared" si="31"/>
        <v>0</v>
      </c>
      <c r="P151"/>
      <c r="Q151"/>
      <c r="R151"/>
      <c r="S151"/>
      <c r="T151"/>
      <c r="U151"/>
    </row>
    <row r="152" spans="1:21" ht="12.75">
      <c r="A152" s="521" t="str">
        <f t="shared" si="27"/>
        <v>SPED Aides (positions that are reimbursed by CPS)</v>
      </c>
      <c r="B152" s="849" t="s">
        <v>229</v>
      </c>
      <c r="C152" s="124">
        <f t="shared" si="28"/>
        <v>0</v>
      </c>
      <c r="D152" s="124"/>
      <c r="E152" s="526">
        <f t="shared" si="32"/>
        <v>0</v>
      </c>
      <c r="F152" s="126"/>
      <c r="G152" s="526">
        <f t="shared" si="33"/>
        <v>0</v>
      </c>
      <c r="H152" s="126"/>
      <c r="I152" s="526">
        <f t="shared" si="34"/>
        <v>0</v>
      </c>
      <c r="J152" s="126"/>
      <c r="K152" s="526">
        <f t="shared" si="29"/>
        <v>0</v>
      </c>
      <c r="L152" s="126"/>
      <c r="M152" s="526">
        <f t="shared" si="30"/>
        <v>0</v>
      </c>
      <c r="N152" s="126"/>
      <c r="O152" s="526">
        <f t="shared" si="31"/>
        <v>0</v>
      </c>
      <c r="P152"/>
      <c r="Q152"/>
      <c r="R152"/>
      <c r="S152"/>
      <c r="T152"/>
      <c r="U152"/>
    </row>
    <row r="153" spans="1:21" ht="12.75">
      <c r="A153" s="521" t="str">
        <f t="shared" si="27"/>
        <v>SPED Clinicians-Psychologist (reimbursed by CPS)</v>
      </c>
      <c r="B153" s="849" t="s">
        <v>229</v>
      </c>
      <c r="C153" s="124">
        <f t="shared" si="28"/>
        <v>0</v>
      </c>
      <c r="D153" s="124"/>
      <c r="E153" s="526">
        <f t="shared" si="32"/>
        <v>0</v>
      </c>
      <c r="F153" s="126"/>
      <c r="G153" s="526">
        <f t="shared" si="33"/>
        <v>0</v>
      </c>
      <c r="H153" s="126"/>
      <c r="I153" s="526">
        <f t="shared" si="34"/>
        <v>0</v>
      </c>
      <c r="J153" s="126"/>
      <c r="K153" s="526">
        <f t="shared" si="29"/>
        <v>0</v>
      </c>
      <c r="L153" s="126"/>
      <c r="M153" s="526">
        <f t="shared" si="30"/>
        <v>0</v>
      </c>
      <c r="N153" s="126"/>
      <c r="O153" s="526">
        <f t="shared" si="31"/>
        <v>0</v>
      </c>
      <c r="P153"/>
      <c r="Q153"/>
      <c r="R153"/>
      <c r="S153"/>
      <c r="T153"/>
      <c r="U153"/>
    </row>
    <row r="154" spans="1:21" ht="12.75">
      <c r="A154" s="521" t="str">
        <f t="shared" si="27"/>
        <v>SPED Clinicians-Social Worker (reimbursed by CPS)</v>
      </c>
      <c r="B154" s="849" t="s">
        <v>229</v>
      </c>
      <c r="C154" s="124">
        <f t="shared" si="28"/>
        <v>0</v>
      </c>
      <c r="D154" s="124"/>
      <c r="E154" s="526">
        <f t="shared" si="32"/>
        <v>0</v>
      </c>
      <c r="F154" s="126"/>
      <c r="G154" s="526">
        <f t="shared" si="33"/>
        <v>0</v>
      </c>
      <c r="H154" s="126"/>
      <c r="I154" s="526">
        <f t="shared" si="34"/>
        <v>0</v>
      </c>
      <c r="J154" s="126"/>
      <c r="K154" s="526">
        <f t="shared" si="29"/>
        <v>0</v>
      </c>
      <c r="L154" s="126"/>
      <c r="M154" s="526">
        <f t="shared" si="30"/>
        <v>0</v>
      </c>
      <c r="N154" s="126"/>
      <c r="O154" s="526">
        <f t="shared" si="31"/>
        <v>0</v>
      </c>
      <c r="P154"/>
      <c r="Q154"/>
      <c r="R154"/>
      <c r="S154"/>
      <c r="T154"/>
      <c r="U154"/>
    </row>
    <row r="155" spans="1:21" ht="12.75">
      <c r="A155" s="521" t="str">
        <f t="shared" si="27"/>
        <v>SPED Clinicians-Speech Therapist (reimbursed by CPS)</v>
      </c>
      <c r="B155" s="849" t="s">
        <v>229</v>
      </c>
      <c r="C155" s="124">
        <f t="shared" si="28"/>
        <v>0</v>
      </c>
      <c r="D155" s="124"/>
      <c r="E155" s="526">
        <f t="shared" si="32"/>
        <v>0</v>
      </c>
      <c r="F155" s="126"/>
      <c r="G155" s="526">
        <f t="shared" si="33"/>
        <v>0</v>
      </c>
      <c r="H155" s="126"/>
      <c r="I155" s="526">
        <f t="shared" si="34"/>
        <v>0</v>
      </c>
      <c r="J155" s="126"/>
      <c r="K155" s="526">
        <f t="shared" si="29"/>
        <v>0</v>
      </c>
      <c r="L155" s="126"/>
      <c r="M155" s="526">
        <f t="shared" si="30"/>
        <v>0</v>
      </c>
      <c r="N155" s="126"/>
      <c r="O155" s="526">
        <f t="shared" si="31"/>
        <v>0</v>
      </c>
      <c r="P155"/>
      <c r="Q155"/>
      <c r="R155"/>
      <c r="S155"/>
      <c r="T155"/>
      <c r="U155"/>
    </row>
    <row r="156" spans="1:21" ht="12.75">
      <c r="A156" s="521" t="str">
        <f t="shared" si="27"/>
        <v>SPED Clinicians-Physical Therapist (reimbursed by CPS)</v>
      </c>
      <c r="B156" s="849" t="s">
        <v>229</v>
      </c>
      <c r="C156" s="124">
        <f t="shared" si="28"/>
        <v>0</v>
      </c>
      <c r="D156" s="124"/>
      <c r="E156" s="526">
        <f t="shared" si="32"/>
        <v>0</v>
      </c>
      <c r="F156" s="126"/>
      <c r="G156" s="526">
        <f t="shared" si="33"/>
        <v>0</v>
      </c>
      <c r="H156" s="126"/>
      <c r="I156" s="526">
        <f t="shared" si="34"/>
        <v>0</v>
      </c>
      <c r="J156" s="126"/>
      <c r="K156" s="526">
        <f t="shared" si="29"/>
        <v>0</v>
      </c>
      <c r="L156" s="126"/>
      <c r="M156" s="526">
        <f t="shared" si="30"/>
        <v>0</v>
      </c>
      <c r="N156" s="126"/>
      <c r="O156" s="526">
        <f t="shared" si="31"/>
        <v>0</v>
      </c>
      <c r="P156"/>
      <c r="Q156"/>
      <c r="R156"/>
      <c r="S156"/>
      <c r="T156"/>
      <c r="U156"/>
    </row>
    <row r="157" spans="1:21" ht="12.75">
      <c r="A157" s="521" t="str">
        <f t="shared" si="27"/>
        <v>SPED Clinicians-Occupational Therapist (reimbursed by CPS)</v>
      </c>
      <c r="B157" s="849" t="s">
        <v>229</v>
      </c>
      <c r="C157" s="124">
        <f t="shared" si="28"/>
        <v>0</v>
      </c>
      <c r="D157" s="124"/>
      <c r="E157" s="526">
        <f t="shared" si="32"/>
        <v>0</v>
      </c>
      <c r="F157" s="126"/>
      <c r="G157" s="526">
        <f t="shared" si="33"/>
        <v>0</v>
      </c>
      <c r="H157" s="126"/>
      <c r="I157" s="526">
        <f t="shared" si="34"/>
        <v>0</v>
      </c>
      <c r="J157" s="126"/>
      <c r="K157" s="526">
        <f t="shared" si="29"/>
        <v>0</v>
      </c>
      <c r="L157" s="126"/>
      <c r="M157" s="526">
        <f t="shared" si="30"/>
        <v>0</v>
      </c>
      <c r="N157" s="126"/>
      <c r="O157" s="526">
        <f t="shared" si="31"/>
        <v>0</v>
      </c>
      <c r="P157"/>
      <c r="Q157"/>
      <c r="R157"/>
      <c r="S157"/>
      <c r="T157"/>
      <c r="U157"/>
    </row>
    <row r="158" spans="1:21" ht="12.75">
      <c r="A158" s="521" t="str">
        <f t="shared" si="27"/>
        <v>SPED Clinicians-Nurse (reimbursed by CPS)</v>
      </c>
      <c r="B158" s="849" t="s">
        <v>229</v>
      </c>
      <c r="C158" s="124">
        <f t="shared" si="28"/>
        <v>0</v>
      </c>
      <c r="D158" s="124"/>
      <c r="E158" s="526">
        <f t="shared" si="32"/>
        <v>0</v>
      </c>
      <c r="F158" s="126"/>
      <c r="G158" s="526">
        <f t="shared" si="33"/>
        <v>0</v>
      </c>
      <c r="H158" s="126"/>
      <c r="I158" s="526">
        <f t="shared" si="34"/>
        <v>0</v>
      </c>
      <c r="J158" s="126"/>
      <c r="K158" s="526">
        <f t="shared" si="29"/>
        <v>0</v>
      </c>
      <c r="L158" s="126"/>
      <c r="M158" s="526">
        <f t="shared" si="30"/>
        <v>0</v>
      </c>
      <c r="N158" s="126"/>
      <c r="O158" s="526">
        <f t="shared" si="31"/>
        <v>0</v>
      </c>
      <c r="P158"/>
      <c r="Q158"/>
      <c r="R158"/>
      <c r="S158"/>
      <c r="T158"/>
      <c r="U158"/>
    </row>
    <row r="159" spans="1:21" ht="12.75">
      <c r="A159" s="407" t="str">
        <f t="shared" si="27"/>
        <v>Teacher Assistants/Aides</v>
      </c>
      <c r="B159" s="849" t="s">
        <v>229</v>
      </c>
      <c r="C159" s="124">
        <f t="shared" si="28"/>
        <v>0</v>
      </c>
      <c r="D159" s="124"/>
      <c r="E159" s="526">
        <f t="shared" si="32"/>
        <v>0</v>
      </c>
      <c r="F159" s="126"/>
      <c r="G159" s="526">
        <f t="shared" si="33"/>
        <v>0</v>
      </c>
      <c r="H159" s="126"/>
      <c r="I159" s="526">
        <f t="shared" si="34"/>
        <v>0</v>
      </c>
      <c r="J159" s="126"/>
      <c r="K159" s="526">
        <f t="shared" si="29"/>
        <v>0</v>
      </c>
      <c r="L159" s="126"/>
      <c r="M159" s="526">
        <f t="shared" si="30"/>
        <v>0</v>
      </c>
      <c r="N159" s="126"/>
      <c r="O159" s="526">
        <f t="shared" si="31"/>
        <v>0</v>
      </c>
      <c r="P159"/>
      <c r="Q159"/>
      <c r="R159"/>
      <c r="S159"/>
      <c r="T159"/>
      <c r="U159"/>
    </row>
    <row r="160" spans="1:21" ht="12.75">
      <c r="A160" s="407" t="str">
        <f t="shared" si="27"/>
        <v>Mentors</v>
      </c>
      <c r="B160" s="849" t="s">
        <v>229</v>
      </c>
      <c r="C160" s="124">
        <f t="shared" si="28"/>
        <v>0</v>
      </c>
      <c r="D160" s="124"/>
      <c r="E160" s="526">
        <f t="shared" si="32"/>
        <v>0</v>
      </c>
      <c r="F160" s="126"/>
      <c r="G160" s="526">
        <f t="shared" si="33"/>
        <v>50000</v>
      </c>
      <c r="H160" s="126"/>
      <c r="I160" s="526">
        <f t="shared" si="34"/>
        <v>51000</v>
      </c>
      <c r="J160" s="126"/>
      <c r="K160" s="526">
        <f t="shared" si="29"/>
        <v>52020</v>
      </c>
      <c r="L160" s="126"/>
      <c r="M160" s="526">
        <f t="shared" si="30"/>
        <v>53060.4</v>
      </c>
      <c r="N160" s="126"/>
      <c r="O160" s="526">
        <f t="shared" si="31"/>
        <v>54121.608</v>
      </c>
      <c r="P160"/>
      <c r="Q160"/>
      <c r="R160"/>
      <c r="S160"/>
      <c r="T160"/>
      <c r="U160"/>
    </row>
    <row r="161" spans="1:21" ht="12.75">
      <c r="A161" s="407" t="str">
        <f t="shared" si="27"/>
        <v>Academic Advisor</v>
      </c>
      <c r="B161" s="849" t="s">
        <v>229</v>
      </c>
      <c r="C161" s="124">
        <f t="shared" si="28"/>
        <v>0</v>
      </c>
      <c r="D161" s="124"/>
      <c r="E161" s="526">
        <f t="shared" si="32"/>
        <v>0</v>
      </c>
      <c r="F161" s="126"/>
      <c r="G161" s="526">
        <f t="shared" si="33"/>
        <v>42500</v>
      </c>
      <c r="H161" s="126"/>
      <c r="I161" s="526">
        <f t="shared" si="34"/>
        <v>43350</v>
      </c>
      <c r="J161" s="126"/>
      <c r="K161" s="526">
        <f t="shared" si="29"/>
        <v>44217</v>
      </c>
      <c r="L161" s="126"/>
      <c r="M161" s="526">
        <f t="shared" si="30"/>
        <v>45101.340000000004</v>
      </c>
      <c r="N161" s="126"/>
      <c r="O161" s="526">
        <f t="shared" si="31"/>
        <v>46003.3668</v>
      </c>
      <c r="P161"/>
      <c r="Q161"/>
      <c r="R161"/>
      <c r="S161"/>
      <c r="T161"/>
      <c r="U161"/>
    </row>
    <row r="162" spans="1:21" ht="12.75">
      <c r="A162" s="407" t="str">
        <f t="shared" si="27"/>
        <v>Lead Teacher / Site Director</v>
      </c>
      <c r="B162" s="849" t="s">
        <v>229</v>
      </c>
      <c r="C162" s="124">
        <f t="shared" si="28"/>
        <v>0</v>
      </c>
      <c r="D162" s="124"/>
      <c r="E162" s="526">
        <f t="shared" si="32"/>
        <v>30000</v>
      </c>
      <c r="F162" s="126"/>
      <c r="G162" s="526">
        <f t="shared" si="33"/>
        <v>0</v>
      </c>
      <c r="H162" s="126"/>
      <c r="I162" s="526">
        <f t="shared" si="34"/>
        <v>0</v>
      </c>
      <c r="J162" s="126"/>
      <c r="K162" s="526">
        <f t="shared" si="29"/>
        <v>0</v>
      </c>
      <c r="L162" s="126"/>
      <c r="M162" s="526">
        <f t="shared" si="30"/>
        <v>0</v>
      </c>
      <c r="N162" s="126"/>
      <c r="O162" s="526">
        <f t="shared" si="31"/>
        <v>0</v>
      </c>
      <c r="P162"/>
      <c r="Q162"/>
      <c r="R162"/>
      <c r="S162"/>
      <c r="T162"/>
      <c r="U162"/>
    </row>
    <row r="163" spans="1:21" ht="12.75">
      <c r="A163" s="407" t="str">
        <f t="shared" si="27"/>
        <v>Assistant Principal</v>
      </c>
      <c r="B163" s="849" t="s">
        <v>229</v>
      </c>
      <c r="C163" s="124">
        <f t="shared" si="28"/>
        <v>0</v>
      </c>
      <c r="D163" s="124"/>
      <c r="E163" s="526">
        <f t="shared" si="32"/>
        <v>0</v>
      </c>
      <c r="F163" s="126"/>
      <c r="G163" s="526">
        <f t="shared" si="33"/>
        <v>0</v>
      </c>
      <c r="H163" s="126"/>
      <c r="I163" s="526">
        <f t="shared" si="34"/>
        <v>0</v>
      </c>
      <c r="J163" s="126"/>
      <c r="K163" s="526">
        <f t="shared" si="29"/>
        <v>0</v>
      </c>
      <c r="L163" s="126"/>
      <c r="M163" s="526">
        <f t="shared" si="30"/>
        <v>0</v>
      </c>
      <c r="N163" s="126"/>
      <c r="O163" s="526">
        <f t="shared" si="31"/>
        <v>0</v>
      </c>
      <c r="P163"/>
      <c r="Q163"/>
      <c r="R163"/>
      <c r="S163"/>
      <c r="T163"/>
      <c r="U163"/>
    </row>
    <row r="164" spans="1:21" ht="12.75">
      <c r="A164" s="407" t="str">
        <f t="shared" si="27"/>
        <v>Librarians</v>
      </c>
      <c r="B164" s="849" t="s">
        <v>229</v>
      </c>
      <c r="C164" s="124">
        <f t="shared" si="28"/>
        <v>0</v>
      </c>
      <c r="D164" s="124"/>
      <c r="E164" s="526">
        <f t="shared" si="32"/>
        <v>0</v>
      </c>
      <c r="F164" s="126"/>
      <c r="G164" s="526">
        <f t="shared" si="33"/>
        <v>0</v>
      </c>
      <c r="H164" s="126"/>
      <c r="I164" s="526">
        <f t="shared" si="34"/>
        <v>0</v>
      </c>
      <c r="J164" s="126"/>
      <c r="K164" s="526">
        <f t="shared" si="29"/>
        <v>0</v>
      </c>
      <c r="L164" s="126"/>
      <c r="M164" s="526">
        <f t="shared" si="30"/>
        <v>0</v>
      </c>
      <c r="N164" s="126"/>
      <c r="O164" s="526">
        <f t="shared" si="31"/>
        <v>0</v>
      </c>
      <c r="P164"/>
      <c r="Q164"/>
      <c r="R164"/>
      <c r="S164"/>
      <c r="T164"/>
      <c r="U164"/>
    </row>
    <row r="165" spans="1:21" ht="12.75">
      <c r="A165" s="407" t="str">
        <f t="shared" si="27"/>
        <v>Custodians</v>
      </c>
      <c r="B165" s="849" t="s">
        <v>229</v>
      </c>
      <c r="C165" s="124">
        <f t="shared" si="28"/>
        <v>0</v>
      </c>
      <c r="D165" s="124"/>
      <c r="E165" s="526">
        <f t="shared" si="32"/>
        <v>0</v>
      </c>
      <c r="F165" s="126"/>
      <c r="G165" s="526">
        <f t="shared" si="33"/>
        <v>0</v>
      </c>
      <c r="H165" s="126"/>
      <c r="I165" s="526">
        <f t="shared" si="34"/>
        <v>0</v>
      </c>
      <c r="J165" s="126"/>
      <c r="K165" s="526">
        <f t="shared" si="29"/>
        <v>0</v>
      </c>
      <c r="L165" s="126"/>
      <c r="M165" s="526">
        <f t="shared" si="30"/>
        <v>0</v>
      </c>
      <c r="N165" s="126"/>
      <c r="O165" s="526">
        <f t="shared" si="31"/>
        <v>0</v>
      </c>
      <c r="P165"/>
      <c r="Q165"/>
      <c r="R165"/>
      <c r="S165"/>
      <c r="T165"/>
      <c r="U165"/>
    </row>
    <row r="166" spans="1:21" ht="12.75">
      <c r="A166" s="407" t="str">
        <f t="shared" si="27"/>
        <v>Security</v>
      </c>
      <c r="B166" s="849" t="s">
        <v>229</v>
      </c>
      <c r="C166" s="124">
        <f t="shared" si="28"/>
        <v>0</v>
      </c>
      <c r="D166" s="124"/>
      <c r="E166" s="526">
        <f t="shared" si="32"/>
        <v>0</v>
      </c>
      <c r="F166" s="126"/>
      <c r="G166" s="526">
        <f t="shared" si="33"/>
        <v>0</v>
      </c>
      <c r="H166" s="126"/>
      <c r="I166" s="526">
        <f t="shared" si="34"/>
        <v>0</v>
      </c>
      <c r="J166" s="126"/>
      <c r="K166" s="526">
        <f t="shared" si="29"/>
        <v>0</v>
      </c>
      <c r="L166" s="126"/>
      <c r="M166" s="526">
        <f t="shared" si="30"/>
        <v>0</v>
      </c>
      <c r="N166" s="126"/>
      <c r="O166" s="526">
        <f t="shared" si="31"/>
        <v>0</v>
      </c>
      <c r="P166"/>
      <c r="Q166"/>
      <c r="R166"/>
      <c r="S166"/>
      <c r="T166"/>
      <c r="U166"/>
    </row>
    <row r="167" spans="1:21" ht="12.75">
      <c r="A167" s="407" t="str">
        <f t="shared" si="27"/>
        <v>Full-Time Executive Team (i.e., CEO's, COO, CFO, Directors, etc.)</v>
      </c>
      <c r="B167" s="849" t="s">
        <v>229</v>
      </c>
      <c r="C167" s="124">
        <f>C100*C54</f>
        <v>0</v>
      </c>
      <c r="D167" s="124"/>
      <c r="E167" s="526">
        <f t="shared" si="32"/>
        <v>0</v>
      </c>
      <c r="F167" s="126"/>
      <c r="G167" s="526">
        <f t="shared" si="33"/>
        <v>0</v>
      </c>
      <c r="H167" s="126"/>
      <c r="I167" s="526">
        <f t="shared" si="34"/>
        <v>0</v>
      </c>
      <c r="J167" s="126"/>
      <c r="K167" s="526">
        <f t="shared" si="29"/>
        <v>0</v>
      </c>
      <c r="L167" s="126"/>
      <c r="M167" s="526">
        <f t="shared" si="30"/>
        <v>0</v>
      </c>
      <c r="N167" s="126"/>
      <c r="O167" s="526">
        <f t="shared" si="31"/>
        <v>0</v>
      </c>
      <c r="P167"/>
      <c r="Q167"/>
      <c r="R167"/>
      <c r="S167"/>
      <c r="T167"/>
      <c r="U167"/>
    </row>
    <row r="168" spans="1:21" ht="15.75" customHeight="1">
      <c r="A168" s="407" t="str">
        <f t="shared" si="27"/>
        <v>Registrar</v>
      </c>
      <c r="B168" s="849" t="s">
        <v>229</v>
      </c>
      <c r="C168" s="124"/>
      <c r="D168" s="124"/>
      <c r="E168" s="526">
        <f t="shared" si="32"/>
        <v>0</v>
      </c>
      <c r="F168" s="126"/>
      <c r="G168" s="526">
        <f t="shared" si="33"/>
        <v>16000</v>
      </c>
      <c r="H168" s="126"/>
      <c r="I168" s="526">
        <f t="shared" si="34"/>
        <v>16320</v>
      </c>
      <c r="J168" s="126"/>
      <c r="K168" s="526">
        <f t="shared" si="29"/>
        <v>16646.4</v>
      </c>
      <c r="L168" s="126"/>
      <c r="M168" s="526">
        <f t="shared" si="30"/>
        <v>16979.328</v>
      </c>
      <c r="N168" s="126"/>
      <c r="O168" s="526">
        <f t="shared" si="31"/>
        <v>17318.91456</v>
      </c>
      <c r="P168"/>
      <c r="Q168"/>
      <c r="R168"/>
      <c r="S168"/>
      <c r="T168"/>
      <c r="U168"/>
    </row>
    <row r="169" spans="1:21" ht="12.75">
      <c r="A169" s="407" t="str">
        <f t="shared" si="27"/>
        <v>I</v>
      </c>
      <c r="B169" s="849" t="s">
        <v>229</v>
      </c>
      <c r="C169" s="124" t="e">
        <f>C104*#REF!</f>
        <v>#REF!</v>
      </c>
      <c r="D169" s="124"/>
      <c r="E169" s="526">
        <f t="shared" si="32"/>
        <v>0</v>
      </c>
      <c r="F169" s="126"/>
      <c r="G169" s="526">
        <f t="shared" si="33"/>
        <v>0</v>
      </c>
      <c r="H169" s="126"/>
      <c r="I169" s="526">
        <f t="shared" si="34"/>
        <v>0</v>
      </c>
      <c r="J169" s="126"/>
      <c r="K169" s="526">
        <f t="shared" si="29"/>
        <v>0</v>
      </c>
      <c r="L169" s="126"/>
      <c r="M169" s="526">
        <f t="shared" si="30"/>
        <v>0</v>
      </c>
      <c r="N169" s="126"/>
      <c r="O169" s="526">
        <f t="shared" si="31"/>
        <v>0</v>
      </c>
      <c r="P169"/>
      <c r="Q169"/>
      <c r="R169"/>
      <c r="S169"/>
      <c r="T169"/>
      <c r="U169"/>
    </row>
    <row r="170" spans="1:21" ht="12.75">
      <c r="A170" s="837" t="str">
        <f t="shared" si="27"/>
        <v>J</v>
      </c>
      <c r="B170" s="849" t="s">
        <v>229</v>
      </c>
      <c r="C170" s="124" t="e">
        <f>C105*#REF!</f>
        <v>#REF!</v>
      </c>
      <c r="D170" s="124"/>
      <c r="E170" s="526">
        <f t="shared" si="32"/>
        <v>0</v>
      </c>
      <c r="F170" s="126"/>
      <c r="G170" s="526">
        <f t="shared" si="33"/>
        <v>0</v>
      </c>
      <c r="H170" s="126"/>
      <c r="I170" s="526">
        <f t="shared" si="34"/>
        <v>0</v>
      </c>
      <c r="J170" s="126"/>
      <c r="K170" s="526">
        <f t="shared" si="29"/>
        <v>0</v>
      </c>
      <c r="L170" s="126"/>
      <c r="M170" s="526">
        <f t="shared" si="30"/>
        <v>0</v>
      </c>
      <c r="N170" s="126"/>
      <c r="O170" s="526">
        <f t="shared" si="31"/>
        <v>0</v>
      </c>
      <c r="P170"/>
      <c r="Q170"/>
      <c r="R170"/>
      <c r="S170"/>
      <c r="T170"/>
      <c r="U170"/>
    </row>
    <row r="171" spans="1:21" ht="12.75">
      <c r="A171" s="837" t="str">
        <f t="shared" si="27"/>
        <v>K</v>
      </c>
      <c r="B171" s="849" t="s">
        <v>229</v>
      </c>
      <c r="C171" s="124" t="e">
        <f>C106*#REF!</f>
        <v>#REF!</v>
      </c>
      <c r="D171" s="124"/>
      <c r="E171" s="526">
        <f t="shared" si="32"/>
        <v>0</v>
      </c>
      <c r="F171" s="126"/>
      <c r="G171" s="526">
        <f t="shared" si="33"/>
        <v>0</v>
      </c>
      <c r="H171" s="126"/>
      <c r="I171" s="526">
        <f t="shared" si="34"/>
        <v>0</v>
      </c>
      <c r="J171" s="126"/>
      <c r="K171" s="526">
        <f t="shared" si="29"/>
        <v>0</v>
      </c>
      <c r="L171" s="126"/>
      <c r="M171" s="526">
        <f t="shared" si="30"/>
        <v>0</v>
      </c>
      <c r="N171" s="126"/>
      <c r="O171" s="526">
        <f t="shared" si="31"/>
        <v>0</v>
      </c>
      <c r="P171"/>
      <c r="Q171"/>
      <c r="R171"/>
      <c r="S171"/>
      <c r="T171"/>
      <c r="U171"/>
    </row>
    <row r="172" spans="1:21" ht="12.75">
      <c r="A172" s="837" t="str">
        <f t="shared" si="27"/>
        <v>L </v>
      </c>
      <c r="B172" s="849" t="s">
        <v>229</v>
      </c>
      <c r="C172" s="124" t="e">
        <f>C107*#REF!</f>
        <v>#REF!</v>
      </c>
      <c r="D172" s="124"/>
      <c r="E172" s="526">
        <f t="shared" si="32"/>
        <v>0</v>
      </c>
      <c r="F172" s="126"/>
      <c r="G172" s="526">
        <f t="shared" si="33"/>
        <v>0</v>
      </c>
      <c r="H172" s="126"/>
      <c r="I172" s="526">
        <f t="shared" si="34"/>
        <v>0</v>
      </c>
      <c r="J172" s="126"/>
      <c r="K172" s="526">
        <f t="shared" si="29"/>
        <v>0</v>
      </c>
      <c r="L172" s="126"/>
      <c r="M172" s="526">
        <f t="shared" si="30"/>
        <v>0</v>
      </c>
      <c r="N172" s="126"/>
      <c r="O172" s="526">
        <f t="shared" si="31"/>
        <v>0</v>
      </c>
      <c r="P172"/>
      <c r="Q172"/>
      <c r="R172"/>
      <c r="S172"/>
      <c r="T172"/>
      <c r="U172"/>
    </row>
    <row r="173" spans="1:21" ht="12.75">
      <c r="A173" s="837" t="str">
        <f t="shared" si="27"/>
        <v>M</v>
      </c>
      <c r="B173" s="849" t="s">
        <v>229</v>
      </c>
      <c r="C173" s="124" t="e">
        <f>C111*#REF!</f>
        <v>#REF!</v>
      </c>
      <c r="D173" s="124"/>
      <c r="E173" s="526">
        <f t="shared" si="32"/>
        <v>0</v>
      </c>
      <c r="F173" s="126"/>
      <c r="G173" s="526">
        <f t="shared" si="33"/>
        <v>0</v>
      </c>
      <c r="H173" s="126"/>
      <c r="I173" s="526">
        <f t="shared" si="34"/>
        <v>0</v>
      </c>
      <c r="J173" s="126"/>
      <c r="K173" s="526">
        <f t="shared" si="29"/>
        <v>0</v>
      </c>
      <c r="L173" s="126"/>
      <c r="M173" s="526">
        <f t="shared" si="30"/>
        <v>0</v>
      </c>
      <c r="N173" s="126"/>
      <c r="O173" s="526">
        <f t="shared" si="31"/>
        <v>0</v>
      </c>
      <c r="P173"/>
      <c r="Q173"/>
      <c r="R173"/>
      <c r="S173"/>
      <c r="T173"/>
      <c r="U173"/>
    </row>
    <row r="174" spans="1:21" ht="12.75">
      <c r="A174" s="837" t="str">
        <f t="shared" si="27"/>
        <v>N</v>
      </c>
      <c r="B174" s="849" t="s">
        <v>229</v>
      </c>
      <c r="C174" s="124" t="e">
        <f>C112*#REF!</f>
        <v>#REF!</v>
      </c>
      <c r="D174" s="124"/>
      <c r="E174" s="526">
        <f t="shared" si="32"/>
        <v>0</v>
      </c>
      <c r="F174" s="126"/>
      <c r="G174" s="526">
        <f t="shared" si="33"/>
        <v>0</v>
      </c>
      <c r="H174" s="126"/>
      <c r="I174" s="526">
        <f t="shared" si="34"/>
        <v>0</v>
      </c>
      <c r="J174" s="126"/>
      <c r="K174" s="526">
        <f t="shared" si="29"/>
        <v>0</v>
      </c>
      <c r="L174" s="126"/>
      <c r="M174" s="526">
        <f t="shared" si="30"/>
        <v>0</v>
      </c>
      <c r="N174" s="126"/>
      <c r="O174" s="526">
        <f t="shared" si="31"/>
        <v>0</v>
      </c>
      <c r="P174"/>
      <c r="Q174"/>
      <c r="R174"/>
      <c r="S174"/>
      <c r="T174"/>
      <c r="U174"/>
    </row>
    <row r="175" spans="1:21" ht="12.75">
      <c r="A175" s="837" t="str">
        <f t="shared" si="27"/>
        <v>O</v>
      </c>
      <c r="B175" s="849" t="s">
        <v>229</v>
      </c>
      <c r="C175" s="124" t="e">
        <f>C113*#REF!</f>
        <v>#REF!</v>
      </c>
      <c r="D175" s="124"/>
      <c r="E175" s="526">
        <f t="shared" si="32"/>
        <v>0</v>
      </c>
      <c r="F175" s="126"/>
      <c r="G175" s="526">
        <f t="shared" si="33"/>
        <v>0</v>
      </c>
      <c r="H175" s="126"/>
      <c r="I175" s="526">
        <f t="shared" si="34"/>
        <v>0</v>
      </c>
      <c r="J175" s="126"/>
      <c r="K175" s="526">
        <f t="shared" si="29"/>
        <v>0</v>
      </c>
      <c r="L175" s="126"/>
      <c r="M175" s="526">
        <f t="shared" si="30"/>
        <v>0</v>
      </c>
      <c r="N175" s="126"/>
      <c r="O175" s="526">
        <f t="shared" si="31"/>
        <v>0</v>
      </c>
      <c r="P175"/>
      <c r="Q175"/>
      <c r="R175"/>
      <c r="S175"/>
      <c r="T175"/>
      <c r="U175"/>
    </row>
    <row r="176" spans="1:21" ht="13.5" thickBot="1">
      <c r="A176" s="841" t="str">
        <f t="shared" si="27"/>
        <v>P</v>
      </c>
      <c r="B176" s="849" t="s">
        <v>229</v>
      </c>
      <c r="C176" s="124" t="e">
        <f>C115*#REF!</f>
        <v>#REF!</v>
      </c>
      <c r="D176" s="124"/>
      <c r="E176" s="526">
        <f t="shared" si="32"/>
        <v>0</v>
      </c>
      <c r="F176" s="126"/>
      <c r="G176" s="526">
        <f t="shared" si="33"/>
        <v>0</v>
      </c>
      <c r="H176" s="126"/>
      <c r="I176" s="526">
        <f t="shared" si="34"/>
        <v>0</v>
      </c>
      <c r="J176" s="126"/>
      <c r="K176" s="526">
        <f t="shared" si="29"/>
        <v>0</v>
      </c>
      <c r="L176" s="126"/>
      <c r="M176" s="526">
        <f t="shared" si="30"/>
        <v>0</v>
      </c>
      <c r="N176" s="126"/>
      <c r="O176" s="526">
        <f t="shared" si="31"/>
        <v>0</v>
      </c>
      <c r="P176"/>
      <c r="Q176"/>
      <c r="R176"/>
      <c r="S176"/>
      <c r="T176"/>
      <c r="U176"/>
    </row>
    <row r="177" spans="1:21" ht="13.5" thickBot="1">
      <c r="A177" s="547" t="s">
        <v>393</v>
      </c>
      <c r="B177" s="849" t="s">
        <v>229</v>
      </c>
      <c r="C177" s="124"/>
      <c r="D177" s="124"/>
      <c r="E177" s="526"/>
      <c r="F177" s="126"/>
      <c r="G177" s="526"/>
      <c r="H177" s="123"/>
      <c r="I177" s="526"/>
      <c r="J177" s="123"/>
      <c r="K177" s="526"/>
      <c r="L177" s="123"/>
      <c r="M177" s="526"/>
      <c r="N177" s="123"/>
      <c r="O177" s="526"/>
      <c r="P177"/>
      <c r="Q177"/>
      <c r="R177"/>
      <c r="S177"/>
      <c r="T177"/>
      <c r="U177"/>
    </row>
    <row r="178" spans="1:21" ht="12.75">
      <c r="A178" s="528" t="s">
        <v>279</v>
      </c>
      <c r="B178" s="849" t="s">
        <v>229</v>
      </c>
      <c r="C178" s="124"/>
      <c r="D178" s="124"/>
      <c r="E178" s="158"/>
      <c r="F178" s="124"/>
      <c r="G178" s="158"/>
      <c r="H178" s="158"/>
      <c r="I178" s="158"/>
      <c r="J178" s="158"/>
      <c r="K178" s="158"/>
      <c r="L178" s="158"/>
      <c r="M178" s="158"/>
      <c r="N178" s="158"/>
      <c r="O178" s="158"/>
      <c r="P178"/>
      <c r="Q178"/>
      <c r="R178"/>
      <c r="S178"/>
      <c r="T178"/>
      <c r="U178"/>
    </row>
    <row r="179" spans="1:21" ht="12.75">
      <c r="A179" s="529" t="s">
        <v>274</v>
      </c>
      <c r="B179" s="849" t="s">
        <v>229</v>
      </c>
      <c r="C179" s="124"/>
      <c r="D179" s="124"/>
      <c r="E179" s="158"/>
      <c r="F179" s="124"/>
      <c r="G179" s="158"/>
      <c r="H179" s="158"/>
      <c r="I179" s="158"/>
      <c r="J179" s="158"/>
      <c r="K179" s="158"/>
      <c r="L179" s="158"/>
      <c r="M179" s="158"/>
      <c r="N179" s="158"/>
      <c r="O179" s="158"/>
      <c r="P179"/>
      <c r="Q179"/>
      <c r="R179"/>
      <c r="S179"/>
      <c r="T179"/>
      <c r="U179"/>
    </row>
    <row r="180" spans="1:21" ht="13.5" thickBot="1">
      <c r="A180" s="530" t="s">
        <v>280</v>
      </c>
      <c r="B180" s="849" t="s">
        <v>229</v>
      </c>
      <c r="C180" s="127"/>
      <c r="D180" s="127"/>
      <c r="E180" s="984"/>
      <c r="F180" s="127"/>
      <c r="G180" s="158"/>
      <c r="H180" s="159"/>
      <c r="I180" s="158"/>
      <c r="J180" s="159"/>
      <c r="K180" s="158"/>
      <c r="L180" s="159"/>
      <c r="M180" s="158"/>
      <c r="N180" s="159"/>
      <c r="O180" s="158"/>
      <c r="P180"/>
      <c r="Q180"/>
      <c r="R180"/>
      <c r="S180"/>
      <c r="T180"/>
      <c r="U180"/>
    </row>
    <row r="181" spans="1:21" ht="13.5" thickBot="1">
      <c r="A181" s="531" t="s">
        <v>338</v>
      </c>
      <c r="B181" s="856"/>
      <c r="C181" s="887"/>
      <c r="D181" s="887"/>
      <c r="E181" s="863">
        <f>SUM(E150:E180)</f>
        <v>30000</v>
      </c>
      <c r="F181" s="888"/>
      <c r="G181" s="863">
        <f>SUM(G150:G180)</f>
        <v>108500</v>
      </c>
      <c r="H181" s="889"/>
      <c r="I181" s="863">
        <f>SUM(I150:I180)</f>
        <v>110670</v>
      </c>
      <c r="J181" s="889"/>
      <c r="K181" s="863">
        <f>SUM(K150:K180)</f>
        <v>112883.4</v>
      </c>
      <c r="L181" s="889"/>
      <c r="M181" s="863">
        <f>SUM(M150:M180)</f>
        <v>115141.068</v>
      </c>
      <c r="N181" s="889"/>
      <c r="O181" s="863">
        <f>SUM(O150:O180)</f>
        <v>117443.88936</v>
      </c>
      <c r="P181"/>
      <c r="Q181"/>
      <c r="R181"/>
      <c r="S181"/>
      <c r="T181"/>
      <c r="U181"/>
    </row>
    <row r="182" spans="1:21" ht="13.5" thickBot="1">
      <c r="A182" s="433"/>
      <c r="B182" s="857"/>
      <c r="C182" s="128"/>
      <c r="D182" s="128"/>
      <c r="E182" s="128"/>
      <c r="F182" s="128"/>
      <c r="G182" s="128"/>
      <c r="H182" s="128"/>
      <c r="I182" s="128"/>
      <c r="J182" s="128"/>
      <c r="K182" s="128"/>
      <c r="L182" s="128"/>
      <c r="M182" s="128"/>
      <c r="N182" s="128"/>
      <c r="O182" s="128"/>
      <c r="P182"/>
      <c r="Q182"/>
      <c r="R182"/>
      <c r="S182"/>
      <c r="T182"/>
      <c r="U182"/>
    </row>
    <row r="183" spans="1:21" ht="22.5" customHeight="1" thickBot="1">
      <c r="A183" s="860" t="s">
        <v>283</v>
      </c>
      <c r="B183" s="858" t="s">
        <v>229</v>
      </c>
      <c r="C183" s="857"/>
      <c r="D183" s="857"/>
      <c r="E183" s="552"/>
      <c r="F183" s="857"/>
      <c r="G183" s="554">
        <f>G142</f>
        <v>342750</v>
      </c>
      <c r="H183" s="857"/>
      <c r="I183" s="554">
        <f>I142</f>
        <v>375105</v>
      </c>
      <c r="J183" s="857"/>
      <c r="K183" s="554">
        <f>K142</f>
        <v>408617.10000000003</v>
      </c>
      <c r="L183" s="857"/>
      <c r="M183" s="554">
        <f>M142</f>
        <v>416789.4419999999</v>
      </c>
      <c r="N183" s="857"/>
      <c r="O183" s="554">
        <f>O142</f>
        <v>425125.23084</v>
      </c>
      <c r="P183"/>
      <c r="Q183"/>
      <c r="R183"/>
      <c r="S183"/>
      <c r="T183"/>
      <c r="U183"/>
    </row>
    <row r="184" spans="1:21" ht="22.5" customHeight="1" thickBot="1">
      <c r="A184" s="544" t="s">
        <v>356</v>
      </c>
      <c r="B184" s="849" t="s">
        <v>229</v>
      </c>
      <c r="C184" s="857"/>
      <c r="D184" s="857"/>
      <c r="E184" s="552"/>
      <c r="F184" s="857"/>
      <c r="G184" s="554">
        <f>-SUM(G120:G127)</f>
        <v>-132750</v>
      </c>
      <c r="H184" s="857"/>
      <c r="I184" s="554">
        <f>-SUM(I120:I127)</f>
        <v>-135405</v>
      </c>
      <c r="J184" s="857"/>
      <c r="K184" s="554">
        <f>-SUM(K120:K127)</f>
        <v>-138113.1</v>
      </c>
      <c r="L184" s="857"/>
      <c r="M184" s="554">
        <f>-SUM(M120:M127)</f>
        <v>-140875.362</v>
      </c>
      <c r="N184" s="857"/>
      <c r="O184" s="554">
        <f>-SUM(O120:O127)</f>
        <v>-143692.86924</v>
      </c>
      <c r="P184"/>
      <c r="Q184"/>
      <c r="R184"/>
      <c r="S184"/>
      <c r="T184"/>
      <c r="U184"/>
    </row>
    <row r="185" spans="1:21" ht="33" customHeight="1" thickBot="1">
      <c r="A185" s="861" t="s">
        <v>504</v>
      </c>
      <c r="B185" s="849" t="s">
        <v>229</v>
      </c>
      <c r="C185" s="857"/>
      <c r="D185" s="857"/>
      <c r="E185" s="552"/>
      <c r="F185" s="857"/>
      <c r="G185" s="554">
        <f>G183+G184</f>
        <v>210000</v>
      </c>
      <c r="H185" s="857"/>
      <c r="I185" s="554">
        <f>I183+I184</f>
        <v>239700</v>
      </c>
      <c r="J185" s="857"/>
      <c r="K185" s="554">
        <f>K183+K184</f>
        <v>270504</v>
      </c>
      <c r="L185" s="857"/>
      <c r="M185" s="554">
        <f>M183+M184</f>
        <v>275914.07999999996</v>
      </c>
      <c r="N185" s="857"/>
      <c r="O185" s="554">
        <f>O183+O184</f>
        <v>281432.36159999995</v>
      </c>
      <c r="P185"/>
      <c r="Q185"/>
      <c r="R185"/>
      <c r="S185"/>
      <c r="T185"/>
      <c r="U185"/>
    </row>
    <row r="186" spans="1:21" ht="22.5" customHeight="1" thickBot="1">
      <c r="A186" s="544" t="s">
        <v>284</v>
      </c>
      <c r="B186" s="849" t="s">
        <v>229</v>
      </c>
      <c r="C186" s="857"/>
      <c r="D186" s="872"/>
      <c r="E186" s="552"/>
      <c r="F186" s="857"/>
      <c r="G186" s="554">
        <f>G148</f>
        <v>0</v>
      </c>
      <c r="H186" s="857"/>
      <c r="I186" s="554">
        <f>I148</f>
        <v>0</v>
      </c>
      <c r="J186" s="857"/>
      <c r="K186" s="554">
        <f>K148</f>
        <v>0</v>
      </c>
      <c r="L186" s="857"/>
      <c r="M186" s="554">
        <f>M148</f>
        <v>0</v>
      </c>
      <c r="N186" s="857"/>
      <c r="O186" s="554">
        <f>O148</f>
        <v>0</v>
      </c>
      <c r="P186"/>
      <c r="Q186"/>
      <c r="R186"/>
      <c r="S186"/>
      <c r="T186"/>
      <c r="U186"/>
    </row>
    <row r="187" spans="1:21" ht="22.5" customHeight="1" thickBot="1">
      <c r="A187" s="544" t="s">
        <v>357</v>
      </c>
      <c r="B187" s="849" t="s">
        <v>229</v>
      </c>
      <c r="C187" s="432" t="e">
        <f>SUM(C130:C180)</f>
        <v>#REF!</v>
      </c>
      <c r="D187" s="146"/>
      <c r="E187" s="551"/>
      <c r="F187" s="146"/>
      <c r="G187" s="551">
        <f>G183+G186</f>
        <v>342750</v>
      </c>
      <c r="H187" s="424"/>
      <c r="I187" s="551">
        <f>I183+I186</f>
        <v>375105</v>
      </c>
      <c r="J187" s="425"/>
      <c r="K187" s="551">
        <f>K183+K186</f>
        <v>408617.10000000003</v>
      </c>
      <c r="L187" s="425"/>
      <c r="M187" s="551">
        <f>M183+M186</f>
        <v>416789.4419999999</v>
      </c>
      <c r="N187" s="425"/>
      <c r="O187" s="551">
        <f>O183+O186</f>
        <v>425125.23084</v>
      </c>
      <c r="P187"/>
      <c r="Q187"/>
      <c r="R187"/>
      <c r="S187"/>
      <c r="T187"/>
      <c r="U187"/>
    </row>
    <row r="188" spans="1:21" ht="22.5" customHeight="1" thickBot="1">
      <c r="A188" s="544" t="s">
        <v>86</v>
      </c>
      <c r="B188" s="849" t="s">
        <v>229</v>
      </c>
      <c r="C188" s="146"/>
      <c r="D188" s="146"/>
      <c r="E188" s="553">
        <f>E181</f>
        <v>30000</v>
      </c>
      <c r="F188" s="146"/>
      <c r="G188" s="553">
        <f>G181</f>
        <v>108500</v>
      </c>
      <c r="H188" s="426"/>
      <c r="I188" s="553">
        <f>I181</f>
        <v>110670</v>
      </c>
      <c r="J188" s="426"/>
      <c r="K188" s="553">
        <f>K181</f>
        <v>112883.4</v>
      </c>
      <c r="L188" s="426"/>
      <c r="M188" s="553">
        <f>M181</f>
        <v>115141.068</v>
      </c>
      <c r="N188" s="426"/>
      <c r="O188" s="553">
        <f>O181</f>
        <v>117443.88936</v>
      </c>
      <c r="P188"/>
      <c r="Q188"/>
      <c r="R188"/>
      <c r="S188"/>
      <c r="T188"/>
      <c r="U188"/>
    </row>
    <row r="189" spans="1:21" ht="22.5" customHeight="1" thickBot="1">
      <c r="A189" s="544" t="s">
        <v>36</v>
      </c>
      <c r="B189" s="849" t="s">
        <v>229</v>
      </c>
      <c r="C189" s="146"/>
      <c r="D189" s="146"/>
      <c r="E189" s="553">
        <f>SUM(E187:E188)</f>
        <v>30000</v>
      </c>
      <c r="F189" s="146"/>
      <c r="G189" s="553">
        <f>SUM(G187:G188)</f>
        <v>451250</v>
      </c>
      <c r="H189" s="426"/>
      <c r="I189" s="553">
        <f>SUM(I187:I188)</f>
        <v>485775</v>
      </c>
      <c r="J189" s="426"/>
      <c r="K189" s="553">
        <f>SUM(K187:K188)</f>
        <v>521500.5</v>
      </c>
      <c r="L189" s="426"/>
      <c r="M189" s="553">
        <f>SUM(M187:M188)</f>
        <v>531930.5099999999</v>
      </c>
      <c r="N189" s="426"/>
      <c r="O189" s="553">
        <f>SUM(O187:O188)</f>
        <v>542569.1202</v>
      </c>
      <c r="P189"/>
      <c r="Q189"/>
      <c r="R189"/>
      <c r="S189"/>
      <c r="T189"/>
      <c r="U189"/>
    </row>
    <row r="190" spans="1:21" ht="13.5" thickBot="1">
      <c r="A190" s="129"/>
      <c r="B190" s="859"/>
      <c r="C190" s="129"/>
      <c r="D190" s="129"/>
      <c r="E190" s="129"/>
      <c r="F190" s="129"/>
      <c r="G190" s="129"/>
      <c r="H190" s="129"/>
      <c r="I190" s="129"/>
      <c r="J190" s="129"/>
      <c r="K190" s="129"/>
      <c r="L190" s="129"/>
      <c r="M190" s="129"/>
      <c r="N190" s="129"/>
      <c r="O190" s="129"/>
      <c r="P190"/>
      <c r="Q190"/>
      <c r="R190"/>
      <c r="S190"/>
      <c r="T190"/>
      <c r="U190"/>
    </row>
    <row r="191" spans="1:21" ht="22.5" customHeight="1" thickBot="1">
      <c r="A191" s="544" t="s">
        <v>37</v>
      </c>
      <c r="B191" s="550" t="s">
        <v>87</v>
      </c>
      <c r="C191" s="160">
        <f>SUM(C7:C57)</f>
        <v>0</v>
      </c>
      <c r="D191" s="295"/>
      <c r="E191" s="554">
        <f>SUM(E7:E57)</f>
        <v>0.5</v>
      </c>
      <c r="F191" s="295"/>
      <c r="G191" s="554">
        <f>SUM(G7:G57)</f>
        <v>9.899999999999999</v>
      </c>
      <c r="H191" s="160"/>
      <c r="I191" s="554">
        <f>SUM(I7:I57)</f>
        <v>10.399999999999999</v>
      </c>
      <c r="J191" s="160"/>
      <c r="K191" s="554">
        <f>SUM(K7:K57)</f>
        <v>10.899999999999999</v>
      </c>
      <c r="L191" s="160"/>
      <c r="M191" s="554">
        <f>SUM(M7:M57)</f>
        <v>10.899999999999999</v>
      </c>
      <c r="N191" s="160"/>
      <c r="O191" s="554">
        <f>SUM(O7:O57)</f>
        <v>10.899999999999999</v>
      </c>
      <c r="P191"/>
      <c r="Q191"/>
      <c r="R191"/>
      <c r="S191"/>
      <c r="T191"/>
      <c r="U191"/>
    </row>
    <row r="192" spans="1:21" ht="13.5" thickBot="1">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c r="A193" s="548" t="s">
        <v>561</v>
      </c>
      <c r="B193" s="162">
        <v>0</v>
      </c>
      <c r="C193" s="130"/>
      <c r="D193" s="130"/>
      <c r="E193" s="130"/>
      <c r="F193" s="130"/>
      <c r="G193" s="130"/>
      <c r="H193" s="130"/>
      <c r="I193" s="130"/>
      <c r="J193" s="130"/>
      <c r="K193" s="130"/>
      <c r="L193" s="130"/>
      <c r="M193" s="130"/>
      <c r="N193" s="130"/>
      <c r="O193" s="130"/>
      <c r="P193"/>
      <c r="Q193"/>
      <c r="R193"/>
      <c r="S193"/>
      <c r="T193"/>
      <c r="U193"/>
    </row>
    <row r="194" spans="1:21" ht="20.25" customHeight="1" thickBot="1">
      <c r="A194" s="548" t="s">
        <v>562</v>
      </c>
      <c r="B194" s="549">
        <f>9%-B193</f>
        <v>0.09</v>
      </c>
      <c r="C194" s="130"/>
      <c r="D194" s="130"/>
      <c r="E194" s="130"/>
      <c r="F194" s="130"/>
      <c r="G194" s="130"/>
      <c r="H194" s="130"/>
      <c r="I194" s="130"/>
      <c r="J194" s="130"/>
      <c r="K194" s="130"/>
      <c r="L194" s="130"/>
      <c r="M194" s="130"/>
      <c r="N194" s="130"/>
      <c r="O194" s="130"/>
      <c r="P194"/>
      <c r="Q194"/>
      <c r="R194"/>
      <c r="S194"/>
      <c r="T194"/>
      <c r="U194"/>
    </row>
    <row r="195" spans="1:21" ht="21.75" customHeight="1" thickBot="1">
      <c r="A195" s="544" t="s">
        <v>53</v>
      </c>
      <c r="B195" s="862" t="s">
        <v>87</v>
      </c>
      <c r="C195" s="161" t="e">
        <f>#REF!*$B$193</f>
        <v>#REF!</v>
      </c>
      <c r="D195" s="296"/>
      <c r="E195" s="296"/>
      <c r="F195" s="296"/>
      <c r="G195" s="555">
        <f>$B$193*G183</f>
        <v>0</v>
      </c>
      <c r="H195" s="892"/>
      <c r="I195" s="555">
        <f>$B$193*I183</f>
        <v>0</v>
      </c>
      <c r="J195" s="892"/>
      <c r="K195" s="555">
        <f>$B$193*K183</f>
        <v>0</v>
      </c>
      <c r="L195" s="892"/>
      <c r="M195" s="555">
        <f>$B$193*M183</f>
        <v>0</v>
      </c>
      <c r="N195" s="892"/>
      <c r="O195" s="555">
        <f>$B$193*O183</f>
        <v>0</v>
      </c>
      <c r="P195"/>
      <c r="Q195"/>
      <c r="R195"/>
      <c r="S195"/>
      <c r="T195"/>
      <c r="U195"/>
    </row>
    <row r="196" spans="1:21" ht="13.5" thickBot="1">
      <c r="A196" s="128"/>
      <c r="B196" s="128"/>
      <c r="C196" s="130"/>
      <c r="D196" s="296"/>
      <c r="E196" s="296"/>
      <c r="F196" s="130"/>
      <c r="G196" s="893"/>
      <c r="H196" s="893"/>
      <c r="I196" s="893"/>
      <c r="J196" s="893"/>
      <c r="K196" s="893"/>
      <c r="L196" s="893"/>
      <c r="M196" s="893"/>
      <c r="N196" s="893"/>
      <c r="O196" s="893"/>
      <c r="P196"/>
      <c r="Q196"/>
      <c r="R196"/>
      <c r="S196"/>
      <c r="T196"/>
      <c r="U196"/>
    </row>
    <row r="197" spans="1:21" ht="19.5" customHeight="1" thickBot="1">
      <c r="A197" s="861" t="s">
        <v>88</v>
      </c>
      <c r="B197" s="654">
        <v>0.106</v>
      </c>
      <c r="C197" s="890" t="e">
        <f>#REF!*0.11</f>
        <v>#REF!</v>
      </c>
      <c r="D197" s="867"/>
      <c r="E197" s="867"/>
      <c r="F197" s="296"/>
      <c r="G197" s="555">
        <f>$B$197*G185</f>
        <v>22260</v>
      </c>
      <c r="H197" s="864"/>
      <c r="I197" s="555">
        <f>$B$197*I185</f>
        <v>25408.2</v>
      </c>
      <c r="J197" s="865"/>
      <c r="K197" s="555">
        <f>$B$197*K185</f>
        <v>28673.424</v>
      </c>
      <c r="L197" s="865"/>
      <c r="M197" s="555">
        <f>$B$197*M185</f>
        <v>29246.892479999995</v>
      </c>
      <c r="N197" s="865"/>
      <c r="O197" s="555">
        <f>$B$197*O185</f>
        <v>29831.830329599994</v>
      </c>
      <c r="P197"/>
      <c r="Q197"/>
      <c r="R197"/>
      <c r="S197"/>
      <c r="T197"/>
      <c r="U197"/>
    </row>
    <row r="198" spans="1:21" ht="13.5" thickBot="1">
      <c r="A198" s="872"/>
      <c r="B198" s="872"/>
      <c r="C198" s="891"/>
      <c r="D198" s="867"/>
      <c r="E198" s="867"/>
      <c r="F198" s="130"/>
      <c r="G198" s="894"/>
      <c r="H198" s="894"/>
      <c r="I198" s="434"/>
      <c r="J198" s="894"/>
      <c r="K198" s="894"/>
      <c r="L198" s="894"/>
      <c r="M198" s="894"/>
      <c r="N198" s="894"/>
      <c r="O198" s="894"/>
      <c r="P198"/>
      <c r="Q198"/>
      <c r="R198"/>
      <c r="S198"/>
      <c r="T198"/>
      <c r="U198"/>
    </row>
    <row r="199" spans="1:21" ht="21.75" customHeight="1" thickBot="1">
      <c r="A199" s="544" t="s">
        <v>38</v>
      </c>
      <c r="B199" s="654">
        <v>0.062</v>
      </c>
      <c r="C199" s="866" t="e">
        <f>#REF!*0.062</f>
        <v>#REF!</v>
      </c>
      <c r="D199" s="867"/>
      <c r="E199" s="555">
        <f>E188*$B$199</f>
        <v>1860</v>
      </c>
      <c r="F199" s="867"/>
      <c r="G199" s="555">
        <f>G188*$B$199</f>
        <v>6727</v>
      </c>
      <c r="H199" s="868"/>
      <c r="I199" s="555">
        <f>I188*$B$199</f>
        <v>6861.54</v>
      </c>
      <c r="J199" s="869"/>
      <c r="K199" s="555">
        <f>K188*$B$199</f>
        <v>6998.770799999999</v>
      </c>
      <c r="L199" s="869"/>
      <c r="M199" s="555">
        <f>M188*$B$199</f>
        <v>7138.746216</v>
      </c>
      <c r="N199" s="869"/>
      <c r="O199" s="555">
        <f>O188*$B$199</f>
        <v>7281.52114032</v>
      </c>
      <c r="P199"/>
      <c r="Q199"/>
      <c r="R199"/>
      <c r="S199"/>
      <c r="T199"/>
      <c r="U199"/>
    </row>
    <row r="200" spans="1:21" ht="13.5" thickBot="1">
      <c r="A200" s="857"/>
      <c r="B200" s="857"/>
      <c r="C200" s="891"/>
      <c r="D200" s="867"/>
      <c r="E200" s="867"/>
      <c r="F200" s="130"/>
      <c r="G200" s="894"/>
      <c r="H200" s="894"/>
      <c r="I200" s="894"/>
      <c r="J200" s="894"/>
      <c r="K200" s="894"/>
      <c r="L200" s="894"/>
      <c r="M200" s="894"/>
      <c r="N200" s="894"/>
      <c r="O200" s="894"/>
      <c r="P200"/>
      <c r="Q200"/>
      <c r="R200"/>
      <c r="S200"/>
      <c r="T200"/>
      <c r="U200"/>
    </row>
    <row r="201" spans="1:21" ht="24" customHeight="1" thickBot="1">
      <c r="A201" s="544" t="s">
        <v>89</v>
      </c>
      <c r="B201" s="654">
        <v>0.0145</v>
      </c>
      <c r="C201" s="870"/>
      <c r="D201" s="871"/>
      <c r="E201" s="555">
        <f>E189*$B$201</f>
        <v>435</v>
      </c>
      <c r="F201" s="872"/>
      <c r="G201" s="555">
        <f>G189*$B$201</f>
        <v>6543.125</v>
      </c>
      <c r="H201" s="868"/>
      <c r="I201" s="555">
        <f>I189*$B$201</f>
        <v>7043.7375</v>
      </c>
      <c r="J201" s="869"/>
      <c r="K201" s="555">
        <f>K189*$B$201</f>
        <v>7561.757250000001</v>
      </c>
      <c r="L201" s="869"/>
      <c r="M201" s="555">
        <f>M189*$B$201</f>
        <v>7712.992394999998</v>
      </c>
      <c r="N201" s="869"/>
      <c r="O201" s="555">
        <f>O189*$B$201</f>
        <v>7867.2522429</v>
      </c>
      <c r="P201"/>
      <c r="Q201"/>
      <c r="R201"/>
      <c r="S201"/>
      <c r="T201"/>
      <c r="U201"/>
    </row>
    <row r="202" spans="1:21" ht="13.5" thickBot="1">
      <c r="A202" s="4"/>
      <c r="B202" s="4"/>
      <c r="C202" s="4"/>
      <c r="D202" s="4"/>
      <c r="E202" s="4"/>
      <c r="F202" s="4"/>
      <c r="G202" s="427"/>
      <c r="H202" s="427"/>
      <c r="I202" s="427"/>
      <c r="J202" s="427"/>
      <c r="K202" s="427"/>
      <c r="L202" s="427"/>
      <c r="M202" s="427"/>
      <c r="N202" s="427"/>
      <c r="O202" s="427"/>
      <c r="P202"/>
      <c r="Q202"/>
      <c r="R202"/>
      <c r="S202"/>
      <c r="T202"/>
      <c r="U202"/>
    </row>
    <row r="203" spans="1:21" ht="24" customHeight="1" thickBot="1">
      <c r="A203" s="544" t="s">
        <v>273</v>
      </c>
      <c r="B203" s="985">
        <f>B197-0.062</f>
        <v>0.044</v>
      </c>
      <c r="C203" s="4"/>
      <c r="D203" s="4"/>
      <c r="E203" s="428">
        <f>E188*$B$203</f>
        <v>1320</v>
      </c>
      <c r="F203" s="4"/>
      <c r="G203" s="428">
        <f>G188*$B$203</f>
        <v>4774</v>
      </c>
      <c r="H203" s="427"/>
      <c r="I203" s="428">
        <f>I188*$B$203</f>
        <v>4869.48</v>
      </c>
      <c r="J203" s="427"/>
      <c r="K203" s="428">
        <f>K188*$B$203</f>
        <v>4966.869599999999</v>
      </c>
      <c r="L203" s="427"/>
      <c r="M203" s="428">
        <f>M188*$B$203</f>
        <v>5066.206991999999</v>
      </c>
      <c r="N203" s="427"/>
      <c r="O203" s="428">
        <f>O188*$B$203</f>
        <v>5167.53113184</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8"/>
      <c r="B217" s="4"/>
      <c r="C217" s="4"/>
      <c r="D217" s="4"/>
      <c r="E217" s="4"/>
      <c r="F217" s="4"/>
      <c r="G217" s="4"/>
      <c r="H217" s="4"/>
      <c r="I217" s="4"/>
      <c r="J217" s="4"/>
      <c r="K217" s="4"/>
      <c r="L217" s="4"/>
      <c r="M217" s="4"/>
      <c r="N217" s="4"/>
      <c r="O217" s="4"/>
      <c r="P217"/>
      <c r="Q217"/>
      <c r="R217"/>
      <c r="S217"/>
      <c r="T217"/>
      <c r="U217"/>
    </row>
    <row r="218" spans="1:21" ht="12.75">
      <c r="A218" s="108"/>
      <c r="B218" s="4"/>
      <c r="C218" s="4"/>
      <c r="D218" s="4"/>
      <c r="E218" s="4"/>
      <c r="F218" s="4"/>
      <c r="G218" s="4"/>
      <c r="H218" s="4"/>
      <c r="I218" s="4"/>
      <c r="J218" s="4"/>
      <c r="K218" s="4"/>
      <c r="L218" s="4"/>
      <c r="M218" s="4"/>
      <c r="N218" s="4"/>
      <c r="O218" s="4"/>
      <c r="P218"/>
      <c r="Q218"/>
      <c r="R218"/>
      <c r="S218"/>
      <c r="T218"/>
      <c r="U218"/>
    </row>
    <row r="219" spans="1:21" ht="12.75">
      <c r="A219" s="108"/>
      <c r="B219" s="4"/>
      <c r="C219" s="4"/>
      <c r="D219" s="4"/>
      <c r="E219" s="4"/>
      <c r="F219" s="4"/>
      <c r="G219" s="4"/>
      <c r="H219" s="4"/>
      <c r="I219" s="4"/>
      <c r="J219" s="4"/>
      <c r="K219" s="4"/>
      <c r="L219" s="4"/>
      <c r="M219" s="4"/>
      <c r="N219" s="4"/>
      <c r="O219" s="4"/>
      <c r="P219"/>
      <c r="Q219"/>
      <c r="R219"/>
      <c r="S219"/>
      <c r="T219"/>
      <c r="U219"/>
    </row>
    <row r="220" spans="1:21" ht="12.75">
      <c r="A220" s="113"/>
      <c r="B220" s="4"/>
      <c r="C220" s="4"/>
      <c r="D220" s="4"/>
      <c r="E220" s="4"/>
      <c r="F220" s="4"/>
      <c r="G220" s="4"/>
      <c r="H220" s="4"/>
      <c r="I220" s="4"/>
      <c r="J220" s="4"/>
      <c r="K220" s="4"/>
      <c r="L220" s="4"/>
      <c r="M220" s="4"/>
      <c r="N220" s="4"/>
      <c r="O220" s="4"/>
      <c r="P220"/>
      <c r="Q220"/>
      <c r="R220"/>
      <c r="S220"/>
      <c r="T220"/>
      <c r="U220"/>
    </row>
    <row r="221" spans="1:21" ht="12.75">
      <c r="A221" s="108"/>
      <c r="B221" s="4"/>
      <c r="C221" s="4"/>
      <c r="D221" s="4"/>
      <c r="E221" s="4"/>
      <c r="F221" s="4"/>
      <c r="G221" s="4"/>
      <c r="H221" s="4"/>
      <c r="I221" s="4"/>
      <c r="J221" s="4"/>
      <c r="K221" s="4"/>
      <c r="L221" s="4"/>
      <c r="M221" s="4"/>
      <c r="N221" s="4"/>
      <c r="O221" s="4"/>
      <c r="P221"/>
      <c r="Q221"/>
      <c r="R221"/>
      <c r="S221"/>
      <c r="T221"/>
      <c r="U221"/>
    </row>
    <row r="222" spans="1:21" ht="12.75">
      <c r="A222" s="108"/>
      <c r="B222" s="4"/>
      <c r="C222" s="4"/>
      <c r="D222" s="4"/>
      <c r="E222" s="4"/>
      <c r="F222" s="4"/>
      <c r="G222" s="4"/>
      <c r="H222" s="4"/>
      <c r="I222" s="4"/>
      <c r="J222" s="4"/>
      <c r="K222" s="4"/>
      <c r="L222" s="4"/>
      <c r="M222" s="4"/>
      <c r="N222" s="4"/>
      <c r="O222" s="4"/>
      <c r="P222"/>
      <c r="Q222"/>
      <c r="R222"/>
      <c r="S222"/>
      <c r="T222"/>
      <c r="U222"/>
    </row>
    <row r="223" spans="1:21" ht="12.75">
      <c r="A223" s="108"/>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B117:O117"/>
    <mergeCell ref="B4:O4"/>
    <mergeCell ref="B60:O60"/>
    <mergeCell ref="A62:B62"/>
    <mergeCell ref="D5:O5"/>
    <mergeCell ref="A1:B1"/>
  </mergeCells>
  <conditionalFormatting sqref="G181:O181 H180 J180 L180 N180">
    <cfRule type="expression" priority="13" dxfId="7" stopIfTrue="1">
      <formula>#REF!="Yes"</formula>
    </cfRule>
  </conditionalFormatting>
  <conditionalFormatting sqref="G34:O34 G41:H42 G28:H29 G31:O32 F7:F57 J28:J29 L28:L29 N28:N29 H43:H45 J41:J45 L41:L45 N41:O41 N42:N45 C6:E57 G43:G57">
    <cfRule type="expression" priority="15" dxfId="1" stopIfTrue="1">
      <formula>Personnel!#REF!="Prior Fiscal Year"</formula>
    </cfRule>
  </conditionalFormatting>
  <conditionalFormatting sqref="C180:F180 C181:D181 F181">
    <cfRule type="expression" priority="26" dxfId="7" stopIfTrue="1">
      <formula>#REF!="Yes"</formula>
    </cfRule>
    <cfRule type="expression" priority="27" dxfId="1" stopIfTrue="1">
      <formula>Personnel!#REF!="Prior Fiscal Year"</formula>
    </cfRule>
  </conditionalFormatting>
  <conditionalFormatting sqref="I187:O189">
    <cfRule type="expression" priority="100" dxfId="0" stopIfTrue="1">
      <formula>(SUMPRODUCT(I$6:I$57,I$64:I$115)+I$180+#REF!-I$187)&lt;&gt;0</formula>
    </cfRule>
  </conditionalFormatting>
  <conditionalFormatting sqref="C187:O189">
    <cfRule type="expression" priority="102" dxfId="0" stopIfTrue="1">
      <formula>ROUND((SUMPRODUCT(C$6:C$57,C$64:C$115)+C$180+#REF!-C$187),0)&lt;&gt;0</formula>
    </cfRule>
  </conditionalFormatting>
  <conditionalFormatting sqref="O45 O47 O51 O53 O55">
    <cfRule type="expression" priority="8" dxfId="1" stopIfTrue="1">
      <formula>Personnel!#REF!="Prior Fiscal Year"</formula>
    </cfRule>
  </conditionalFormatting>
  <conditionalFormatting sqref="E181">
    <cfRule type="expression" priority="7" dxfId="7" stopIfTrue="1">
      <formula>#REF!="Yes"</formula>
    </cfRule>
  </conditionalFormatting>
  <conditionalFormatting sqref="I43">
    <cfRule type="expression" priority="6" dxfId="1" stopIfTrue="1">
      <formula>Personnel!#REF!="Prior Fiscal Year"</formula>
    </cfRule>
  </conditionalFormatting>
  <conditionalFormatting sqref="K43">
    <cfRule type="expression" priority="5" dxfId="1" stopIfTrue="1">
      <formula>Personnel!#REF!="Prior Fiscal Year"</formula>
    </cfRule>
  </conditionalFormatting>
  <conditionalFormatting sqref="M43">
    <cfRule type="expression" priority="4" dxfId="1" stopIfTrue="1">
      <formula>Personnel!#REF!="Prior Fiscal Year"</formula>
    </cfRule>
  </conditionalFormatting>
  <conditionalFormatting sqref="O43">
    <cfRule type="expression" priority="3" dxfId="1" stopIfTrue="1">
      <formula>Personnel!#REF!="Prior Fiscal Year"</formula>
    </cfRule>
  </conditionalFormatting>
  <conditionalFormatting sqref="O44 M44 K44 I44">
    <cfRule type="expression" priority="2" dxfId="1" stopIfTrue="1">
      <formula>Personnel!#REF!="Prior Fiscal Year"</formula>
    </cfRule>
  </conditionalFormatting>
  <conditionalFormatting sqref="O49 M49 K49 I49">
    <cfRule type="expression" priority="1" dxfId="1"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B1:AI239"/>
  <sheetViews>
    <sheetView zoomScale="80" zoomScaleNormal="80" zoomScalePageLayoutView="0" workbookViewId="0" topLeftCell="S1">
      <selection activeCell="AA3" sqref="T3:AA3"/>
    </sheetView>
  </sheetViews>
  <sheetFormatPr defaultColWidth="9.140625" defaultRowHeight="12.75"/>
  <cols>
    <col min="2" max="2" width="79.421875" style="0" bestFit="1" customWidth="1"/>
    <col min="3" max="3" width="20.8515625" style="0" customWidth="1"/>
    <col min="4" max="4" width="17.421875" style="0" customWidth="1"/>
    <col min="5" max="5" width="18.421875" style="0" customWidth="1"/>
    <col min="6" max="6" width="17.140625" style="0" customWidth="1"/>
    <col min="7" max="7" width="14.28125" style="0" customWidth="1"/>
    <col min="9" max="9" width="79.421875" style="0" bestFit="1" customWidth="1"/>
    <col min="10" max="10" width="20.8515625" style="0" customWidth="1"/>
    <col min="11" max="11" width="17.421875" style="0" customWidth="1"/>
    <col min="12" max="12" width="18.421875" style="0" customWidth="1"/>
    <col min="13" max="13" width="17.140625" style="0" customWidth="1"/>
    <col min="14" max="14" width="14.28125" style="0" customWidth="1"/>
    <col min="16" max="16" width="52.28125" style="0" customWidth="1"/>
    <col min="17" max="17" width="20.8515625" style="0" customWidth="1"/>
    <col min="18" max="18" width="17.421875" style="0" customWidth="1"/>
    <col min="19" max="19" width="18.421875" style="0" customWidth="1"/>
    <col min="20" max="20" width="17.140625" style="0" customWidth="1"/>
    <col min="21" max="21" width="14.28125" style="0" customWidth="1"/>
    <col min="23" max="23" width="52.28125" style="0" customWidth="1"/>
    <col min="24" max="24" width="20.8515625" style="0" customWidth="1"/>
    <col min="25" max="25" width="17.421875" style="0" customWidth="1"/>
    <col min="26" max="26" width="18.421875" style="0" customWidth="1"/>
    <col min="27" max="27" width="17.140625" style="0" customWidth="1"/>
    <col min="28" max="28" width="14.28125" style="0" customWidth="1"/>
    <col min="30" max="30" width="52.28125" style="0" customWidth="1"/>
    <col min="31" max="31" width="20.8515625" style="0" customWidth="1"/>
    <col min="32" max="32" width="17.421875" style="0" customWidth="1"/>
    <col min="33" max="33" width="18.421875" style="0" customWidth="1"/>
    <col min="34" max="34" width="17.140625" style="0" customWidth="1"/>
    <col min="35" max="35" width="14.28125" style="0" customWidth="1"/>
  </cols>
  <sheetData>
    <row r="1" spans="2:7" ht="19.5" customHeight="1" thickBot="1">
      <c r="B1" s="1079" t="str">
        <f>'Budget with Assumptions'!$A$2</f>
        <v>Connected Futures Academy- Campus 5</v>
      </c>
      <c r="C1" s="1080"/>
      <c r="D1" s="164"/>
      <c r="E1" s="164"/>
      <c r="F1" s="165"/>
      <c r="G1" s="166"/>
    </row>
    <row r="2" spans="2:7" ht="15">
      <c r="B2" s="167"/>
      <c r="C2" s="164"/>
      <c r="D2" s="164"/>
      <c r="E2" s="164"/>
      <c r="F2" s="165"/>
      <c r="G2" s="166"/>
    </row>
    <row r="3" spans="2:22" ht="15">
      <c r="B3" s="168"/>
      <c r="C3" s="164"/>
      <c r="D3" s="164"/>
      <c r="E3" s="164"/>
      <c r="F3" s="165"/>
      <c r="G3" s="166"/>
      <c r="V3" s="97"/>
    </row>
    <row r="4" spans="2:22" ht="15">
      <c r="B4" s="168"/>
      <c r="C4" s="164"/>
      <c r="D4" s="164"/>
      <c r="E4" s="164"/>
      <c r="F4" s="165"/>
      <c r="G4" s="166"/>
      <c r="V4" s="97"/>
    </row>
    <row r="5" spans="2:29" ht="15.75" thickBot="1">
      <c r="B5" s="168"/>
      <c r="C5" s="164"/>
      <c r="D5" s="164"/>
      <c r="E5" s="164"/>
      <c r="F5" s="165"/>
      <c r="G5" s="166"/>
      <c r="H5" s="216"/>
      <c r="O5" s="216"/>
      <c r="V5" s="216"/>
      <c r="AC5" s="216"/>
    </row>
    <row r="6" spans="2:35" ht="15.75" thickBot="1">
      <c r="B6" s="1097" t="s">
        <v>193</v>
      </c>
      <c r="C6" s="1098"/>
      <c r="D6" s="1098"/>
      <c r="E6" s="1098"/>
      <c r="F6" s="1098"/>
      <c r="G6" s="1099"/>
      <c r="H6" s="459"/>
      <c r="I6" s="1097" t="s">
        <v>193</v>
      </c>
      <c r="J6" s="1098"/>
      <c r="K6" s="1098"/>
      <c r="L6" s="1098"/>
      <c r="M6" s="1098"/>
      <c r="N6" s="1099"/>
      <c r="O6" s="459"/>
      <c r="P6" s="1097" t="s">
        <v>193</v>
      </c>
      <c r="Q6" s="1098"/>
      <c r="R6" s="1098"/>
      <c r="S6" s="1098"/>
      <c r="T6" s="1098"/>
      <c r="U6" s="1099"/>
      <c r="V6" s="253"/>
      <c r="W6" s="1100" t="s">
        <v>193</v>
      </c>
      <c r="X6" s="1098"/>
      <c r="Y6" s="1098"/>
      <c r="Z6" s="1098"/>
      <c r="AA6" s="1098"/>
      <c r="AB6" s="1099"/>
      <c r="AC6" s="253"/>
      <c r="AD6" s="1100" t="s">
        <v>193</v>
      </c>
      <c r="AE6" s="1098"/>
      <c r="AF6" s="1098"/>
      <c r="AG6" s="1098"/>
      <c r="AH6" s="1098"/>
      <c r="AI6" s="1099"/>
    </row>
    <row r="7" spans="2:35" ht="22.5" customHeight="1" thickBot="1">
      <c r="B7" s="1104">
        <f>'Budget with Assumptions'!L9</f>
        <v>2016</v>
      </c>
      <c r="C7" s="1105"/>
      <c r="D7" s="1105"/>
      <c r="E7" s="1105"/>
      <c r="F7" s="1105"/>
      <c r="G7" s="1106"/>
      <c r="H7" s="459"/>
      <c r="I7" s="1104">
        <f>'Budget with Assumptions'!N9</f>
        <v>2017</v>
      </c>
      <c r="J7" s="1105"/>
      <c r="K7" s="1105"/>
      <c r="L7" s="1105"/>
      <c r="M7" s="1105"/>
      <c r="N7" s="1106"/>
      <c r="O7" s="459"/>
      <c r="P7" s="1104">
        <f>'Budget with Assumptions'!P9</f>
        <v>2018</v>
      </c>
      <c r="Q7" s="1105"/>
      <c r="R7" s="1105"/>
      <c r="S7" s="1105"/>
      <c r="T7" s="1105"/>
      <c r="U7" s="1106"/>
      <c r="V7" s="253"/>
      <c r="W7" s="1105">
        <f>'Budget with Assumptions'!R9</f>
        <v>2019</v>
      </c>
      <c r="X7" s="1105"/>
      <c r="Y7" s="1105"/>
      <c r="Z7" s="1105"/>
      <c r="AA7" s="1105"/>
      <c r="AB7" s="1106"/>
      <c r="AC7" s="253"/>
      <c r="AD7" s="1105">
        <f>'Budget with Assumptions'!T9</f>
        <v>2020</v>
      </c>
      <c r="AE7" s="1105"/>
      <c r="AF7" s="1105"/>
      <c r="AG7" s="1105"/>
      <c r="AH7" s="1105"/>
      <c r="AI7" s="1106"/>
    </row>
    <row r="8" spans="2:35" ht="15.75" thickBot="1">
      <c r="B8" s="267"/>
      <c r="C8" s="268"/>
      <c r="D8" s="268"/>
      <c r="E8" s="268"/>
      <c r="F8" s="269"/>
      <c r="G8" s="460"/>
      <c r="H8" s="459"/>
      <c r="I8" s="461"/>
      <c r="J8" s="245"/>
      <c r="K8" s="245"/>
      <c r="L8" s="245"/>
      <c r="M8" s="245"/>
      <c r="N8" s="252"/>
      <c r="O8" s="459"/>
      <c r="P8" s="461"/>
      <c r="Q8" s="245"/>
      <c r="R8" s="245"/>
      <c r="S8" s="245"/>
      <c r="T8" s="245"/>
      <c r="U8" s="252"/>
      <c r="V8" s="253"/>
      <c r="W8" s="245"/>
      <c r="X8" s="245"/>
      <c r="Y8" s="245"/>
      <c r="Z8" s="245"/>
      <c r="AA8" s="245"/>
      <c r="AB8" s="252"/>
      <c r="AC8" s="253"/>
      <c r="AD8" s="245"/>
      <c r="AE8" s="245"/>
      <c r="AF8" s="245"/>
      <c r="AG8" s="245"/>
      <c r="AH8" s="245"/>
      <c r="AI8" s="252"/>
    </row>
    <row r="9" spans="2:35" ht="28.5" customHeight="1" thickBot="1">
      <c r="B9" s="1147">
        <f>B7</f>
        <v>2016</v>
      </c>
      <c r="C9" s="1141"/>
      <c r="D9" s="170"/>
      <c r="E9" s="170"/>
      <c r="F9" s="171"/>
      <c r="G9" s="204"/>
      <c r="H9" s="459"/>
      <c r="I9" s="1147">
        <f>I7</f>
        <v>2017</v>
      </c>
      <c r="J9" s="1141"/>
      <c r="K9" s="170"/>
      <c r="L9" s="170"/>
      <c r="M9" s="171"/>
      <c r="N9" s="259"/>
      <c r="O9" s="459"/>
      <c r="P9" s="1147">
        <f>P7</f>
        <v>2018</v>
      </c>
      <c r="Q9" s="1141"/>
      <c r="R9" s="170"/>
      <c r="S9" s="170"/>
      <c r="T9" s="171"/>
      <c r="U9" s="259"/>
      <c r="V9" s="253"/>
      <c r="W9" s="1140">
        <f>W7</f>
        <v>2019</v>
      </c>
      <c r="X9" s="1141"/>
      <c r="Y9" s="170"/>
      <c r="Z9" s="170"/>
      <c r="AA9" s="171"/>
      <c r="AB9" s="259"/>
      <c r="AC9" s="253"/>
      <c r="AD9" s="1140">
        <f>AD7</f>
        <v>2020</v>
      </c>
      <c r="AE9" s="1141"/>
      <c r="AF9" s="170"/>
      <c r="AG9" s="170"/>
      <c r="AH9" s="171"/>
      <c r="AI9" s="259"/>
    </row>
    <row r="10" spans="2:35" ht="15.75" thickBot="1">
      <c r="B10" s="408" t="s">
        <v>96</v>
      </c>
      <c r="C10" s="328" t="s">
        <v>553</v>
      </c>
      <c r="D10" s="170"/>
      <c r="E10" s="170"/>
      <c r="F10" s="171"/>
      <c r="G10" s="204"/>
      <c r="H10" s="459"/>
      <c r="I10" s="408" t="s">
        <v>96</v>
      </c>
      <c r="J10" s="328" t="s">
        <v>553</v>
      </c>
      <c r="K10" s="170"/>
      <c r="L10" s="170"/>
      <c r="M10" s="171"/>
      <c r="N10" s="259"/>
      <c r="O10" s="459"/>
      <c r="P10" s="408" t="s">
        <v>96</v>
      </c>
      <c r="Q10" s="328" t="s">
        <v>553</v>
      </c>
      <c r="R10" s="170"/>
      <c r="S10" s="170"/>
      <c r="T10" s="171"/>
      <c r="U10" s="259"/>
      <c r="V10" s="253"/>
      <c r="W10" s="409" t="s">
        <v>96</v>
      </c>
      <c r="X10" s="328" t="s">
        <v>553</v>
      </c>
      <c r="Y10" s="170"/>
      <c r="Z10" s="170"/>
      <c r="AA10" s="171"/>
      <c r="AB10" s="259"/>
      <c r="AC10" s="253"/>
      <c r="AD10" s="409" t="s">
        <v>96</v>
      </c>
      <c r="AE10" s="328" t="s">
        <v>553</v>
      </c>
      <c r="AF10" s="170"/>
      <c r="AG10" s="170"/>
      <c r="AH10" s="171"/>
      <c r="AI10" s="259"/>
    </row>
    <row r="11" spans="2:35" ht="15">
      <c r="B11" s="446" t="s">
        <v>97</v>
      </c>
      <c r="C11" s="895">
        <v>5070.65</v>
      </c>
      <c r="D11" s="170"/>
      <c r="E11" s="170"/>
      <c r="F11" s="171"/>
      <c r="G11" s="204"/>
      <c r="H11" s="459"/>
      <c r="I11" s="446" t="s">
        <v>97</v>
      </c>
      <c r="J11" s="895">
        <f>$C$11</f>
        <v>5070.65</v>
      </c>
      <c r="K11" s="170"/>
      <c r="L11" s="170"/>
      <c r="M11" s="171"/>
      <c r="N11" s="259"/>
      <c r="O11" s="459"/>
      <c r="P11" s="446" t="s">
        <v>97</v>
      </c>
      <c r="Q11" s="895">
        <f>$C$11</f>
        <v>5070.65</v>
      </c>
      <c r="R11" s="170"/>
      <c r="S11" s="170"/>
      <c r="T11" s="171"/>
      <c r="U11" s="259"/>
      <c r="V11" s="253"/>
      <c r="W11" s="458" t="s">
        <v>97</v>
      </c>
      <c r="X11" s="895">
        <f>$C$11</f>
        <v>5070.65</v>
      </c>
      <c r="Y11" s="170"/>
      <c r="Z11" s="170"/>
      <c r="AA11" s="171"/>
      <c r="AB11" s="259"/>
      <c r="AC11" s="253"/>
      <c r="AD11" s="458" t="s">
        <v>97</v>
      </c>
      <c r="AE11" s="895">
        <f>$C$11</f>
        <v>5070.65</v>
      </c>
      <c r="AF11" s="170"/>
      <c r="AG11" s="170"/>
      <c r="AH11" s="171"/>
      <c r="AI11" s="259"/>
    </row>
    <row r="12" spans="2:35" ht="15">
      <c r="B12" s="447" t="s">
        <v>98</v>
      </c>
      <c r="C12" s="896">
        <v>1758.02</v>
      </c>
      <c r="D12" s="170"/>
      <c r="E12" s="170"/>
      <c r="F12" s="171"/>
      <c r="G12" s="204"/>
      <c r="H12" s="459"/>
      <c r="I12" s="447" t="s">
        <v>98</v>
      </c>
      <c r="J12" s="895">
        <f>$C$12</f>
        <v>1758.02</v>
      </c>
      <c r="K12" s="170"/>
      <c r="L12" s="170"/>
      <c r="M12" s="171"/>
      <c r="N12" s="259"/>
      <c r="O12" s="459"/>
      <c r="P12" s="447" t="s">
        <v>98</v>
      </c>
      <c r="Q12" s="895">
        <f>$C$12</f>
        <v>1758.02</v>
      </c>
      <c r="R12" s="170"/>
      <c r="S12" s="170"/>
      <c r="T12" s="171"/>
      <c r="U12" s="259"/>
      <c r="V12" s="253"/>
      <c r="W12" s="463" t="s">
        <v>98</v>
      </c>
      <c r="X12" s="895">
        <f>$C$12</f>
        <v>1758.02</v>
      </c>
      <c r="Y12" s="170"/>
      <c r="Z12" s="170"/>
      <c r="AA12" s="171"/>
      <c r="AB12" s="259"/>
      <c r="AC12" s="253"/>
      <c r="AD12" s="463" t="s">
        <v>98</v>
      </c>
      <c r="AE12" s="895">
        <f>$C$12</f>
        <v>1758.02</v>
      </c>
      <c r="AF12" s="170"/>
      <c r="AG12" s="170"/>
      <c r="AH12" s="171"/>
      <c r="AI12" s="259"/>
    </row>
    <row r="13" spans="2:35" ht="15">
      <c r="B13" s="270" t="s">
        <v>309</v>
      </c>
      <c r="C13" s="896">
        <v>4738.92</v>
      </c>
      <c r="D13" s="170"/>
      <c r="E13" s="170"/>
      <c r="F13" s="171"/>
      <c r="G13" s="204"/>
      <c r="H13" s="459"/>
      <c r="I13" s="270" t="s">
        <v>309</v>
      </c>
      <c r="J13" s="895">
        <f>$C$13</f>
        <v>4738.92</v>
      </c>
      <c r="K13" s="170"/>
      <c r="L13" s="170"/>
      <c r="M13" s="171"/>
      <c r="N13" s="259"/>
      <c r="O13" s="459"/>
      <c r="P13" s="270" t="s">
        <v>99</v>
      </c>
      <c r="Q13" s="895">
        <f>$C$13</f>
        <v>4738.92</v>
      </c>
      <c r="R13" s="170"/>
      <c r="S13" s="170"/>
      <c r="T13" s="171"/>
      <c r="U13" s="259"/>
      <c r="V13" s="253"/>
      <c r="W13" s="246" t="s">
        <v>330</v>
      </c>
      <c r="X13" s="895">
        <f>$C$13</f>
        <v>4738.92</v>
      </c>
      <c r="Y13" s="170"/>
      <c r="Z13" s="170"/>
      <c r="AA13" s="171"/>
      <c r="AB13" s="259"/>
      <c r="AC13" s="253"/>
      <c r="AD13" s="246" t="s">
        <v>99</v>
      </c>
      <c r="AE13" s="895">
        <f>$C$13</f>
        <v>4738.92</v>
      </c>
      <c r="AF13" s="170"/>
      <c r="AG13" s="170"/>
      <c r="AH13" s="171"/>
      <c r="AI13" s="259"/>
    </row>
    <row r="14" spans="2:35" ht="15">
      <c r="B14" s="270" t="s">
        <v>310</v>
      </c>
      <c r="C14" s="896">
        <v>1643.01</v>
      </c>
      <c r="D14" s="170"/>
      <c r="E14" s="170"/>
      <c r="F14" s="171"/>
      <c r="G14" s="204"/>
      <c r="H14" s="265"/>
      <c r="I14" s="270" t="s">
        <v>310</v>
      </c>
      <c r="J14" s="895">
        <f>$C$14</f>
        <v>1643.01</v>
      </c>
      <c r="K14" s="170"/>
      <c r="L14" s="170"/>
      <c r="M14" s="171"/>
      <c r="N14" s="259"/>
      <c r="O14" s="459"/>
      <c r="P14" s="271" t="s">
        <v>100</v>
      </c>
      <c r="Q14" s="895">
        <f>$C$14</f>
        <v>1643.01</v>
      </c>
      <c r="R14" s="170"/>
      <c r="S14" s="170"/>
      <c r="T14" s="171"/>
      <c r="U14" s="259"/>
      <c r="V14" s="253"/>
      <c r="W14" s="247" t="s">
        <v>331</v>
      </c>
      <c r="X14" s="895">
        <f>$C$14</f>
        <v>1643.01</v>
      </c>
      <c r="Y14" s="170"/>
      <c r="Z14" s="170"/>
      <c r="AA14" s="171"/>
      <c r="AB14" s="259"/>
      <c r="AC14" s="253"/>
      <c r="AD14" s="247" t="s">
        <v>100</v>
      </c>
      <c r="AE14" s="895">
        <f>$C$14</f>
        <v>1643.01</v>
      </c>
      <c r="AF14" s="170"/>
      <c r="AG14" s="170"/>
      <c r="AH14" s="171"/>
      <c r="AI14" s="259"/>
    </row>
    <row r="15" spans="2:35" ht="15">
      <c r="B15" s="446" t="s">
        <v>308</v>
      </c>
      <c r="C15" s="896">
        <f>C13*1.16</f>
        <v>5497.147199999999</v>
      </c>
      <c r="D15" s="170"/>
      <c r="E15" s="170"/>
      <c r="F15" s="171"/>
      <c r="G15" s="204"/>
      <c r="H15" s="253"/>
      <c r="I15" s="446" t="s">
        <v>308</v>
      </c>
      <c r="J15" s="896">
        <f>J13*1.08</f>
        <v>5118.033600000001</v>
      </c>
      <c r="K15" s="170"/>
      <c r="L15" s="170"/>
      <c r="M15" s="171"/>
      <c r="N15" s="259"/>
      <c r="O15" s="456"/>
      <c r="P15" s="272" t="s">
        <v>324</v>
      </c>
      <c r="Q15" s="896">
        <f>$C$17</f>
        <v>5868.88</v>
      </c>
      <c r="R15" s="170"/>
      <c r="S15" s="170"/>
      <c r="T15" s="171"/>
      <c r="U15" s="259"/>
      <c r="V15" s="253"/>
      <c r="W15" s="248" t="s">
        <v>101</v>
      </c>
      <c r="X15" s="896">
        <f>$C$17</f>
        <v>5868.88</v>
      </c>
      <c r="Y15" s="170"/>
      <c r="Z15" s="170"/>
      <c r="AA15" s="171"/>
      <c r="AB15" s="259"/>
      <c r="AC15" s="253"/>
      <c r="AD15" s="248" t="s">
        <v>101</v>
      </c>
      <c r="AE15" s="896">
        <f>$C$17</f>
        <v>5868.88</v>
      </c>
      <c r="AF15" s="170"/>
      <c r="AG15" s="170"/>
      <c r="AH15" s="171"/>
      <c r="AI15" s="259"/>
    </row>
    <row r="16" spans="2:35" ht="15">
      <c r="B16" s="446" t="s">
        <v>311</v>
      </c>
      <c r="C16" s="896">
        <f>C14*1.16</f>
        <v>1905.8916</v>
      </c>
      <c r="D16" s="170"/>
      <c r="E16" s="170"/>
      <c r="F16" s="171"/>
      <c r="G16" s="204"/>
      <c r="H16" s="253"/>
      <c r="I16" s="446" t="s">
        <v>311</v>
      </c>
      <c r="J16" s="896">
        <f>J14*1.08</f>
        <v>1774.4508</v>
      </c>
      <c r="K16" s="170"/>
      <c r="L16" s="170"/>
      <c r="M16" s="171"/>
      <c r="N16" s="259"/>
      <c r="O16" s="456"/>
      <c r="P16" s="469" t="s">
        <v>325</v>
      </c>
      <c r="Q16" s="896">
        <f>$C$18</f>
        <v>2020.9</v>
      </c>
      <c r="R16" s="170"/>
      <c r="S16" s="170"/>
      <c r="T16" s="171"/>
      <c r="U16" s="259"/>
      <c r="V16" s="253"/>
      <c r="W16" s="248" t="s">
        <v>102</v>
      </c>
      <c r="X16" s="896">
        <f>$C$18</f>
        <v>2020.9</v>
      </c>
      <c r="Y16" s="170"/>
      <c r="Z16" s="170"/>
      <c r="AA16" s="171"/>
      <c r="AB16" s="259"/>
      <c r="AC16" s="253"/>
      <c r="AD16" s="248" t="s">
        <v>102</v>
      </c>
      <c r="AE16" s="896">
        <f>$C$18</f>
        <v>2020.9</v>
      </c>
      <c r="AF16" s="170"/>
      <c r="AG16" s="170"/>
      <c r="AH16" s="171"/>
      <c r="AI16" s="259"/>
    </row>
    <row r="17" spans="2:35" ht="15">
      <c r="B17" s="270" t="s">
        <v>101</v>
      </c>
      <c r="C17" s="896">
        <v>5868.88</v>
      </c>
      <c r="D17" s="170"/>
      <c r="E17" s="170"/>
      <c r="F17" s="171"/>
      <c r="G17" s="204"/>
      <c r="H17" s="253"/>
      <c r="I17" s="270" t="s">
        <v>101</v>
      </c>
      <c r="J17" s="896">
        <f>$C$17</f>
        <v>5868.88</v>
      </c>
      <c r="K17" s="170"/>
      <c r="L17" s="170"/>
      <c r="M17" s="171"/>
      <c r="N17" s="259"/>
      <c r="O17" s="456"/>
      <c r="P17" s="468"/>
      <c r="Q17" s="457"/>
      <c r="R17" s="170"/>
      <c r="S17" s="170"/>
      <c r="T17" s="171"/>
      <c r="U17" s="259"/>
      <c r="V17" s="253"/>
      <c r="W17" s="167"/>
      <c r="X17" s="457"/>
      <c r="Y17" s="170"/>
      <c r="Z17" s="170"/>
      <c r="AA17" s="171"/>
      <c r="AB17" s="259"/>
      <c r="AC17" s="253"/>
      <c r="AD17" s="167"/>
      <c r="AE17" s="457"/>
      <c r="AF17" s="170"/>
      <c r="AG17" s="170"/>
      <c r="AH17" s="171"/>
      <c r="AI17" s="259"/>
    </row>
    <row r="18" spans="2:35" ht="15">
      <c r="B18" s="270" t="s">
        <v>102</v>
      </c>
      <c r="C18" s="896">
        <v>2020.9</v>
      </c>
      <c r="D18" s="170"/>
      <c r="E18" s="170"/>
      <c r="F18" s="171"/>
      <c r="G18" s="204"/>
      <c r="H18" s="253"/>
      <c r="I18" s="270" t="s">
        <v>102</v>
      </c>
      <c r="J18" s="896">
        <f>$C$18</f>
        <v>2020.9</v>
      </c>
      <c r="K18" s="170"/>
      <c r="L18" s="170"/>
      <c r="M18" s="171"/>
      <c r="N18" s="259"/>
      <c r="O18" s="456"/>
      <c r="P18" s="468"/>
      <c r="Q18" s="457"/>
      <c r="R18" s="170"/>
      <c r="S18" s="170"/>
      <c r="T18" s="171"/>
      <c r="U18" s="259"/>
      <c r="V18" s="253"/>
      <c r="W18" s="167"/>
      <c r="X18" s="457"/>
      <c r="Y18" s="170"/>
      <c r="Z18" s="170"/>
      <c r="AA18" s="171"/>
      <c r="AB18" s="259"/>
      <c r="AC18" s="253"/>
      <c r="AD18" s="167"/>
      <c r="AE18" s="457"/>
      <c r="AF18" s="170"/>
      <c r="AG18" s="170"/>
      <c r="AH18" s="171"/>
      <c r="AI18" s="259"/>
    </row>
    <row r="19" spans="2:35" ht="15">
      <c r="B19" s="273"/>
      <c r="C19" s="170"/>
      <c r="D19" s="170"/>
      <c r="E19" s="170"/>
      <c r="F19" s="171"/>
      <c r="G19" s="204"/>
      <c r="H19" s="253"/>
      <c r="I19" s="169"/>
      <c r="J19" s="170"/>
      <c r="K19" s="170"/>
      <c r="L19" s="170"/>
      <c r="M19" s="171"/>
      <c r="N19" s="259"/>
      <c r="O19" s="456"/>
      <c r="P19" s="273"/>
      <c r="Q19" s="170"/>
      <c r="R19" s="170"/>
      <c r="S19" s="170"/>
      <c r="T19" s="171"/>
      <c r="U19" s="259"/>
      <c r="V19" s="253"/>
      <c r="W19" s="169"/>
      <c r="X19" s="170"/>
      <c r="Y19" s="170"/>
      <c r="Z19" s="170"/>
      <c r="AA19" s="171"/>
      <c r="AB19" s="259"/>
      <c r="AC19" s="253"/>
      <c r="AD19" s="169"/>
      <c r="AE19" s="170"/>
      <c r="AF19" s="170"/>
      <c r="AG19" s="170"/>
      <c r="AH19" s="171"/>
      <c r="AI19" s="259"/>
    </row>
    <row r="20" spans="2:35" ht="16.5" thickBot="1">
      <c r="B20" s="274"/>
      <c r="C20" s="174"/>
      <c r="D20" s="174"/>
      <c r="E20" s="174"/>
      <c r="F20" s="171"/>
      <c r="G20" s="204"/>
      <c r="H20" s="253"/>
      <c r="I20" s="173"/>
      <c r="J20" s="174"/>
      <c r="K20" s="174"/>
      <c r="L20" s="174"/>
      <c r="M20" s="171"/>
      <c r="N20" s="259"/>
      <c r="O20" s="456"/>
      <c r="P20" s="274"/>
      <c r="Q20" s="174"/>
      <c r="R20" s="174"/>
      <c r="S20" s="174"/>
      <c r="T20" s="171"/>
      <c r="U20" s="259"/>
      <c r="V20" s="253"/>
      <c r="W20" s="173"/>
      <c r="X20" s="174"/>
      <c r="Y20" s="174"/>
      <c r="Z20" s="174"/>
      <c r="AA20" s="171"/>
      <c r="AB20" s="259"/>
      <c r="AC20" s="253"/>
      <c r="AD20" s="173"/>
      <c r="AE20" s="174"/>
      <c r="AF20" s="174"/>
      <c r="AG20" s="174"/>
      <c r="AH20" s="171"/>
      <c r="AI20" s="259"/>
    </row>
    <row r="21" spans="2:35" ht="15.75" customHeight="1">
      <c r="B21" s="1156">
        <f>B7</f>
        <v>2016</v>
      </c>
      <c r="C21" s="1142"/>
      <c r="D21" s="1142"/>
      <c r="E21" s="1142"/>
      <c r="F21" s="1142"/>
      <c r="G21" s="255"/>
      <c r="H21" s="253"/>
      <c r="I21" s="1152">
        <f>I7</f>
        <v>2017</v>
      </c>
      <c r="J21" s="1152"/>
      <c r="K21" s="1152"/>
      <c r="L21" s="1152"/>
      <c r="M21" s="1152"/>
      <c r="N21" s="259"/>
      <c r="O21" s="253"/>
      <c r="P21" s="1142">
        <f>P7</f>
        <v>2018</v>
      </c>
      <c r="Q21" s="1142"/>
      <c r="R21" s="1142"/>
      <c r="S21" s="1142"/>
      <c r="T21" s="1142"/>
      <c r="U21" s="259"/>
      <c r="V21" s="253"/>
      <c r="W21" s="1142">
        <f>W7</f>
        <v>2019</v>
      </c>
      <c r="X21" s="1142"/>
      <c r="Y21" s="1142"/>
      <c r="Z21" s="1142"/>
      <c r="AA21" s="1142"/>
      <c r="AB21" s="259"/>
      <c r="AC21" s="253"/>
      <c r="AD21" s="1142">
        <f>AD7</f>
        <v>2020</v>
      </c>
      <c r="AE21" s="1142"/>
      <c r="AF21" s="1142"/>
      <c r="AG21" s="1142"/>
      <c r="AH21" s="1142"/>
      <c r="AI21" s="259"/>
    </row>
    <row r="22" spans="2:35" ht="13.5" thickBot="1">
      <c r="B22" s="1157"/>
      <c r="C22" s="1143"/>
      <c r="D22" s="1143"/>
      <c r="E22" s="1143"/>
      <c r="F22" s="1143"/>
      <c r="G22" s="253"/>
      <c r="H22" s="253"/>
      <c r="I22" s="1153"/>
      <c r="J22" s="1153"/>
      <c r="K22" s="1153"/>
      <c r="L22" s="1153"/>
      <c r="M22" s="1153"/>
      <c r="N22" s="253"/>
      <c r="O22" s="253"/>
      <c r="P22" s="1143"/>
      <c r="Q22" s="1143"/>
      <c r="R22" s="1143"/>
      <c r="S22" s="1143"/>
      <c r="T22" s="1143"/>
      <c r="U22" s="253"/>
      <c r="V22" s="253"/>
      <c r="W22" s="1143"/>
      <c r="X22" s="1143"/>
      <c r="Y22" s="1143"/>
      <c r="Z22" s="1143"/>
      <c r="AA22" s="1143"/>
      <c r="AB22" s="253"/>
      <c r="AC22" s="253"/>
      <c r="AD22" s="1143"/>
      <c r="AE22" s="1143"/>
      <c r="AF22" s="1143"/>
      <c r="AG22" s="1143"/>
      <c r="AH22" s="1143"/>
      <c r="AI22" s="253"/>
    </row>
    <row r="23" spans="2:35" ht="16.5" thickBot="1">
      <c r="B23" s="1089" t="s">
        <v>103</v>
      </c>
      <c r="C23" s="1090"/>
      <c r="D23" s="1090"/>
      <c r="E23" s="1090"/>
      <c r="F23" s="1090"/>
      <c r="G23" s="256"/>
      <c r="H23" s="253"/>
      <c r="I23" s="1090" t="s">
        <v>103</v>
      </c>
      <c r="J23" s="1090"/>
      <c r="K23" s="1090"/>
      <c r="L23" s="1090"/>
      <c r="M23" s="1090"/>
      <c r="N23" s="256"/>
      <c r="O23" s="253"/>
      <c r="P23" s="1090" t="s">
        <v>103</v>
      </c>
      <c r="Q23" s="1090"/>
      <c r="R23" s="1090"/>
      <c r="S23" s="1090"/>
      <c r="T23" s="1090"/>
      <c r="U23" s="256"/>
      <c r="V23" s="253"/>
      <c r="W23" s="1090" t="s">
        <v>103</v>
      </c>
      <c r="X23" s="1090"/>
      <c r="Y23" s="1090"/>
      <c r="Z23" s="1090"/>
      <c r="AA23" s="1090"/>
      <c r="AB23" s="256"/>
      <c r="AC23" s="253"/>
      <c r="AD23" s="1090" t="s">
        <v>103</v>
      </c>
      <c r="AE23" s="1090"/>
      <c r="AF23" s="1090"/>
      <c r="AG23" s="1090"/>
      <c r="AH23" s="1090"/>
      <c r="AI23" s="256"/>
    </row>
    <row r="24" spans="2:35" ht="16.5" thickBot="1">
      <c r="B24" s="176"/>
      <c r="C24" s="177"/>
      <c r="D24" s="177"/>
      <c r="E24" s="175"/>
      <c r="F24" s="175"/>
      <c r="G24" s="256"/>
      <c r="H24" s="253"/>
      <c r="I24" s="175"/>
      <c r="J24" s="177"/>
      <c r="K24" s="177"/>
      <c r="L24" s="175"/>
      <c r="M24" s="175"/>
      <c r="N24" s="256"/>
      <c r="O24" s="253"/>
      <c r="P24" s="175"/>
      <c r="Q24" s="177"/>
      <c r="R24" s="177"/>
      <c r="S24" s="175"/>
      <c r="T24" s="175"/>
      <c r="U24" s="256"/>
      <c r="V24" s="253"/>
      <c r="W24" s="175"/>
      <c r="X24" s="177"/>
      <c r="Y24" s="177"/>
      <c r="Z24" s="175"/>
      <c r="AA24" s="175"/>
      <c r="AB24" s="256"/>
      <c r="AC24" s="253"/>
      <c r="AD24" s="175"/>
      <c r="AE24" s="177"/>
      <c r="AF24" s="177"/>
      <c r="AG24" s="175"/>
      <c r="AH24" s="175"/>
      <c r="AI24" s="256"/>
    </row>
    <row r="25" spans="2:35" ht="45.75" thickBot="1">
      <c r="B25" s="579" t="s">
        <v>104</v>
      </c>
      <c r="C25" s="583" t="s">
        <v>105</v>
      </c>
      <c r="D25" s="584" t="s">
        <v>106</v>
      </c>
      <c r="E25" s="579" t="s">
        <v>107</v>
      </c>
      <c r="F25" s="108"/>
      <c r="G25" s="257"/>
      <c r="H25" s="253"/>
      <c r="I25" s="585" t="s">
        <v>104</v>
      </c>
      <c r="J25" s="583" t="s">
        <v>105</v>
      </c>
      <c r="K25" s="584" t="s">
        <v>106</v>
      </c>
      <c r="L25" s="579" t="s">
        <v>107</v>
      </c>
      <c r="M25" s="108"/>
      <c r="N25" s="257"/>
      <c r="O25" s="253"/>
      <c r="P25" s="585" t="s">
        <v>104</v>
      </c>
      <c r="Q25" s="583" t="s">
        <v>105</v>
      </c>
      <c r="R25" s="584" t="s">
        <v>106</v>
      </c>
      <c r="S25" s="579" t="s">
        <v>107</v>
      </c>
      <c r="T25" s="108"/>
      <c r="U25" s="257"/>
      <c r="V25" s="253"/>
      <c r="W25" s="585" t="s">
        <v>104</v>
      </c>
      <c r="X25" s="583" t="s">
        <v>105</v>
      </c>
      <c r="Y25" s="584" t="s">
        <v>106</v>
      </c>
      <c r="Z25" s="579" t="s">
        <v>107</v>
      </c>
      <c r="AA25" s="108"/>
      <c r="AB25" s="257"/>
      <c r="AC25" s="253"/>
      <c r="AD25" s="585" t="s">
        <v>104</v>
      </c>
      <c r="AE25" s="583" t="s">
        <v>105</v>
      </c>
      <c r="AF25" s="584" t="s">
        <v>106</v>
      </c>
      <c r="AG25" s="579" t="s">
        <v>107</v>
      </c>
      <c r="AH25" s="108"/>
      <c r="AI25" s="257"/>
    </row>
    <row r="26" spans="2:35" ht="12.75">
      <c r="B26" s="580" t="s">
        <v>108</v>
      </c>
      <c r="C26" s="179"/>
      <c r="D26" s="179"/>
      <c r="E26" s="557">
        <f>C26+D26</f>
        <v>0</v>
      </c>
      <c r="F26" s="108"/>
      <c r="G26" s="258"/>
      <c r="H26" s="253"/>
      <c r="I26" s="586" t="s">
        <v>108</v>
      </c>
      <c r="J26" s="179"/>
      <c r="K26" s="179"/>
      <c r="L26" s="557">
        <f>J26+K26</f>
        <v>0</v>
      </c>
      <c r="M26" s="108"/>
      <c r="N26" s="258"/>
      <c r="O26" s="253"/>
      <c r="P26" s="586" t="s">
        <v>108</v>
      </c>
      <c r="Q26" s="179"/>
      <c r="R26" s="179"/>
      <c r="S26" s="557">
        <f>Q26+R26</f>
        <v>0</v>
      </c>
      <c r="T26" s="108"/>
      <c r="U26" s="258"/>
      <c r="V26" s="253"/>
      <c r="W26" s="586" t="s">
        <v>108</v>
      </c>
      <c r="X26" s="179"/>
      <c r="Y26" s="179"/>
      <c r="Z26" s="557">
        <f>X26+Y26</f>
        <v>0</v>
      </c>
      <c r="AA26" s="108"/>
      <c r="AB26" s="258"/>
      <c r="AC26" s="253"/>
      <c r="AD26" s="586" t="s">
        <v>108</v>
      </c>
      <c r="AE26" s="179"/>
      <c r="AF26" s="179"/>
      <c r="AG26" s="557">
        <f>AE26+AF26</f>
        <v>0</v>
      </c>
      <c r="AH26" s="108"/>
      <c r="AI26" s="258"/>
    </row>
    <row r="27" spans="2:35" ht="12.75">
      <c r="B27" s="556">
        <v>1</v>
      </c>
      <c r="C27" s="181"/>
      <c r="D27" s="181"/>
      <c r="E27" s="558">
        <f>C27+D27</f>
        <v>0</v>
      </c>
      <c r="F27" s="108"/>
      <c r="G27" s="259"/>
      <c r="H27" s="253"/>
      <c r="I27" s="587">
        <v>1</v>
      </c>
      <c r="J27" s="179"/>
      <c r="K27" s="181"/>
      <c r="L27" s="558">
        <f>J27+K27</f>
        <v>0</v>
      </c>
      <c r="M27" s="108"/>
      <c r="N27" s="259"/>
      <c r="O27" s="253"/>
      <c r="P27" s="587">
        <v>1</v>
      </c>
      <c r="Q27" s="179"/>
      <c r="R27" s="181"/>
      <c r="S27" s="558">
        <f>Q27+R27</f>
        <v>0</v>
      </c>
      <c r="T27" s="108"/>
      <c r="U27" s="259"/>
      <c r="V27" s="253"/>
      <c r="W27" s="587">
        <v>1</v>
      </c>
      <c r="X27" s="179"/>
      <c r="Y27" s="181"/>
      <c r="Z27" s="558">
        <f>X27+Y27</f>
        <v>0</v>
      </c>
      <c r="AA27" s="108"/>
      <c r="AB27" s="259"/>
      <c r="AC27" s="253"/>
      <c r="AD27" s="587">
        <v>1</v>
      </c>
      <c r="AE27" s="179"/>
      <c r="AF27" s="181"/>
      <c r="AG27" s="558">
        <f>AE27+AF27</f>
        <v>0</v>
      </c>
      <c r="AH27" s="108"/>
      <c r="AI27" s="259"/>
    </row>
    <row r="28" spans="2:35" ht="12.75">
      <c r="B28" s="556">
        <v>2</v>
      </c>
      <c r="C28" s="181"/>
      <c r="D28" s="181"/>
      <c r="E28" s="558">
        <f>C28+D28</f>
        <v>0</v>
      </c>
      <c r="F28" s="108"/>
      <c r="G28" s="259"/>
      <c r="H28" s="253"/>
      <c r="I28" s="587">
        <v>2</v>
      </c>
      <c r="J28" s="179"/>
      <c r="K28" s="181"/>
      <c r="L28" s="558">
        <f>J28+K28</f>
        <v>0</v>
      </c>
      <c r="M28" s="108"/>
      <c r="N28" s="259"/>
      <c r="O28" s="253"/>
      <c r="P28" s="587">
        <v>2</v>
      </c>
      <c r="Q28" s="179"/>
      <c r="R28" s="181"/>
      <c r="S28" s="558">
        <f>Q28+R28</f>
        <v>0</v>
      </c>
      <c r="T28" s="108"/>
      <c r="U28" s="259"/>
      <c r="V28" s="253"/>
      <c r="W28" s="587">
        <v>2</v>
      </c>
      <c r="X28" s="179"/>
      <c r="Y28" s="181"/>
      <c r="Z28" s="558">
        <f>X28+Y28</f>
        <v>0</v>
      </c>
      <c r="AA28" s="108"/>
      <c r="AB28" s="259"/>
      <c r="AC28" s="253"/>
      <c r="AD28" s="587">
        <v>2</v>
      </c>
      <c r="AE28" s="179"/>
      <c r="AF28" s="181"/>
      <c r="AG28" s="558">
        <f>AE28+AF28</f>
        <v>0</v>
      </c>
      <c r="AH28" s="108"/>
      <c r="AI28" s="259"/>
    </row>
    <row r="29" spans="2:35" ht="13.5" thickBot="1">
      <c r="B29" s="556">
        <v>3</v>
      </c>
      <c r="C29" s="181"/>
      <c r="D29" s="181"/>
      <c r="E29" s="559">
        <f>C29+D29</f>
        <v>0</v>
      </c>
      <c r="F29" s="108"/>
      <c r="G29" s="259"/>
      <c r="H29" s="253"/>
      <c r="I29" s="587">
        <v>3</v>
      </c>
      <c r="J29" s="179"/>
      <c r="K29" s="181"/>
      <c r="L29" s="559">
        <f>J29+K29</f>
        <v>0</v>
      </c>
      <c r="M29" s="108"/>
      <c r="N29" s="259"/>
      <c r="O29" s="253"/>
      <c r="P29" s="587">
        <v>3</v>
      </c>
      <c r="Q29" s="179"/>
      <c r="R29" s="181"/>
      <c r="S29" s="559">
        <f>Q29+R29</f>
        <v>0</v>
      </c>
      <c r="T29" s="108"/>
      <c r="U29" s="259"/>
      <c r="V29" s="253"/>
      <c r="W29" s="587">
        <v>3</v>
      </c>
      <c r="X29" s="179"/>
      <c r="Y29" s="181"/>
      <c r="Z29" s="559">
        <f>X29+Y29</f>
        <v>0</v>
      </c>
      <c r="AA29" s="108"/>
      <c r="AB29" s="259"/>
      <c r="AC29" s="253"/>
      <c r="AD29" s="587">
        <v>3</v>
      </c>
      <c r="AE29" s="179"/>
      <c r="AF29" s="181"/>
      <c r="AG29" s="559">
        <f>AE29+AF29</f>
        <v>0</v>
      </c>
      <c r="AH29" s="108"/>
      <c r="AI29" s="259"/>
    </row>
    <row r="30" spans="2:35" ht="13.5" thickBot="1">
      <c r="B30" s="581" t="s">
        <v>109</v>
      </c>
      <c r="C30" s="561">
        <f>SUM(C26:C29)</f>
        <v>0</v>
      </c>
      <c r="D30" s="562">
        <f>SUM(D26:D29)</f>
        <v>0</v>
      </c>
      <c r="E30" s="560">
        <f>C30+D30</f>
        <v>0</v>
      </c>
      <c r="F30" s="108"/>
      <c r="G30" s="259"/>
      <c r="H30" s="253"/>
      <c r="I30" s="588" t="s">
        <v>109</v>
      </c>
      <c r="J30" s="561">
        <f>SUM(J26:J29)</f>
        <v>0</v>
      </c>
      <c r="K30" s="562">
        <f>SUM(K26:K29)</f>
        <v>0</v>
      </c>
      <c r="L30" s="560">
        <f>J30+K30</f>
        <v>0</v>
      </c>
      <c r="M30" s="108"/>
      <c r="N30" s="259"/>
      <c r="O30" s="253"/>
      <c r="P30" s="588" t="s">
        <v>109</v>
      </c>
      <c r="Q30" s="561">
        <f>SUM(Q26:Q29)</f>
        <v>0</v>
      </c>
      <c r="R30" s="562">
        <f>SUM(R26:R29)</f>
        <v>0</v>
      </c>
      <c r="S30" s="560">
        <f>Q30+R30</f>
        <v>0</v>
      </c>
      <c r="T30" s="108"/>
      <c r="U30" s="259"/>
      <c r="V30" s="253"/>
      <c r="W30" s="588" t="s">
        <v>109</v>
      </c>
      <c r="X30" s="561">
        <f>SUM(X26:X29)</f>
        <v>0</v>
      </c>
      <c r="Y30" s="562">
        <f>SUM(Y26:Y29)</f>
        <v>0</v>
      </c>
      <c r="Z30" s="560">
        <f>X30+Y30</f>
        <v>0</v>
      </c>
      <c r="AA30" s="108"/>
      <c r="AB30" s="259"/>
      <c r="AC30" s="253"/>
      <c r="AD30" s="588" t="s">
        <v>109</v>
      </c>
      <c r="AE30" s="561">
        <f>SUM(AE26:AE29)</f>
        <v>0</v>
      </c>
      <c r="AF30" s="562">
        <f>SUM(AF26:AF29)</f>
        <v>0</v>
      </c>
      <c r="AG30" s="560">
        <f>AE30+AF30</f>
        <v>0</v>
      </c>
      <c r="AH30" s="108"/>
      <c r="AI30" s="259"/>
    </row>
    <row r="31" spans="2:35" ht="13.5" thickBot="1">
      <c r="B31" s="582" t="s">
        <v>110</v>
      </c>
      <c r="C31" s="563">
        <v>1</v>
      </c>
      <c r="D31" s="563">
        <v>0.4</v>
      </c>
      <c r="E31" s="97"/>
      <c r="F31" s="108"/>
      <c r="G31" s="259"/>
      <c r="H31" s="253"/>
      <c r="I31" s="589" t="s">
        <v>110</v>
      </c>
      <c r="J31" s="563">
        <v>1</v>
      </c>
      <c r="K31" s="563">
        <v>0.4</v>
      </c>
      <c r="L31" s="97"/>
      <c r="M31" s="108"/>
      <c r="N31" s="259"/>
      <c r="O31" s="253"/>
      <c r="P31" s="589" t="s">
        <v>110</v>
      </c>
      <c r="Q31" s="563">
        <v>1</v>
      </c>
      <c r="R31" s="563">
        <v>0.4</v>
      </c>
      <c r="S31" s="97"/>
      <c r="T31" s="108"/>
      <c r="U31" s="259"/>
      <c r="V31" s="253"/>
      <c r="W31" s="589" t="s">
        <v>110</v>
      </c>
      <c r="X31" s="563">
        <v>1</v>
      </c>
      <c r="Y31" s="563">
        <v>0.4</v>
      </c>
      <c r="Z31" s="97"/>
      <c r="AA31" s="108"/>
      <c r="AB31" s="259"/>
      <c r="AC31" s="253"/>
      <c r="AD31" s="589" t="s">
        <v>110</v>
      </c>
      <c r="AE31" s="563">
        <v>1</v>
      </c>
      <c r="AF31" s="563">
        <v>0.4</v>
      </c>
      <c r="AG31" s="97"/>
      <c r="AH31" s="108"/>
      <c r="AI31" s="259"/>
    </row>
    <row r="32" spans="2:35" ht="13.5" thickBot="1">
      <c r="B32" s="511" t="s">
        <v>111</v>
      </c>
      <c r="C32" s="564">
        <f>C30*C31</f>
        <v>0</v>
      </c>
      <c r="D32" s="564">
        <f>D30*D31</f>
        <v>0</v>
      </c>
      <c r="E32" s="560">
        <f>C32+D32</f>
        <v>0</v>
      </c>
      <c r="F32" s="108"/>
      <c r="G32" s="259"/>
      <c r="H32" s="253"/>
      <c r="I32" s="590" t="s">
        <v>111</v>
      </c>
      <c r="J32" s="564">
        <f>J30*J31</f>
        <v>0</v>
      </c>
      <c r="K32" s="564">
        <f>K30*K31</f>
        <v>0</v>
      </c>
      <c r="L32" s="560">
        <f>J32+K32</f>
        <v>0</v>
      </c>
      <c r="M32" s="108"/>
      <c r="N32" s="259"/>
      <c r="O32" s="253"/>
      <c r="P32" s="590" t="s">
        <v>111</v>
      </c>
      <c r="Q32" s="564">
        <f>Q30*Q31</f>
        <v>0</v>
      </c>
      <c r="R32" s="564">
        <f>R30*R31</f>
        <v>0</v>
      </c>
      <c r="S32" s="560">
        <f>Q32+R32</f>
        <v>0</v>
      </c>
      <c r="T32" s="108"/>
      <c r="U32" s="259"/>
      <c r="V32" s="253"/>
      <c r="W32" s="590" t="s">
        <v>111</v>
      </c>
      <c r="X32" s="564">
        <f>X30*X31</f>
        <v>0</v>
      </c>
      <c r="Y32" s="564">
        <f>Y30*Y31</f>
        <v>0</v>
      </c>
      <c r="Z32" s="560">
        <f>X32+Y32</f>
        <v>0</v>
      </c>
      <c r="AA32" s="108"/>
      <c r="AB32" s="259"/>
      <c r="AC32" s="253"/>
      <c r="AD32" s="590" t="s">
        <v>111</v>
      </c>
      <c r="AE32" s="564">
        <f>AE30*AE31</f>
        <v>0</v>
      </c>
      <c r="AF32" s="564">
        <f>AF30*AF31</f>
        <v>0</v>
      </c>
      <c r="AG32" s="560">
        <f>AE32+AF32</f>
        <v>0</v>
      </c>
      <c r="AH32" s="108"/>
      <c r="AI32" s="259"/>
    </row>
    <row r="33" spans="2:35" ht="12.75">
      <c r="B33" s="182"/>
      <c r="C33" s="183"/>
      <c r="D33" s="108"/>
      <c r="E33" s="183"/>
      <c r="F33" s="108"/>
      <c r="G33" s="259"/>
      <c r="H33" s="253"/>
      <c r="I33" s="183"/>
      <c r="J33" s="183"/>
      <c r="K33" s="108"/>
      <c r="L33" s="183"/>
      <c r="M33" s="108"/>
      <c r="N33" s="259"/>
      <c r="O33" s="253"/>
      <c r="P33" s="183"/>
      <c r="Q33" s="183"/>
      <c r="R33" s="108"/>
      <c r="S33" s="183"/>
      <c r="T33" s="108"/>
      <c r="U33" s="259"/>
      <c r="V33" s="253"/>
      <c r="W33" s="183"/>
      <c r="X33" s="183"/>
      <c r="Y33" s="108"/>
      <c r="Z33" s="183"/>
      <c r="AA33" s="108"/>
      <c r="AB33" s="259"/>
      <c r="AC33" s="253"/>
      <c r="AD33" s="183"/>
      <c r="AE33" s="183"/>
      <c r="AF33" s="108"/>
      <c r="AG33" s="183"/>
      <c r="AH33" s="108"/>
      <c r="AI33" s="259"/>
    </row>
    <row r="34" spans="2:35" ht="13.5" thickBot="1">
      <c r="B34" s="182"/>
      <c r="C34" s="183"/>
      <c r="D34" s="108"/>
      <c r="E34" s="183"/>
      <c r="F34" s="108"/>
      <c r="G34" s="259"/>
      <c r="H34" s="253"/>
      <c r="I34" s="183"/>
      <c r="J34" s="183"/>
      <c r="K34" s="108"/>
      <c r="L34" s="183"/>
      <c r="M34" s="108"/>
      <c r="N34" s="259"/>
      <c r="O34" s="253"/>
      <c r="P34" s="183" t="s">
        <v>406</v>
      </c>
      <c r="Q34" s="183"/>
      <c r="R34" s="108"/>
      <c r="S34" s="183"/>
      <c r="T34" s="108"/>
      <c r="U34" s="259"/>
      <c r="V34" s="253"/>
      <c r="W34" s="183"/>
      <c r="X34" s="183"/>
      <c r="Y34" s="108"/>
      <c r="Z34" s="183"/>
      <c r="AA34" s="108"/>
      <c r="AB34" s="259"/>
      <c r="AC34" s="253"/>
      <c r="AD34" s="183"/>
      <c r="AE34" s="183"/>
      <c r="AF34" s="108"/>
      <c r="AG34" s="183"/>
      <c r="AH34" s="108"/>
      <c r="AI34" s="259"/>
    </row>
    <row r="35" spans="2:35" ht="13.5" thickBot="1">
      <c r="B35" s="1087" t="s">
        <v>112</v>
      </c>
      <c r="C35" s="1088"/>
      <c r="D35" s="108"/>
      <c r="E35" s="183"/>
      <c r="F35" s="108"/>
      <c r="G35" s="259"/>
      <c r="H35" s="253"/>
      <c r="I35" s="1101" t="s">
        <v>112</v>
      </c>
      <c r="J35" s="1088"/>
      <c r="K35" s="108"/>
      <c r="L35" s="183"/>
      <c r="M35" s="108"/>
      <c r="N35" s="259"/>
      <c r="O35" s="253"/>
      <c r="P35" s="1101" t="s">
        <v>112</v>
      </c>
      <c r="Q35" s="1088"/>
      <c r="R35" s="108"/>
      <c r="S35" s="183"/>
      <c r="T35" s="108"/>
      <c r="U35" s="259"/>
      <c r="V35" s="253"/>
      <c r="W35" s="1101" t="s">
        <v>112</v>
      </c>
      <c r="X35" s="1088"/>
      <c r="Y35" s="108"/>
      <c r="Z35" s="183"/>
      <c r="AA35" s="108"/>
      <c r="AB35" s="259"/>
      <c r="AC35" s="253"/>
      <c r="AD35" s="1101" t="s">
        <v>112</v>
      </c>
      <c r="AE35" s="1088"/>
      <c r="AF35" s="108"/>
      <c r="AG35" s="183"/>
      <c r="AH35" s="108"/>
      <c r="AI35" s="259"/>
    </row>
    <row r="36" spans="2:35" ht="12.75">
      <c r="B36" s="591" t="s">
        <v>319</v>
      </c>
      <c r="C36" s="565">
        <f>E32</f>
        <v>0</v>
      </c>
      <c r="D36" s="108"/>
      <c r="E36" s="183"/>
      <c r="F36" s="108"/>
      <c r="G36" s="259"/>
      <c r="H36" s="253"/>
      <c r="I36" s="595" t="s">
        <v>319</v>
      </c>
      <c r="J36" s="565">
        <f>L32</f>
        <v>0</v>
      </c>
      <c r="K36" s="108"/>
      <c r="L36" s="183"/>
      <c r="M36" s="108"/>
      <c r="N36" s="259"/>
      <c r="O36" s="253"/>
      <c r="P36" s="595" t="s">
        <v>319</v>
      </c>
      <c r="Q36" s="565">
        <f>S32</f>
        <v>0</v>
      </c>
      <c r="R36" s="108"/>
      <c r="S36" s="183"/>
      <c r="T36" s="108"/>
      <c r="U36" s="259"/>
      <c r="V36" s="253"/>
      <c r="W36" s="595" t="s">
        <v>319</v>
      </c>
      <c r="X36" s="565">
        <f>Z32</f>
        <v>0</v>
      </c>
      <c r="Y36" s="108"/>
      <c r="Z36" s="183"/>
      <c r="AA36" s="108"/>
      <c r="AB36" s="259"/>
      <c r="AC36" s="253"/>
      <c r="AD36" s="595" t="s">
        <v>319</v>
      </c>
      <c r="AE36" s="565">
        <f>AG32</f>
        <v>0</v>
      </c>
      <c r="AF36" s="108"/>
      <c r="AG36" s="183"/>
      <c r="AH36" s="108"/>
      <c r="AI36" s="259"/>
    </row>
    <row r="37" spans="2:35" ht="13.5" thickBot="1">
      <c r="B37" s="592" t="s">
        <v>113</v>
      </c>
      <c r="C37" s="566">
        <f>C11</f>
        <v>5070.65</v>
      </c>
      <c r="D37" s="108"/>
      <c r="E37" s="183"/>
      <c r="F37" s="108"/>
      <c r="G37" s="259"/>
      <c r="H37" s="253"/>
      <c r="I37" s="596" t="s">
        <v>113</v>
      </c>
      <c r="J37" s="566">
        <f>J11</f>
        <v>5070.65</v>
      </c>
      <c r="K37" s="108"/>
      <c r="L37" s="183"/>
      <c r="M37" s="108"/>
      <c r="N37" s="259"/>
      <c r="O37" s="253"/>
      <c r="P37" s="596" t="s">
        <v>113</v>
      </c>
      <c r="Q37" s="566">
        <f>Q11</f>
        <v>5070.65</v>
      </c>
      <c r="R37" s="108"/>
      <c r="S37" s="183"/>
      <c r="T37" s="108"/>
      <c r="U37" s="259"/>
      <c r="V37" s="253"/>
      <c r="W37" s="596" t="s">
        <v>113</v>
      </c>
      <c r="X37" s="566">
        <f>X11</f>
        <v>5070.65</v>
      </c>
      <c r="Y37" s="108"/>
      <c r="Z37" s="183"/>
      <c r="AA37" s="108"/>
      <c r="AB37" s="259"/>
      <c r="AC37" s="253"/>
      <c r="AD37" s="596" t="s">
        <v>113</v>
      </c>
      <c r="AE37" s="566">
        <f>AE11</f>
        <v>5070.65</v>
      </c>
      <c r="AF37" s="108"/>
      <c r="AG37" s="183"/>
      <c r="AH37" s="108"/>
      <c r="AI37" s="259"/>
    </row>
    <row r="38" spans="2:35" ht="15.75" thickBot="1">
      <c r="B38" s="560" t="s">
        <v>114</v>
      </c>
      <c r="C38" s="567">
        <f>C36*C37</f>
        <v>0</v>
      </c>
      <c r="D38" s="108"/>
      <c r="E38" s="183"/>
      <c r="F38" s="108"/>
      <c r="G38" s="259"/>
      <c r="H38" s="253"/>
      <c r="I38" s="597" t="s">
        <v>114</v>
      </c>
      <c r="J38" s="567">
        <f>J36*J37</f>
        <v>0</v>
      </c>
      <c r="K38" s="108"/>
      <c r="L38" s="183"/>
      <c r="M38" s="108"/>
      <c r="N38" s="259"/>
      <c r="O38" s="253"/>
      <c r="P38" s="597" t="s">
        <v>114</v>
      </c>
      <c r="Q38" s="567">
        <f>Q36*Q37</f>
        <v>0</v>
      </c>
      <c r="R38" s="108"/>
      <c r="S38" s="183"/>
      <c r="T38" s="108"/>
      <c r="U38" s="259"/>
      <c r="V38" s="253"/>
      <c r="W38" s="597" t="s">
        <v>114</v>
      </c>
      <c r="X38" s="567">
        <f>X36*X37</f>
        <v>0</v>
      </c>
      <c r="Y38" s="108"/>
      <c r="Z38" s="183"/>
      <c r="AA38" s="108"/>
      <c r="AB38" s="259"/>
      <c r="AC38" s="253"/>
      <c r="AD38" s="597" t="s">
        <v>114</v>
      </c>
      <c r="AE38" s="567">
        <f>AE36*AE37</f>
        <v>0</v>
      </c>
      <c r="AF38" s="108"/>
      <c r="AG38" s="183"/>
      <c r="AH38" s="108"/>
      <c r="AI38" s="259"/>
    </row>
    <row r="39" spans="2:35" ht="15">
      <c r="B39" s="184"/>
      <c r="C39" s="185"/>
      <c r="D39" s="108"/>
      <c r="E39" s="108"/>
      <c r="F39" s="183"/>
      <c r="G39" s="259"/>
      <c r="H39" s="253"/>
      <c r="I39" s="7"/>
      <c r="J39" s="185"/>
      <c r="K39" s="108"/>
      <c r="L39" s="108"/>
      <c r="M39" s="183"/>
      <c r="N39" s="259"/>
      <c r="O39" s="253"/>
      <c r="P39" s="7"/>
      <c r="Q39" s="185"/>
      <c r="R39" s="108"/>
      <c r="S39" s="108"/>
      <c r="T39" s="183"/>
      <c r="U39" s="259"/>
      <c r="V39" s="253"/>
      <c r="W39" s="7"/>
      <c r="X39" s="185"/>
      <c r="Y39" s="108"/>
      <c r="Z39" s="108"/>
      <c r="AA39" s="183"/>
      <c r="AB39" s="259"/>
      <c r="AC39" s="253"/>
      <c r="AD39" s="7"/>
      <c r="AE39" s="185"/>
      <c r="AF39" s="108"/>
      <c r="AG39" s="108"/>
      <c r="AH39" s="183"/>
      <c r="AI39" s="259"/>
    </row>
    <row r="40" spans="2:35" ht="15.75" thickBot="1">
      <c r="B40" s="184"/>
      <c r="C40" s="185"/>
      <c r="D40" s="108"/>
      <c r="E40" s="108"/>
      <c r="F40" s="183"/>
      <c r="G40" s="259"/>
      <c r="H40" s="253"/>
      <c r="I40" s="7"/>
      <c r="J40" s="185"/>
      <c r="K40" s="108"/>
      <c r="L40" s="108"/>
      <c r="M40" s="183"/>
      <c r="N40" s="259"/>
      <c r="O40" s="253"/>
      <c r="P40" s="7"/>
      <c r="Q40" s="185"/>
      <c r="R40" s="108"/>
      <c r="S40" s="108"/>
      <c r="T40" s="183"/>
      <c r="U40" s="259"/>
      <c r="V40" s="253"/>
      <c r="W40" s="7"/>
      <c r="X40" s="185"/>
      <c r="Y40" s="108"/>
      <c r="Z40" s="108"/>
      <c r="AA40" s="183"/>
      <c r="AB40" s="259"/>
      <c r="AC40" s="253"/>
      <c r="AD40" s="7"/>
      <c r="AE40" s="185"/>
      <c r="AF40" s="108"/>
      <c r="AG40" s="108"/>
      <c r="AH40" s="183"/>
      <c r="AI40" s="259"/>
    </row>
    <row r="41" spans="2:35" ht="13.5" thickBot="1">
      <c r="B41" s="1087" t="s">
        <v>115</v>
      </c>
      <c r="C41" s="1088"/>
      <c r="D41" s="108"/>
      <c r="E41" s="108"/>
      <c r="F41" s="183"/>
      <c r="G41" s="259"/>
      <c r="H41" s="253"/>
      <c r="I41" s="1101" t="s">
        <v>115</v>
      </c>
      <c r="J41" s="1088"/>
      <c r="K41" s="108"/>
      <c r="L41" s="108"/>
      <c r="M41" s="183"/>
      <c r="N41" s="259"/>
      <c r="O41" s="253"/>
      <c r="P41" s="1101" t="s">
        <v>115</v>
      </c>
      <c r="Q41" s="1088"/>
      <c r="R41" s="108"/>
      <c r="S41" s="108"/>
      <c r="T41" s="183"/>
      <c r="U41" s="259"/>
      <c r="V41" s="253"/>
      <c r="W41" s="1101" t="s">
        <v>115</v>
      </c>
      <c r="X41" s="1088"/>
      <c r="Y41" s="108"/>
      <c r="Z41" s="108"/>
      <c r="AA41" s="183"/>
      <c r="AB41" s="259"/>
      <c r="AC41" s="253"/>
      <c r="AD41" s="1101" t="s">
        <v>115</v>
      </c>
      <c r="AE41" s="1088"/>
      <c r="AF41" s="108"/>
      <c r="AG41" s="108"/>
      <c r="AH41" s="183"/>
      <c r="AI41" s="259"/>
    </row>
    <row r="42" spans="2:35" ht="12.75">
      <c r="B42" s="591" t="s">
        <v>116</v>
      </c>
      <c r="C42" s="565">
        <f>E30</f>
        <v>0</v>
      </c>
      <c r="D42" s="108"/>
      <c r="E42" s="108"/>
      <c r="F42" s="183"/>
      <c r="G42" s="259"/>
      <c r="H42" s="253"/>
      <c r="I42" s="595" t="s">
        <v>116</v>
      </c>
      <c r="J42" s="565">
        <f>L30</f>
        <v>0</v>
      </c>
      <c r="K42" s="108"/>
      <c r="L42" s="108"/>
      <c r="M42" s="183"/>
      <c r="N42" s="259"/>
      <c r="O42" s="253"/>
      <c r="P42" s="595" t="s">
        <v>116</v>
      </c>
      <c r="Q42" s="565">
        <f>S30</f>
        <v>0</v>
      </c>
      <c r="R42" s="108"/>
      <c r="S42" s="108"/>
      <c r="T42" s="183"/>
      <c r="U42" s="259"/>
      <c r="V42" s="253"/>
      <c r="W42" s="595" t="s">
        <v>116</v>
      </c>
      <c r="X42" s="565">
        <f>Z30</f>
        <v>0</v>
      </c>
      <c r="Y42" s="108"/>
      <c r="Z42" s="108"/>
      <c r="AA42" s="183"/>
      <c r="AB42" s="259"/>
      <c r="AC42" s="253"/>
      <c r="AD42" s="595" t="s">
        <v>116</v>
      </c>
      <c r="AE42" s="565">
        <f>AG30</f>
        <v>0</v>
      </c>
      <c r="AF42" s="108"/>
      <c r="AG42" s="108"/>
      <c r="AH42" s="183"/>
      <c r="AI42" s="259"/>
    </row>
    <row r="43" spans="2:35" ht="13.5" thickBot="1">
      <c r="B43" s="592" t="s">
        <v>117</v>
      </c>
      <c r="C43" s="566">
        <f>C12</f>
        <v>1758.02</v>
      </c>
      <c r="D43" s="108"/>
      <c r="E43" s="108"/>
      <c r="F43" s="108"/>
      <c r="G43" s="259"/>
      <c r="H43" s="253"/>
      <c r="I43" s="596" t="s">
        <v>117</v>
      </c>
      <c r="J43" s="566">
        <f>J12</f>
        <v>1758.02</v>
      </c>
      <c r="K43" s="108"/>
      <c r="L43" s="108"/>
      <c r="M43" s="108"/>
      <c r="N43" s="259"/>
      <c r="O43" s="253"/>
      <c r="P43" s="596" t="s">
        <v>117</v>
      </c>
      <c r="Q43" s="566">
        <f>Q12</f>
        <v>1758.02</v>
      </c>
      <c r="R43" s="108"/>
      <c r="S43" s="108"/>
      <c r="T43" s="108"/>
      <c r="U43" s="259"/>
      <c r="V43" s="253"/>
      <c r="W43" s="596" t="s">
        <v>117</v>
      </c>
      <c r="X43" s="566">
        <f>X12</f>
        <v>1758.02</v>
      </c>
      <c r="Y43" s="108"/>
      <c r="Z43" s="108"/>
      <c r="AA43" s="108"/>
      <c r="AB43" s="259"/>
      <c r="AC43" s="253"/>
      <c r="AD43" s="596" t="s">
        <v>117</v>
      </c>
      <c r="AE43" s="566">
        <f>AE12</f>
        <v>1758.02</v>
      </c>
      <c r="AF43" s="108"/>
      <c r="AG43" s="108"/>
      <c r="AH43" s="108"/>
      <c r="AI43" s="259"/>
    </row>
    <row r="44" spans="2:35" ht="15.75" thickBot="1">
      <c r="B44" s="560" t="s">
        <v>118</v>
      </c>
      <c r="C44" s="567">
        <f>C42*C43</f>
        <v>0</v>
      </c>
      <c r="D44" s="108"/>
      <c r="E44" s="108"/>
      <c r="F44" s="108"/>
      <c r="G44" s="259"/>
      <c r="H44" s="253"/>
      <c r="I44" s="597" t="s">
        <v>118</v>
      </c>
      <c r="J44" s="567">
        <f>J42*J43</f>
        <v>0</v>
      </c>
      <c r="K44" s="108"/>
      <c r="L44" s="108"/>
      <c r="M44" s="108"/>
      <c r="N44" s="259"/>
      <c r="O44" s="253"/>
      <c r="P44" s="597" t="s">
        <v>118</v>
      </c>
      <c r="Q44" s="567">
        <f>Q42*Q43</f>
        <v>0</v>
      </c>
      <c r="R44" s="108"/>
      <c r="S44" s="108"/>
      <c r="T44" s="108"/>
      <c r="U44" s="259"/>
      <c r="V44" s="253"/>
      <c r="W44" s="597" t="s">
        <v>118</v>
      </c>
      <c r="X44" s="567">
        <f>X42*X43</f>
        <v>0</v>
      </c>
      <c r="Y44" s="108"/>
      <c r="Z44" s="108"/>
      <c r="AA44" s="108"/>
      <c r="AB44" s="259"/>
      <c r="AC44" s="253"/>
      <c r="AD44" s="597" t="s">
        <v>118</v>
      </c>
      <c r="AE44" s="567">
        <f>AE42*AE43</f>
        <v>0</v>
      </c>
      <c r="AF44" s="108"/>
      <c r="AG44" s="108"/>
      <c r="AH44" s="108"/>
      <c r="AI44" s="259"/>
    </row>
    <row r="45" spans="2:35" ht="12.75">
      <c r="B45" s="186"/>
      <c r="C45" s="187"/>
      <c r="D45" s="188"/>
      <c r="E45" s="180"/>
      <c r="F45" s="192"/>
      <c r="G45" s="259"/>
      <c r="H45" s="253"/>
      <c r="I45" s="187"/>
      <c r="J45" s="187"/>
      <c r="K45" s="188"/>
      <c r="L45" s="180"/>
      <c r="M45" s="192"/>
      <c r="N45" s="259"/>
      <c r="O45" s="253"/>
      <c r="P45" s="187"/>
      <c r="Q45" s="187"/>
      <c r="R45" s="188"/>
      <c r="S45" s="180"/>
      <c r="T45" s="192"/>
      <c r="U45" s="259"/>
      <c r="V45" s="253"/>
      <c r="W45" s="187"/>
      <c r="X45" s="187"/>
      <c r="Y45" s="188"/>
      <c r="Z45" s="180"/>
      <c r="AA45" s="192"/>
      <c r="AB45" s="259"/>
      <c r="AC45" s="253"/>
      <c r="AD45" s="187"/>
      <c r="AE45" s="187"/>
      <c r="AF45" s="188"/>
      <c r="AG45" s="180"/>
      <c r="AH45" s="192"/>
      <c r="AI45" s="259"/>
    </row>
    <row r="46" spans="2:35" ht="13.5" thickBot="1">
      <c r="B46" s="186"/>
      <c r="C46" s="187"/>
      <c r="D46" s="188"/>
      <c r="E46" s="180"/>
      <c r="F46" s="192"/>
      <c r="G46" s="259"/>
      <c r="H46" s="253"/>
      <c r="I46" s="187"/>
      <c r="J46" s="187"/>
      <c r="K46" s="188"/>
      <c r="L46" s="180"/>
      <c r="M46" s="192"/>
      <c r="N46" s="259"/>
      <c r="O46" s="253"/>
      <c r="P46" s="187"/>
      <c r="Q46" s="187"/>
      <c r="R46" s="188"/>
      <c r="S46" s="180"/>
      <c r="T46" s="192"/>
      <c r="U46" s="259"/>
      <c r="V46" s="253"/>
      <c r="W46" s="187"/>
      <c r="X46" s="187"/>
      <c r="Y46" s="188"/>
      <c r="Z46" s="180"/>
      <c r="AA46" s="192"/>
      <c r="AB46" s="259"/>
      <c r="AC46" s="253"/>
      <c r="AD46" s="187"/>
      <c r="AE46" s="187"/>
      <c r="AF46" s="188"/>
      <c r="AG46" s="180"/>
      <c r="AH46" s="192"/>
      <c r="AI46" s="259"/>
    </row>
    <row r="47" spans="2:35" ht="13.5" thickBot="1">
      <c r="B47" s="593" t="s">
        <v>119</v>
      </c>
      <c r="C47" s="590"/>
      <c r="D47" s="188"/>
      <c r="E47" s="180"/>
      <c r="F47" s="192"/>
      <c r="G47" s="259"/>
      <c r="H47" s="253"/>
      <c r="I47" s="598" t="s">
        <v>119</v>
      </c>
      <c r="J47" s="590"/>
      <c r="K47" s="188"/>
      <c r="L47" s="180"/>
      <c r="M47" s="192"/>
      <c r="N47" s="259"/>
      <c r="O47" s="253"/>
      <c r="P47" s="598" t="s">
        <v>119</v>
      </c>
      <c r="Q47" s="590"/>
      <c r="R47" s="188"/>
      <c r="S47" s="180"/>
      <c r="T47" s="192"/>
      <c r="U47" s="259"/>
      <c r="V47" s="253"/>
      <c r="W47" s="598" t="s">
        <v>119</v>
      </c>
      <c r="X47" s="590"/>
      <c r="Y47" s="188"/>
      <c r="Z47" s="180"/>
      <c r="AA47" s="192"/>
      <c r="AB47" s="259"/>
      <c r="AC47" s="253"/>
      <c r="AD47" s="598" t="s">
        <v>119</v>
      </c>
      <c r="AE47" s="590"/>
      <c r="AF47" s="188"/>
      <c r="AG47" s="180"/>
      <c r="AH47" s="192"/>
      <c r="AI47" s="259"/>
    </row>
    <row r="48" spans="2:35" ht="12.75">
      <c r="B48" s="594" t="s">
        <v>114</v>
      </c>
      <c r="C48" s="568">
        <f>C38</f>
        <v>0</v>
      </c>
      <c r="D48" s="188"/>
      <c r="E48" s="180"/>
      <c r="F48" s="192"/>
      <c r="G48" s="259"/>
      <c r="H48" s="253"/>
      <c r="I48" s="599" t="s">
        <v>114</v>
      </c>
      <c r="J48" s="568">
        <f>J38</f>
        <v>0</v>
      </c>
      <c r="K48" s="188"/>
      <c r="L48" s="180"/>
      <c r="M48" s="192"/>
      <c r="N48" s="259"/>
      <c r="O48" s="253"/>
      <c r="P48" s="599" t="s">
        <v>114</v>
      </c>
      <c r="Q48" s="568">
        <f>Q38</f>
        <v>0</v>
      </c>
      <c r="R48" s="188"/>
      <c r="S48" s="180"/>
      <c r="T48" s="192"/>
      <c r="U48" s="259"/>
      <c r="V48" s="253"/>
      <c r="W48" s="599" t="s">
        <v>114</v>
      </c>
      <c r="X48" s="568">
        <f>X38</f>
        <v>0</v>
      </c>
      <c r="Y48" s="188"/>
      <c r="Z48" s="180"/>
      <c r="AA48" s="192"/>
      <c r="AB48" s="259"/>
      <c r="AC48" s="253"/>
      <c r="AD48" s="599" t="s">
        <v>114</v>
      </c>
      <c r="AE48" s="568">
        <f>AE38</f>
        <v>0</v>
      </c>
      <c r="AF48" s="188"/>
      <c r="AG48" s="180"/>
      <c r="AH48" s="192"/>
      <c r="AI48" s="259"/>
    </row>
    <row r="49" spans="2:35" ht="13.5" thickBot="1">
      <c r="B49" s="594" t="s">
        <v>118</v>
      </c>
      <c r="C49" s="566">
        <f>C44</f>
        <v>0</v>
      </c>
      <c r="D49" s="188"/>
      <c r="E49" s="180"/>
      <c r="F49" s="192"/>
      <c r="G49" s="259"/>
      <c r="H49" s="253"/>
      <c r="I49" s="599" t="s">
        <v>118</v>
      </c>
      <c r="J49" s="566">
        <f>J44</f>
        <v>0</v>
      </c>
      <c r="K49" s="188"/>
      <c r="L49" s="180"/>
      <c r="M49" s="192"/>
      <c r="N49" s="259"/>
      <c r="O49" s="253"/>
      <c r="P49" s="599" t="s">
        <v>118</v>
      </c>
      <c r="Q49" s="566">
        <f>Q44</f>
        <v>0</v>
      </c>
      <c r="R49" s="188"/>
      <c r="S49" s="180"/>
      <c r="T49" s="192"/>
      <c r="U49" s="259"/>
      <c r="V49" s="253"/>
      <c r="W49" s="599" t="s">
        <v>118</v>
      </c>
      <c r="X49" s="566">
        <f>X44</f>
        <v>0</v>
      </c>
      <c r="Y49" s="188"/>
      <c r="Z49" s="180"/>
      <c r="AA49" s="192"/>
      <c r="AB49" s="259"/>
      <c r="AC49" s="253"/>
      <c r="AD49" s="599" t="s">
        <v>118</v>
      </c>
      <c r="AE49" s="566">
        <f>AE44</f>
        <v>0</v>
      </c>
      <c r="AF49" s="188"/>
      <c r="AG49" s="180"/>
      <c r="AH49" s="192"/>
      <c r="AI49" s="259"/>
    </row>
    <row r="50" spans="2:35" ht="15.75" thickBot="1">
      <c r="B50" s="560" t="s">
        <v>120</v>
      </c>
      <c r="C50" s="567">
        <f>C48+C49</f>
        <v>0</v>
      </c>
      <c r="D50" s="188"/>
      <c r="E50" s="180"/>
      <c r="F50" s="192"/>
      <c r="G50" s="259"/>
      <c r="H50" s="253"/>
      <c r="I50" s="597" t="s">
        <v>120</v>
      </c>
      <c r="J50" s="567">
        <f>J48+J49</f>
        <v>0</v>
      </c>
      <c r="K50" s="188"/>
      <c r="L50" s="180"/>
      <c r="M50" s="192"/>
      <c r="N50" s="259"/>
      <c r="O50" s="253"/>
      <c r="P50" s="597" t="s">
        <v>120</v>
      </c>
      <c r="Q50" s="567">
        <f>Q48+Q49</f>
        <v>0</v>
      </c>
      <c r="R50" s="188"/>
      <c r="S50" s="180"/>
      <c r="T50" s="192"/>
      <c r="U50" s="259"/>
      <c r="V50" s="253"/>
      <c r="W50" s="597" t="s">
        <v>120</v>
      </c>
      <c r="X50" s="567">
        <f>X48+X49</f>
        <v>0</v>
      </c>
      <c r="Y50" s="188"/>
      <c r="Z50" s="180"/>
      <c r="AA50" s="192"/>
      <c r="AB50" s="259"/>
      <c r="AC50" s="253"/>
      <c r="AD50" s="597" t="s">
        <v>120</v>
      </c>
      <c r="AE50" s="567">
        <f>AE48+AE49</f>
        <v>0</v>
      </c>
      <c r="AF50" s="188"/>
      <c r="AG50" s="180"/>
      <c r="AH50" s="192"/>
      <c r="AI50" s="259"/>
    </row>
    <row r="51" spans="2:35" ht="12.75">
      <c r="B51" s="186"/>
      <c r="C51" s="187"/>
      <c r="D51" s="188"/>
      <c r="E51" s="180"/>
      <c r="F51" s="192"/>
      <c r="G51" s="259"/>
      <c r="H51" s="253"/>
      <c r="I51" s="187"/>
      <c r="J51" s="187"/>
      <c r="K51" s="188"/>
      <c r="L51" s="180"/>
      <c r="M51" s="192"/>
      <c r="N51" s="259"/>
      <c r="O51" s="253"/>
      <c r="P51" s="187"/>
      <c r="Q51" s="187"/>
      <c r="R51" s="188"/>
      <c r="S51" s="180"/>
      <c r="T51" s="192"/>
      <c r="U51" s="259"/>
      <c r="V51" s="253"/>
      <c r="W51" s="187"/>
      <c r="X51" s="187"/>
      <c r="Y51" s="188"/>
      <c r="Z51" s="180"/>
      <c r="AA51" s="192"/>
      <c r="AB51" s="259"/>
      <c r="AC51" s="253"/>
      <c r="AD51" s="187"/>
      <c r="AE51" s="187"/>
      <c r="AF51" s="188"/>
      <c r="AG51" s="180"/>
      <c r="AH51" s="192"/>
      <c r="AI51" s="259"/>
    </row>
    <row r="52" spans="2:35" ht="13.5" thickBot="1">
      <c r="B52" s="189"/>
      <c r="C52" s="190"/>
      <c r="D52" s="191"/>
      <c r="E52" s="191"/>
      <c r="F52" s="254"/>
      <c r="G52" s="259"/>
      <c r="H52" s="253"/>
      <c r="I52" s="190"/>
      <c r="J52" s="190"/>
      <c r="K52" s="191"/>
      <c r="L52" s="191"/>
      <c r="M52" s="254"/>
      <c r="N52" s="259"/>
      <c r="O52" s="253"/>
      <c r="P52" s="190"/>
      <c r="Q52" s="190"/>
      <c r="R52" s="191"/>
      <c r="S52" s="191"/>
      <c r="T52" s="254"/>
      <c r="U52" s="259"/>
      <c r="V52" s="253"/>
      <c r="W52" s="190"/>
      <c r="X52" s="190"/>
      <c r="Y52" s="191"/>
      <c r="Z52" s="191"/>
      <c r="AA52" s="254"/>
      <c r="AB52" s="259"/>
      <c r="AC52" s="253"/>
      <c r="AD52" s="190"/>
      <c r="AE52" s="190"/>
      <c r="AF52" s="191"/>
      <c r="AG52" s="191"/>
      <c r="AH52" s="254"/>
      <c r="AI52" s="259"/>
    </row>
    <row r="53" spans="2:35" ht="12.75">
      <c r="B53" s="275"/>
      <c r="C53" s="172"/>
      <c r="D53" s="172"/>
      <c r="E53" s="172"/>
      <c r="F53" s="192"/>
      <c r="G53" s="259"/>
      <c r="H53" s="253"/>
      <c r="I53" s="172"/>
      <c r="J53" s="172"/>
      <c r="K53" s="172"/>
      <c r="L53" s="172"/>
      <c r="M53" s="192"/>
      <c r="N53" s="259"/>
      <c r="O53" s="253"/>
      <c r="P53" s="172"/>
      <c r="Q53" s="172"/>
      <c r="R53" s="172"/>
      <c r="S53" s="172"/>
      <c r="T53" s="192"/>
      <c r="U53" s="259"/>
      <c r="V53" s="253"/>
      <c r="W53" s="172"/>
      <c r="X53" s="172"/>
      <c r="Y53" s="172"/>
      <c r="Z53" s="172"/>
      <c r="AA53" s="192"/>
      <c r="AB53" s="259"/>
      <c r="AC53" s="253"/>
      <c r="AD53" s="172"/>
      <c r="AE53" s="172"/>
      <c r="AF53" s="172"/>
      <c r="AG53" s="172"/>
      <c r="AH53" s="192"/>
      <c r="AI53" s="259"/>
    </row>
    <row r="54" spans="2:35" ht="12.75">
      <c r="B54" s="275"/>
      <c r="C54" s="172"/>
      <c r="D54" s="172"/>
      <c r="E54" s="172"/>
      <c r="F54" s="171"/>
      <c r="G54" s="259"/>
      <c r="H54" s="253"/>
      <c r="I54" s="172"/>
      <c r="J54" s="172"/>
      <c r="K54" s="172"/>
      <c r="L54" s="172"/>
      <c r="M54" s="171"/>
      <c r="N54" s="259"/>
      <c r="O54" s="253"/>
      <c r="P54" s="172"/>
      <c r="Q54" s="172"/>
      <c r="R54" s="172"/>
      <c r="S54" s="172"/>
      <c r="T54" s="171"/>
      <c r="U54" s="259"/>
      <c r="V54" s="253"/>
      <c r="W54" s="172"/>
      <c r="X54" s="172"/>
      <c r="Y54" s="172"/>
      <c r="Z54" s="172"/>
      <c r="AA54" s="171"/>
      <c r="AB54" s="259"/>
      <c r="AC54" s="253"/>
      <c r="AD54" s="172"/>
      <c r="AE54" s="172"/>
      <c r="AF54" s="172"/>
      <c r="AG54" s="172"/>
      <c r="AH54" s="171"/>
      <c r="AI54" s="259"/>
    </row>
    <row r="55" spans="2:35" ht="12.75">
      <c r="B55" s="275"/>
      <c r="C55" s="172"/>
      <c r="D55" s="172"/>
      <c r="E55" s="172"/>
      <c r="F55" s="171"/>
      <c r="G55" s="259"/>
      <c r="H55" s="253"/>
      <c r="I55" s="172"/>
      <c r="J55" s="172"/>
      <c r="K55" s="172"/>
      <c r="L55" s="172"/>
      <c r="M55" s="171"/>
      <c r="N55" s="259"/>
      <c r="O55" s="253"/>
      <c r="P55" s="172"/>
      <c r="Q55" s="172"/>
      <c r="R55" s="172"/>
      <c r="S55" s="172"/>
      <c r="T55" s="171"/>
      <c r="U55" s="259"/>
      <c r="V55" s="253"/>
      <c r="W55" s="172"/>
      <c r="X55" s="172"/>
      <c r="Y55" s="172"/>
      <c r="Z55" s="172"/>
      <c r="AA55" s="171"/>
      <c r="AB55" s="259"/>
      <c r="AC55" s="253"/>
      <c r="AD55" s="172"/>
      <c r="AE55" s="172"/>
      <c r="AF55" s="172"/>
      <c r="AG55" s="172"/>
      <c r="AH55" s="171"/>
      <c r="AI55" s="259"/>
    </row>
    <row r="56" spans="2:35" ht="13.5" thickBot="1">
      <c r="B56" s="275"/>
      <c r="C56" s="172"/>
      <c r="D56" s="172"/>
      <c r="E56" s="172"/>
      <c r="F56" s="171"/>
      <c r="G56" s="259"/>
      <c r="H56" s="253"/>
      <c r="I56" s="172"/>
      <c r="J56" s="172"/>
      <c r="K56" s="172"/>
      <c r="L56" s="172"/>
      <c r="M56" s="171"/>
      <c r="N56" s="259"/>
      <c r="O56" s="253"/>
      <c r="P56" s="172"/>
      <c r="Q56" s="172"/>
      <c r="R56" s="172"/>
      <c r="S56" s="172"/>
      <c r="T56" s="171"/>
      <c r="U56" s="259"/>
      <c r="V56" s="253"/>
      <c r="W56" s="172"/>
      <c r="X56" s="172"/>
      <c r="Y56" s="172"/>
      <c r="Z56" s="172"/>
      <c r="AA56" s="171"/>
      <c r="AB56" s="259"/>
      <c r="AC56" s="253"/>
      <c r="AD56" s="172"/>
      <c r="AE56" s="172"/>
      <c r="AF56" s="172"/>
      <c r="AG56" s="172"/>
      <c r="AH56" s="171"/>
      <c r="AI56" s="259"/>
    </row>
    <row r="57" spans="2:35" ht="16.5" thickBot="1">
      <c r="B57" s="1089" t="s">
        <v>121</v>
      </c>
      <c r="C57" s="1090"/>
      <c r="D57" s="1090"/>
      <c r="E57" s="1090"/>
      <c r="F57" s="1090"/>
      <c r="G57" s="688"/>
      <c r="H57" s="689"/>
      <c r="I57" s="1090" t="s">
        <v>121</v>
      </c>
      <c r="J57" s="1090"/>
      <c r="K57" s="1090"/>
      <c r="L57" s="1090"/>
      <c r="M57" s="1090"/>
      <c r="N57" s="258"/>
      <c r="O57" s="253"/>
      <c r="P57" s="1090" t="s">
        <v>121</v>
      </c>
      <c r="Q57" s="1090"/>
      <c r="R57" s="1090"/>
      <c r="S57" s="1090"/>
      <c r="T57" s="1090"/>
      <c r="U57" s="258"/>
      <c r="V57" s="253"/>
      <c r="W57" s="1090" t="s">
        <v>121</v>
      </c>
      <c r="X57" s="1090"/>
      <c r="Y57" s="1090"/>
      <c r="Z57" s="1090"/>
      <c r="AA57" s="1090"/>
      <c r="AB57" s="258"/>
      <c r="AC57" s="253"/>
      <c r="AD57" s="1090" t="s">
        <v>121</v>
      </c>
      <c r="AE57" s="1090"/>
      <c r="AF57" s="1090"/>
      <c r="AG57" s="1090"/>
      <c r="AH57" s="1090"/>
      <c r="AI57" s="258"/>
    </row>
    <row r="58" spans="2:35" ht="36" customHeight="1" thickBot="1">
      <c r="B58" s="1092" t="s">
        <v>122</v>
      </c>
      <c r="C58" s="1093"/>
      <c r="D58" s="1093"/>
      <c r="E58" s="1093"/>
      <c r="F58" s="1093"/>
      <c r="G58" s="258"/>
      <c r="H58" s="253"/>
      <c r="I58" s="1093" t="s">
        <v>122</v>
      </c>
      <c r="J58" s="1093"/>
      <c r="K58" s="1093"/>
      <c r="L58" s="1093"/>
      <c r="M58" s="1093"/>
      <c r="N58" s="258"/>
      <c r="O58" s="253"/>
      <c r="P58" s="1093" t="s">
        <v>405</v>
      </c>
      <c r="Q58" s="1093"/>
      <c r="R58" s="1093"/>
      <c r="S58" s="1093"/>
      <c r="T58" s="1093"/>
      <c r="U58" s="258"/>
      <c r="V58" s="253"/>
      <c r="W58" s="1093" t="s">
        <v>405</v>
      </c>
      <c r="X58" s="1093"/>
      <c r="Y58" s="1093"/>
      <c r="Z58" s="1093"/>
      <c r="AA58" s="1093"/>
      <c r="AB58" s="258"/>
      <c r="AC58" s="253"/>
      <c r="AD58" s="1093" t="s">
        <v>405</v>
      </c>
      <c r="AE58" s="1093"/>
      <c r="AF58" s="1093"/>
      <c r="AG58" s="1093"/>
      <c r="AH58" s="1093"/>
      <c r="AI58" s="258"/>
    </row>
    <row r="59" spans="2:35" ht="16.5" thickBot="1">
      <c r="B59" s="176"/>
      <c r="C59" s="177"/>
      <c r="D59" s="177"/>
      <c r="E59" s="175"/>
      <c r="F59" s="175"/>
      <c r="G59" s="259"/>
      <c r="H59" s="253"/>
      <c r="I59" s="175"/>
      <c r="J59" s="177"/>
      <c r="K59" s="177"/>
      <c r="L59" s="175"/>
      <c r="M59" s="175"/>
      <c r="N59" s="259"/>
      <c r="O59" s="253"/>
      <c r="P59" s="175"/>
      <c r="Q59" s="177"/>
      <c r="R59" s="177"/>
      <c r="S59" s="175"/>
      <c r="T59" s="175"/>
      <c r="U59" s="259"/>
      <c r="V59" s="253"/>
      <c r="W59" s="175"/>
      <c r="X59" s="177"/>
      <c r="Y59" s="177"/>
      <c r="Z59" s="175"/>
      <c r="AA59" s="175"/>
      <c r="AB59" s="259"/>
      <c r="AC59" s="253"/>
      <c r="AD59" s="175"/>
      <c r="AE59" s="177"/>
      <c r="AF59" s="177"/>
      <c r="AG59" s="175"/>
      <c r="AH59" s="175"/>
      <c r="AI59" s="259"/>
    </row>
    <row r="60" spans="2:35" ht="26.25" thickBot="1">
      <c r="B60" s="511" t="s">
        <v>104</v>
      </c>
      <c r="C60" s="601" t="s">
        <v>105</v>
      </c>
      <c r="D60" s="602" t="s">
        <v>106</v>
      </c>
      <c r="E60" s="511" t="s">
        <v>107</v>
      </c>
      <c r="F60" s="97"/>
      <c r="G60" s="259"/>
      <c r="H60" s="253"/>
      <c r="I60" s="590" t="s">
        <v>104</v>
      </c>
      <c r="J60" s="601" t="s">
        <v>105</v>
      </c>
      <c r="K60" s="602" t="s">
        <v>106</v>
      </c>
      <c r="L60" s="511" t="s">
        <v>107</v>
      </c>
      <c r="M60" s="97"/>
      <c r="N60" s="259"/>
      <c r="O60" s="253"/>
      <c r="P60" s="590" t="s">
        <v>104</v>
      </c>
      <c r="Q60" s="601" t="s">
        <v>105</v>
      </c>
      <c r="R60" s="602" t="s">
        <v>106</v>
      </c>
      <c r="S60" s="511" t="s">
        <v>107</v>
      </c>
      <c r="T60" s="97"/>
      <c r="U60" s="259"/>
      <c r="V60" s="253"/>
      <c r="W60" s="590" t="s">
        <v>104</v>
      </c>
      <c r="X60" s="601" t="s">
        <v>105</v>
      </c>
      <c r="Y60" s="602" t="s">
        <v>106</v>
      </c>
      <c r="Z60" s="511" t="s">
        <v>107</v>
      </c>
      <c r="AA60" s="97"/>
      <c r="AB60" s="259"/>
      <c r="AC60" s="253"/>
      <c r="AD60" s="590" t="s">
        <v>104</v>
      </c>
      <c r="AE60" s="601" t="s">
        <v>105</v>
      </c>
      <c r="AF60" s="602" t="s">
        <v>106</v>
      </c>
      <c r="AG60" s="511" t="s">
        <v>107</v>
      </c>
      <c r="AH60" s="97"/>
      <c r="AI60" s="259"/>
    </row>
    <row r="61" spans="2:35" ht="12.75">
      <c r="B61" s="580">
        <v>4</v>
      </c>
      <c r="C61" s="179"/>
      <c r="D61" s="179"/>
      <c r="E61" s="557">
        <f>C61+D61</f>
        <v>0</v>
      </c>
      <c r="F61" s="97"/>
      <c r="G61" s="259"/>
      <c r="H61" s="253"/>
      <c r="I61" s="586">
        <v>4</v>
      </c>
      <c r="J61" s="179"/>
      <c r="K61" s="179"/>
      <c r="L61" s="557">
        <f>J61+K61</f>
        <v>0</v>
      </c>
      <c r="M61" s="97"/>
      <c r="N61" s="259"/>
      <c r="O61" s="253"/>
      <c r="P61" s="586">
        <v>4</v>
      </c>
      <c r="Q61" s="179"/>
      <c r="R61" s="179"/>
      <c r="S61" s="557">
        <f>Q61+R61</f>
        <v>0</v>
      </c>
      <c r="T61" s="97"/>
      <c r="U61" s="259"/>
      <c r="V61" s="253"/>
      <c r="W61" s="586">
        <v>4</v>
      </c>
      <c r="X61" s="179"/>
      <c r="Y61" s="179"/>
      <c r="Z61" s="557">
        <f>X61+Y61</f>
        <v>0</v>
      </c>
      <c r="AA61" s="97"/>
      <c r="AB61" s="259"/>
      <c r="AC61" s="253"/>
      <c r="AD61" s="586">
        <v>4</v>
      </c>
      <c r="AE61" s="179"/>
      <c r="AF61" s="179"/>
      <c r="AG61" s="557">
        <f>AE61+AF61</f>
        <v>0</v>
      </c>
      <c r="AH61" s="97"/>
      <c r="AI61" s="259"/>
    </row>
    <row r="62" spans="2:35" ht="12.75">
      <c r="B62" s="556">
        <v>5</v>
      </c>
      <c r="C62" s="179"/>
      <c r="D62" s="181"/>
      <c r="E62" s="558">
        <f>C62+D62</f>
        <v>0</v>
      </c>
      <c r="F62" s="97"/>
      <c r="G62" s="259"/>
      <c r="H62" s="253"/>
      <c r="I62" s="587">
        <v>5</v>
      </c>
      <c r="J62" s="179"/>
      <c r="K62" s="181"/>
      <c r="L62" s="558">
        <f>J62+K62</f>
        <v>0</v>
      </c>
      <c r="M62" s="97"/>
      <c r="N62" s="259"/>
      <c r="O62" s="253"/>
      <c r="P62" s="587">
        <v>5</v>
      </c>
      <c r="Q62" s="179"/>
      <c r="R62" s="181"/>
      <c r="S62" s="558">
        <f>Q62+R62</f>
        <v>0</v>
      </c>
      <c r="T62" s="97"/>
      <c r="U62" s="259"/>
      <c r="V62" s="253"/>
      <c r="W62" s="587">
        <v>5</v>
      </c>
      <c r="X62" s="179"/>
      <c r="Y62" s="179"/>
      <c r="Z62" s="558">
        <f>X62+Y62</f>
        <v>0</v>
      </c>
      <c r="AA62" s="97"/>
      <c r="AB62" s="259"/>
      <c r="AC62" s="253"/>
      <c r="AD62" s="587">
        <v>5</v>
      </c>
      <c r="AE62" s="179"/>
      <c r="AF62" s="179"/>
      <c r="AG62" s="558">
        <f>AE62+AF62</f>
        <v>0</v>
      </c>
      <c r="AH62" s="97"/>
      <c r="AI62" s="259"/>
    </row>
    <row r="63" spans="2:35" ht="12.75">
      <c r="B63" s="556">
        <v>6</v>
      </c>
      <c r="C63" s="179"/>
      <c r="D63" s="181"/>
      <c r="E63" s="558">
        <f>C63+D63</f>
        <v>0</v>
      </c>
      <c r="F63" s="97"/>
      <c r="G63" s="259"/>
      <c r="H63" s="253"/>
      <c r="I63" s="587">
        <v>6</v>
      </c>
      <c r="J63" s="179"/>
      <c r="K63" s="181"/>
      <c r="L63" s="558">
        <f>J63+K63</f>
        <v>0</v>
      </c>
      <c r="M63" s="97"/>
      <c r="N63" s="259"/>
      <c r="O63" s="253"/>
      <c r="P63" s="587">
        <v>6</v>
      </c>
      <c r="Q63" s="179"/>
      <c r="R63" s="181"/>
      <c r="S63" s="558">
        <f>Q63+R63</f>
        <v>0</v>
      </c>
      <c r="T63" s="97"/>
      <c r="U63" s="259"/>
      <c r="V63" s="253"/>
      <c r="W63" s="587">
        <v>6</v>
      </c>
      <c r="X63" s="179"/>
      <c r="Y63" s="179"/>
      <c r="Z63" s="558">
        <f>X63+Y63</f>
        <v>0</v>
      </c>
      <c r="AA63" s="97"/>
      <c r="AB63" s="259"/>
      <c r="AC63" s="253"/>
      <c r="AD63" s="587">
        <v>6</v>
      </c>
      <c r="AE63" s="179"/>
      <c r="AF63" s="179"/>
      <c r="AG63" s="558">
        <f>AE63+AF63</f>
        <v>0</v>
      </c>
      <c r="AH63" s="97"/>
      <c r="AI63" s="259"/>
    </row>
    <row r="64" spans="2:35" ht="12.75">
      <c r="B64" s="556">
        <v>7</v>
      </c>
      <c r="C64" s="179"/>
      <c r="D64" s="181"/>
      <c r="E64" s="558">
        <f>C64+D64</f>
        <v>0</v>
      </c>
      <c r="F64" s="97"/>
      <c r="G64" s="259"/>
      <c r="H64" s="253"/>
      <c r="I64" s="587">
        <v>7</v>
      </c>
      <c r="J64" s="179"/>
      <c r="K64" s="181"/>
      <c r="L64" s="558">
        <f>J64+K64</f>
        <v>0</v>
      </c>
      <c r="M64" s="97"/>
      <c r="N64" s="259"/>
      <c r="O64" s="253"/>
      <c r="P64" s="587">
        <v>7</v>
      </c>
      <c r="Q64" s="179"/>
      <c r="R64" s="181"/>
      <c r="S64" s="558">
        <f>Q64+R64</f>
        <v>0</v>
      </c>
      <c r="T64" s="97"/>
      <c r="U64" s="259"/>
      <c r="V64" s="253"/>
      <c r="W64" s="587">
        <v>7</v>
      </c>
      <c r="X64" s="179"/>
      <c r="Y64" s="179"/>
      <c r="Z64" s="558">
        <f>X64+Y64</f>
        <v>0</v>
      </c>
      <c r="AA64" s="97"/>
      <c r="AB64" s="259"/>
      <c r="AC64" s="253"/>
      <c r="AD64" s="587">
        <v>7</v>
      </c>
      <c r="AE64" s="179"/>
      <c r="AF64" s="179"/>
      <c r="AG64" s="558">
        <f>AE64+AF64</f>
        <v>0</v>
      </c>
      <c r="AH64" s="97"/>
      <c r="AI64" s="259"/>
    </row>
    <row r="65" spans="2:35" ht="13.5" thickBot="1">
      <c r="B65" s="600">
        <v>8</v>
      </c>
      <c r="C65" s="179"/>
      <c r="D65" s="181"/>
      <c r="E65" s="559">
        <f>C65+D65</f>
        <v>0</v>
      </c>
      <c r="F65" s="97"/>
      <c r="G65" s="259"/>
      <c r="H65" s="253"/>
      <c r="I65" s="603">
        <v>8</v>
      </c>
      <c r="J65" s="179"/>
      <c r="K65" s="181"/>
      <c r="L65" s="559">
        <f>J65+K65</f>
        <v>0</v>
      </c>
      <c r="M65" s="97"/>
      <c r="N65" s="259"/>
      <c r="O65" s="253"/>
      <c r="P65" s="603">
        <v>8</v>
      </c>
      <c r="Q65" s="179"/>
      <c r="R65" s="181"/>
      <c r="S65" s="559">
        <f>Q65+R65</f>
        <v>0</v>
      </c>
      <c r="T65" s="97"/>
      <c r="U65" s="259"/>
      <c r="V65" s="253"/>
      <c r="W65" s="603">
        <v>8</v>
      </c>
      <c r="X65" s="179"/>
      <c r="Y65" s="179"/>
      <c r="Z65" s="559">
        <f>X65+Y65</f>
        <v>0</v>
      </c>
      <c r="AA65" s="97"/>
      <c r="AB65" s="259"/>
      <c r="AC65" s="253"/>
      <c r="AD65" s="603">
        <v>8</v>
      </c>
      <c r="AE65" s="179"/>
      <c r="AF65" s="179"/>
      <c r="AG65" s="559">
        <f>AE65+AF65</f>
        <v>0</v>
      </c>
      <c r="AH65" s="97"/>
      <c r="AI65" s="259"/>
    </row>
    <row r="66" spans="2:35" ht="13.5" thickBot="1">
      <c r="B66" s="581" t="s">
        <v>123</v>
      </c>
      <c r="C66" s="561">
        <f>SUM(C61:C65)</f>
        <v>0</v>
      </c>
      <c r="D66" s="562">
        <f>SUM(D61:D65)</f>
        <v>0</v>
      </c>
      <c r="E66" s="564">
        <f>SUM(E61:E65)</f>
        <v>0</v>
      </c>
      <c r="F66" s="97"/>
      <c r="G66" s="259"/>
      <c r="H66" s="253"/>
      <c r="I66" s="588" t="s">
        <v>123</v>
      </c>
      <c r="J66" s="561">
        <f>SUM(J61:J65)</f>
        <v>0</v>
      </c>
      <c r="K66" s="562">
        <f>SUM(K61:K65)</f>
        <v>0</v>
      </c>
      <c r="L66" s="564">
        <f>SUM(L61:L65)</f>
        <v>0</v>
      </c>
      <c r="M66" s="97"/>
      <c r="N66" s="259"/>
      <c r="O66" s="253"/>
      <c r="P66" s="588" t="s">
        <v>123</v>
      </c>
      <c r="Q66" s="561">
        <f>SUM(Q61:Q65)</f>
        <v>0</v>
      </c>
      <c r="R66" s="562">
        <f>SUM(R61:R65)</f>
        <v>0</v>
      </c>
      <c r="S66" s="564">
        <f>SUM(S61:S65)</f>
        <v>0</v>
      </c>
      <c r="T66" s="97"/>
      <c r="U66" s="259"/>
      <c r="V66" s="253"/>
      <c r="W66" s="588" t="s">
        <v>123</v>
      </c>
      <c r="X66" s="561">
        <f>SUM(X61:X65)</f>
        <v>0</v>
      </c>
      <c r="Y66" s="562">
        <f>SUM(Y61:Y65)</f>
        <v>0</v>
      </c>
      <c r="Z66" s="564">
        <f>SUM(Z61:Z65)</f>
        <v>0</v>
      </c>
      <c r="AA66" s="97"/>
      <c r="AB66" s="259"/>
      <c r="AC66" s="253"/>
      <c r="AD66" s="588" t="s">
        <v>123</v>
      </c>
      <c r="AE66" s="561">
        <f>SUM(AE61:AE65)</f>
        <v>0</v>
      </c>
      <c r="AF66" s="562">
        <f>SUM(AF61:AF65)</f>
        <v>0</v>
      </c>
      <c r="AG66" s="564">
        <f>SUM(AG61:AG65)</f>
        <v>0</v>
      </c>
      <c r="AH66" s="97"/>
      <c r="AI66" s="259"/>
    </row>
    <row r="67" spans="2:35" ht="13.5" thickBot="1">
      <c r="B67" s="582" t="s">
        <v>110</v>
      </c>
      <c r="C67" s="563">
        <v>1</v>
      </c>
      <c r="D67" s="563">
        <v>0.4</v>
      </c>
      <c r="E67" s="97"/>
      <c r="F67" s="97"/>
      <c r="G67" s="259"/>
      <c r="H67" s="253"/>
      <c r="I67" s="589" t="s">
        <v>110</v>
      </c>
      <c r="J67" s="563">
        <v>1</v>
      </c>
      <c r="K67" s="563">
        <v>0.4</v>
      </c>
      <c r="L67" s="97"/>
      <c r="M67" s="97"/>
      <c r="N67" s="259"/>
      <c r="O67" s="253"/>
      <c r="P67" s="589" t="s">
        <v>110</v>
      </c>
      <c r="Q67" s="563">
        <v>1</v>
      </c>
      <c r="R67" s="563">
        <v>0.4</v>
      </c>
      <c r="S67" s="97"/>
      <c r="T67" s="97"/>
      <c r="U67" s="259"/>
      <c r="V67" s="253"/>
      <c r="W67" s="589" t="s">
        <v>110</v>
      </c>
      <c r="X67" s="563">
        <v>1</v>
      </c>
      <c r="Y67" s="563">
        <v>0.4</v>
      </c>
      <c r="Z67" s="97"/>
      <c r="AA67" s="97"/>
      <c r="AB67" s="259"/>
      <c r="AC67" s="253"/>
      <c r="AD67" s="589" t="s">
        <v>110</v>
      </c>
      <c r="AE67" s="563">
        <v>1</v>
      </c>
      <c r="AF67" s="563">
        <v>0.4</v>
      </c>
      <c r="AG67" s="97"/>
      <c r="AH67" s="97"/>
      <c r="AI67" s="259"/>
    </row>
    <row r="68" spans="2:35" ht="13.5" thickBot="1">
      <c r="B68" s="511" t="s">
        <v>124</v>
      </c>
      <c r="C68" s="564">
        <f>C66*C67</f>
        <v>0</v>
      </c>
      <c r="D68" s="655">
        <f>D66*D67</f>
        <v>0</v>
      </c>
      <c r="E68" s="656">
        <f>C68+D68</f>
        <v>0</v>
      </c>
      <c r="F68" s="97"/>
      <c r="G68" s="259"/>
      <c r="H68" s="253"/>
      <c r="I68" s="590" t="s">
        <v>124</v>
      </c>
      <c r="J68" s="564">
        <f>J66*J67</f>
        <v>0</v>
      </c>
      <c r="K68" s="655">
        <f>K66*K67</f>
        <v>0</v>
      </c>
      <c r="L68" s="656">
        <f>J68+K68</f>
        <v>0</v>
      </c>
      <c r="M68" s="97"/>
      <c r="N68" s="259"/>
      <c r="O68" s="253"/>
      <c r="P68" s="590" t="s">
        <v>124</v>
      </c>
      <c r="Q68" s="564">
        <f>Q66*Q67</f>
        <v>0</v>
      </c>
      <c r="R68" s="655">
        <f>R66*R67</f>
        <v>0</v>
      </c>
      <c r="S68" s="656">
        <f>Q68+R68</f>
        <v>0</v>
      </c>
      <c r="T68" s="97"/>
      <c r="U68" s="259"/>
      <c r="V68" s="253"/>
      <c r="W68" s="590" t="s">
        <v>124</v>
      </c>
      <c r="X68" s="564">
        <f>X66*X67</f>
        <v>0</v>
      </c>
      <c r="Y68" s="655">
        <f>Y66*Y67</f>
        <v>0</v>
      </c>
      <c r="Z68" s="656">
        <f>X68+Y68</f>
        <v>0</v>
      </c>
      <c r="AA68" s="97"/>
      <c r="AB68" s="259"/>
      <c r="AC68" s="253"/>
      <c r="AD68" s="590" t="s">
        <v>124</v>
      </c>
      <c r="AE68" s="564">
        <f>AE66*AE67</f>
        <v>0</v>
      </c>
      <c r="AF68" s="655">
        <f>AF66*AF67</f>
        <v>0</v>
      </c>
      <c r="AG68" s="656">
        <f>AE68+AF68</f>
        <v>0</v>
      </c>
      <c r="AH68" s="97"/>
      <c r="AI68" s="259"/>
    </row>
    <row r="69" spans="2:35" ht="12.75">
      <c r="B69" s="182"/>
      <c r="C69" s="183"/>
      <c r="D69" s="108"/>
      <c r="E69" s="183"/>
      <c r="F69" s="108"/>
      <c r="G69" s="259"/>
      <c r="H69" s="253"/>
      <c r="I69" s="183"/>
      <c r="J69" s="183"/>
      <c r="K69" s="108"/>
      <c r="L69" s="183"/>
      <c r="M69" s="108"/>
      <c r="N69" s="259"/>
      <c r="O69" s="253"/>
      <c r="P69" s="183"/>
      <c r="Q69" s="183"/>
      <c r="R69" s="108"/>
      <c r="S69" s="183"/>
      <c r="T69" s="108"/>
      <c r="U69" s="259"/>
      <c r="V69" s="253"/>
      <c r="W69" s="183"/>
      <c r="X69" s="183"/>
      <c r="Y69" s="108"/>
      <c r="Z69" s="183"/>
      <c r="AA69" s="108"/>
      <c r="AB69" s="259"/>
      <c r="AC69" s="253"/>
      <c r="AD69" s="183"/>
      <c r="AE69" s="183"/>
      <c r="AF69" s="108"/>
      <c r="AG69" s="183"/>
      <c r="AH69" s="108"/>
      <c r="AI69" s="259"/>
    </row>
    <row r="70" spans="2:35" ht="13.5" thickBot="1">
      <c r="B70" s="182"/>
      <c r="C70" s="183"/>
      <c r="D70" s="108"/>
      <c r="E70" s="183"/>
      <c r="F70" s="108"/>
      <c r="G70" s="259"/>
      <c r="H70" s="253"/>
      <c r="I70" s="183"/>
      <c r="J70" s="183"/>
      <c r="K70" s="108"/>
      <c r="L70" s="183"/>
      <c r="M70" s="108"/>
      <c r="N70" s="259"/>
      <c r="O70" s="253"/>
      <c r="P70" s="183"/>
      <c r="Q70" s="183"/>
      <c r="R70" s="108"/>
      <c r="S70" s="183"/>
      <c r="T70" s="108"/>
      <c r="U70" s="259"/>
      <c r="V70" s="253"/>
      <c r="W70" s="183"/>
      <c r="X70" s="183"/>
      <c r="Y70" s="108"/>
      <c r="Z70" s="183"/>
      <c r="AA70" s="108"/>
      <c r="AB70" s="259"/>
      <c r="AC70" s="253"/>
      <c r="AD70" s="183"/>
      <c r="AE70" s="183"/>
      <c r="AF70" s="108"/>
      <c r="AG70" s="183"/>
      <c r="AH70" s="108"/>
      <c r="AI70" s="259"/>
    </row>
    <row r="71" spans="2:35" ht="13.5" thickBot="1">
      <c r="B71" s="1087" t="s">
        <v>125</v>
      </c>
      <c r="C71" s="1088"/>
      <c r="D71" s="108"/>
      <c r="E71" s="183"/>
      <c r="F71" s="108"/>
      <c r="G71" s="259"/>
      <c r="H71" s="253"/>
      <c r="I71" s="1101" t="s">
        <v>125</v>
      </c>
      <c r="J71" s="1088"/>
      <c r="K71" s="108"/>
      <c r="L71" s="183"/>
      <c r="M71" s="108"/>
      <c r="N71" s="259"/>
      <c r="O71" s="253"/>
      <c r="P71" s="1101" t="s">
        <v>125</v>
      </c>
      <c r="Q71" s="1088"/>
      <c r="R71" s="108"/>
      <c r="S71" s="183"/>
      <c r="T71" s="108"/>
      <c r="U71" s="259"/>
      <c r="V71" s="253"/>
      <c r="W71" s="1101" t="s">
        <v>125</v>
      </c>
      <c r="X71" s="1088"/>
      <c r="Y71" s="108"/>
      <c r="Z71" s="183"/>
      <c r="AA71" s="108"/>
      <c r="AB71" s="259"/>
      <c r="AC71" s="253"/>
      <c r="AD71" s="1101" t="s">
        <v>125</v>
      </c>
      <c r="AE71" s="1088"/>
      <c r="AF71" s="108"/>
      <c r="AG71" s="183"/>
      <c r="AH71" s="108"/>
      <c r="AI71" s="259"/>
    </row>
    <row r="72" spans="2:35" ht="12.75">
      <c r="B72" s="591" t="s">
        <v>318</v>
      </c>
      <c r="C72" s="657">
        <f>E68</f>
        <v>0</v>
      </c>
      <c r="D72" s="108"/>
      <c r="E72" s="183"/>
      <c r="F72" s="108"/>
      <c r="G72" s="259"/>
      <c r="H72" s="253"/>
      <c r="I72" s="595" t="s">
        <v>318</v>
      </c>
      <c r="J72" s="658">
        <f>L68</f>
        <v>0</v>
      </c>
      <c r="K72" s="108"/>
      <c r="L72" s="183"/>
      <c r="M72" s="108"/>
      <c r="N72" s="259"/>
      <c r="O72" s="253"/>
      <c r="P72" s="595" t="s">
        <v>318</v>
      </c>
      <c r="Q72" s="658">
        <f>S68</f>
        <v>0</v>
      </c>
      <c r="R72" s="108"/>
      <c r="S72" s="183"/>
      <c r="T72" s="108"/>
      <c r="U72" s="259"/>
      <c r="V72" s="253"/>
      <c r="W72" s="595" t="s">
        <v>318</v>
      </c>
      <c r="X72" s="658">
        <f>Z68</f>
        <v>0</v>
      </c>
      <c r="Y72" s="108"/>
      <c r="Z72" s="183"/>
      <c r="AA72" s="108"/>
      <c r="AB72" s="259"/>
      <c r="AC72" s="253"/>
      <c r="AD72" s="595" t="s">
        <v>318</v>
      </c>
      <c r="AE72" s="658">
        <f>AG68</f>
        <v>0</v>
      </c>
      <c r="AF72" s="108"/>
      <c r="AG72" s="183"/>
      <c r="AH72" s="108"/>
      <c r="AI72" s="259"/>
    </row>
    <row r="73" spans="2:35" ht="13.5" thickBot="1">
      <c r="B73" s="592" t="s">
        <v>126</v>
      </c>
      <c r="C73" s="566">
        <f>C13</f>
        <v>4738.92</v>
      </c>
      <c r="D73" s="108"/>
      <c r="E73" s="183"/>
      <c r="F73" s="108"/>
      <c r="G73" s="259"/>
      <c r="H73" s="253"/>
      <c r="I73" s="596" t="s">
        <v>126</v>
      </c>
      <c r="J73" s="566">
        <f>J13</f>
        <v>4738.92</v>
      </c>
      <c r="K73" s="108"/>
      <c r="L73" s="183"/>
      <c r="M73" s="108"/>
      <c r="N73" s="259"/>
      <c r="O73" s="253"/>
      <c r="P73" s="596" t="s">
        <v>126</v>
      </c>
      <c r="Q73" s="566">
        <f>Q13</f>
        <v>4738.92</v>
      </c>
      <c r="R73" s="108"/>
      <c r="S73" s="183"/>
      <c r="T73" s="108"/>
      <c r="U73" s="259"/>
      <c r="V73" s="253"/>
      <c r="W73" s="596" t="s">
        <v>126</v>
      </c>
      <c r="X73" s="566">
        <f>X13</f>
        <v>4738.92</v>
      </c>
      <c r="Y73" s="108"/>
      <c r="Z73" s="183"/>
      <c r="AA73" s="108"/>
      <c r="AB73" s="259"/>
      <c r="AC73" s="253"/>
      <c r="AD73" s="596" t="s">
        <v>126</v>
      </c>
      <c r="AE73" s="566">
        <f>AE13</f>
        <v>4738.92</v>
      </c>
      <c r="AF73" s="108"/>
      <c r="AG73" s="183"/>
      <c r="AH73" s="108"/>
      <c r="AI73" s="259"/>
    </row>
    <row r="74" spans="2:35" ht="15.75" thickBot="1">
      <c r="B74" s="560" t="s">
        <v>127</v>
      </c>
      <c r="C74" s="567">
        <f>C72*C73</f>
        <v>0</v>
      </c>
      <c r="D74" s="108"/>
      <c r="E74" s="183"/>
      <c r="F74" s="108"/>
      <c r="G74" s="259"/>
      <c r="H74" s="253"/>
      <c r="I74" s="597" t="s">
        <v>127</v>
      </c>
      <c r="J74" s="567">
        <f>J72*J73</f>
        <v>0</v>
      </c>
      <c r="K74" s="108"/>
      <c r="L74" s="183"/>
      <c r="M74" s="108"/>
      <c r="N74" s="259"/>
      <c r="O74" s="253"/>
      <c r="P74" s="597" t="s">
        <v>127</v>
      </c>
      <c r="Q74" s="567">
        <f>Q72*Q73</f>
        <v>0</v>
      </c>
      <c r="R74" s="108"/>
      <c r="S74" s="183"/>
      <c r="T74" s="108"/>
      <c r="U74" s="259"/>
      <c r="V74" s="253"/>
      <c r="W74" s="597" t="s">
        <v>127</v>
      </c>
      <c r="X74" s="567">
        <f>X72*X73</f>
        <v>0</v>
      </c>
      <c r="Y74" s="108"/>
      <c r="Z74" s="183"/>
      <c r="AA74" s="108"/>
      <c r="AB74" s="259"/>
      <c r="AC74" s="253"/>
      <c r="AD74" s="597" t="s">
        <v>127</v>
      </c>
      <c r="AE74" s="567">
        <f>AE72*AE73</f>
        <v>0</v>
      </c>
      <c r="AF74" s="108"/>
      <c r="AG74" s="183"/>
      <c r="AH74" s="108"/>
      <c r="AI74" s="259"/>
    </row>
    <row r="75" spans="2:35" ht="15">
      <c r="B75" s="195"/>
      <c r="C75" s="196"/>
      <c r="D75" s="108"/>
      <c r="E75" s="108"/>
      <c r="F75" s="183"/>
      <c r="G75" s="260"/>
      <c r="H75" s="253"/>
      <c r="I75" s="249"/>
      <c r="J75" s="196"/>
      <c r="K75" s="108"/>
      <c r="L75" s="108"/>
      <c r="M75" s="183"/>
      <c r="N75" s="260"/>
      <c r="O75" s="253"/>
      <c r="P75" s="249"/>
      <c r="Q75" s="196"/>
      <c r="R75" s="108"/>
      <c r="S75" s="108"/>
      <c r="T75" s="183"/>
      <c r="U75" s="260"/>
      <c r="V75" s="253"/>
      <c r="W75" s="249"/>
      <c r="X75" s="196"/>
      <c r="Y75" s="108"/>
      <c r="Z75" s="108"/>
      <c r="AA75" s="183"/>
      <c r="AB75" s="260"/>
      <c r="AC75" s="253"/>
      <c r="AD75" s="249"/>
      <c r="AE75" s="196"/>
      <c r="AF75" s="108"/>
      <c r="AG75" s="108"/>
      <c r="AH75" s="183"/>
      <c r="AI75" s="260"/>
    </row>
    <row r="76" spans="2:35" ht="15.75" thickBot="1">
      <c r="B76" s="195"/>
      <c r="C76" s="196"/>
      <c r="D76" s="108"/>
      <c r="E76" s="108"/>
      <c r="F76" s="183"/>
      <c r="G76" s="260"/>
      <c r="H76" s="253"/>
      <c r="I76" s="249"/>
      <c r="J76" s="196"/>
      <c r="K76" s="108"/>
      <c r="L76" s="108"/>
      <c r="M76" s="183"/>
      <c r="N76" s="260"/>
      <c r="O76" s="253"/>
      <c r="P76" s="249"/>
      <c r="Q76" s="196"/>
      <c r="R76" s="108"/>
      <c r="S76" s="108"/>
      <c r="T76" s="183"/>
      <c r="U76" s="260"/>
      <c r="V76" s="253"/>
      <c r="W76" s="249"/>
      <c r="X76" s="196"/>
      <c r="Y76" s="108"/>
      <c r="Z76" s="108"/>
      <c r="AA76" s="183"/>
      <c r="AB76" s="260"/>
      <c r="AC76" s="253"/>
      <c r="AD76" s="249"/>
      <c r="AE76" s="196"/>
      <c r="AF76" s="108"/>
      <c r="AG76" s="108"/>
      <c r="AH76" s="183"/>
      <c r="AI76" s="260"/>
    </row>
    <row r="77" spans="2:35" ht="13.5" thickBot="1">
      <c r="B77" s="1087" t="s">
        <v>128</v>
      </c>
      <c r="C77" s="1088"/>
      <c r="D77" s="108"/>
      <c r="E77" s="108"/>
      <c r="F77" s="183"/>
      <c r="G77" s="258"/>
      <c r="H77" s="253"/>
      <c r="I77" s="1101" t="s">
        <v>128</v>
      </c>
      <c r="J77" s="1088"/>
      <c r="K77" s="108"/>
      <c r="L77" s="108"/>
      <c r="M77" s="183"/>
      <c r="N77" s="258"/>
      <c r="O77" s="253"/>
      <c r="P77" s="1101" t="s">
        <v>128</v>
      </c>
      <c r="Q77" s="1088"/>
      <c r="R77" s="108"/>
      <c r="S77" s="108"/>
      <c r="T77" s="183"/>
      <c r="U77" s="258"/>
      <c r="V77" s="253"/>
      <c r="W77" s="1101" t="s">
        <v>128</v>
      </c>
      <c r="X77" s="1088"/>
      <c r="Y77" s="108"/>
      <c r="Z77" s="108"/>
      <c r="AA77" s="183"/>
      <c r="AB77" s="258"/>
      <c r="AC77" s="253"/>
      <c r="AD77" s="1101" t="s">
        <v>128</v>
      </c>
      <c r="AE77" s="1088"/>
      <c r="AF77" s="108"/>
      <c r="AG77" s="108"/>
      <c r="AH77" s="183"/>
      <c r="AI77" s="258"/>
    </row>
    <row r="78" spans="2:35" ht="12.75">
      <c r="B78" s="591" t="s">
        <v>129</v>
      </c>
      <c r="C78" s="565">
        <f>E66</f>
        <v>0</v>
      </c>
      <c r="D78" s="108"/>
      <c r="E78" s="108"/>
      <c r="F78" s="183"/>
      <c r="G78" s="259"/>
      <c r="H78" s="253"/>
      <c r="I78" s="595" t="s">
        <v>129</v>
      </c>
      <c r="J78" s="565">
        <f>L66</f>
        <v>0</v>
      </c>
      <c r="K78" s="108"/>
      <c r="L78" s="108"/>
      <c r="M78" s="183"/>
      <c r="N78" s="259"/>
      <c r="O78" s="253"/>
      <c r="P78" s="595" t="s">
        <v>129</v>
      </c>
      <c r="Q78" s="565">
        <f>S66</f>
        <v>0</v>
      </c>
      <c r="R78" s="108"/>
      <c r="S78" s="108"/>
      <c r="T78" s="183"/>
      <c r="U78" s="259"/>
      <c r="V78" s="253"/>
      <c r="W78" s="595" t="s">
        <v>129</v>
      </c>
      <c r="X78" s="565">
        <f>Z66</f>
        <v>0</v>
      </c>
      <c r="Y78" s="108"/>
      <c r="Z78" s="108"/>
      <c r="AA78" s="183"/>
      <c r="AB78" s="259"/>
      <c r="AC78" s="253"/>
      <c r="AD78" s="595" t="s">
        <v>129</v>
      </c>
      <c r="AE78" s="565">
        <f>AG66</f>
        <v>0</v>
      </c>
      <c r="AF78" s="108"/>
      <c r="AG78" s="108"/>
      <c r="AH78" s="183"/>
      <c r="AI78" s="259"/>
    </row>
    <row r="79" spans="2:35" ht="13.5" thickBot="1">
      <c r="B79" s="592" t="s">
        <v>130</v>
      </c>
      <c r="C79" s="566">
        <f>C14</f>
        <v>1643.01</v>
      </c>
      <c r="D79" s="108"/>
      <c r="E79" s="108"/>
      <c r="F79" s="108"/>
      <c r="G79" s="259"/>
      <c r="H79" s="253"/>
      <c r="I79" s="596" t="s">
        <v>130</v>
      </c>
      <c r="J79" s="566">
        <f>J14</f>
        <v>1643.01</v>
      </c>
      <c r="K79" s="108"/>
      <c r="L79" s="108"/>
      <c r="M79" s="108"/>
      <c r="N79" s="259"/>
      <c r="O79" s="253"/>
      <c r="P79" s="596" t="s">
        <v>130</v>
      </c>
      <c r="Q79" s="566">
        <f>Q14</f>
        <v>1643.01</v>
      </c>
      <c r="R79" s="108"/>
      <c r="S79" s="108"/>
      <c r="T79" s="108"/>
      <c r="U79" s="259"/>
      <c r="V79" s="253"/>
      <c r="W79" s="596" t="s">
        <v>130</v>
      </c>
      <c r="X79" s="566">
        <f>X14</f>
        <v>1643.01</v>
      </c>
      <c r="Y79" s="108"/>
      <c r="Z79" s="108"/>
      <c r="AA79" s="108"/>
      <c r="AB79" s="259"/>
      <c r="AC79" s="253"/>
      <c r="AD79" s="596" t="s">
        <v>130</v>
      </c>
      <c r="AE79" s="566">
        <f>AE14</f>
        <v>1643.01</v>
      </c>
      <c r="AF79" s="108"/>
      <c r="AG79" s="108"/>
      <c r="AH79" s="108"/>
      <c r="AI79" s="259"/>
    </row>
    <row r="80" spans="2:35" ht="15.75" thickBot="1">
      <c r="B80" s="560" t="s">
        <v>131</v>
      </c>
      <c r="C80" s="567">
        <f>C78*C79</f>
        <v>0</v>
      </c>
      <c r="D80" s="108"/>
      <c r="E80" s="108"/>
      <c r="F80" s="108"/>
      <c r="G80" s="259"/>
      <c r="H80" s="253"/>
      <c r="I80" s="597" t="s">
        <v>131</v>
      </c>
      <c r="J80" s="567">
        <f>J78*J79</f>
        <v>0</v>
      </c>
      <c r="K80" s="108"/>
      <c r="L80" s="108"/>
      <c r="M80" s="108"/>
      <c r="N80" s="259"/>
      <c r="O80" s="253"/>
      <c r="P80" s="597" t="s">
        <v>131</v>
      </c>
      <c r="Q80" s="567">
        <f>Q78*Q79</f>
        <v>0</v>
      </c>
      <c r="R80" s="108"/>
      <c r="S80" s="108"/>
      <c r="T80" s="108"/>
      <c r="U80" s="259"/>
      <c r="V80" s="253"/>
      <c r="W80" s="597" t="s">
        <v>131</v>
      </c>
      <c r="X80" s="567">
        <f>X78*X79</f>
        <v>0</v>
      </c>
      <c r="Y80" s="108"/>
      <c r="Z80" s="108"/>
      <c r="AA80" s="108"/>
      <c r="AB80" s="259"/>
      <c r="AC80" s="253"/>
      <c r="AD80" s="597" t="s">
        <v>131</v>
      </c>
      <c r="AE80" s="567">
        <f>AE78*AE79</f>
        <v>0</v>
      </c>
      <c r="AF80" s="108"/>
      <c r="AG80" s="108"/>
      <c r="AH80" s="108"/>
      <c r="AI80" s="259"/>
    </row>
    <row r="81" spans="2:35" ht="12.75">
      <c r="B81" s="197"/>
      <c r="C81" s="188"/>
      <c r="D81" s="188"/>
      <c r="E81" s="180"/>
      <c r="F81" s="192"/>
      <c r="G81" s="259"/>
      <c r="H81" s="253"/>
      <c r="I81" s="188"/>
      <c r="J81" s="188"/>
      <c r="K81" s="188"/>
      <c r="L81" s="180"/>
      <c r="M81" s="192"/>
      <c r="N81" s="259"/>
      <c r="O81" s="253"/>
      <c r="P81" s="188"/>
      <c r="Q81" s="188"/>
      <c r="R81" s="188"/>
      <c r="S81" s="180"/>
      <c r="T81" s="192"/>
      <c r="U81" s="259"/>
      <c r="V81" s="253"/>
      <c r="W81" s="188"/>
      <c r="X81" s="188"/>
      <c r="Y81" s="188"/>
      <c r="Z81" s="180"/>
      <c r="AA81" s="192"/>
      <c r="AB81" s="259"/>
      <c r="AC81" s="253"/>
      <c r="AD81" s="188"/>
      <c r="AE81" s="188"/>
      <c r="AF81" s="188"/>
      <c r="AG81" s="180"/>
      <c r="AH81" s="192"/>
      <c r="AI81" s="259"/>
    </row>
    <row r="82" spans="2:35" ht="13.5" thickBot="1">
      <c r="B82" s="197"/>
      <c r="C82" s="188"/>
      <c r="D82" s="188"/>
      <c r="E82" s="180"/>
      <c r="F82" s="192"/>
      <c r="G82" s="259"/>
      <c r="H82" s="253"/>
      <c r="I82" s="188"/>
      <c r="J82" s="188"/>
      <c r="K82" s="188"/>
      <c r="L82" s="180"/>
      <c r="M82" s="192"/>
      <c r="N82" s="259"/>
      <c r="O82" s="253"/>
      <c r="P82" s="188"/>
      <c r="Q82" s="188"/>
      <c r="R82" s="188"/>
      <c r="S82" s="180"/>
      <c r="T82" s="192"/>
      <c r="U82" s="259"/>
      <c r="V82" s="253"/>
      <c r="W82" s="188"/>
      <c r="X82" s="188"/>
      <c r="Y82" s="188"/>
      <c r="Z82" s="180"/>
      <c r="AA82" s="192"/>
      <c r="AB82" s="259"/>
      <c r="AC82" s="253"/>
      <c r="AD82" s="188"/>
      <c r="AE82" s="188"/>
      <c r="AF82" s="188"/>
      <c r="AG82" s="180"/>
      <c r="AH82" s="192"/>
      <c r="AI82" s="259"/>
    </row>
    <row r="83" spans="2:35" ht="13.5" thickBot="1">
      <c r="B83" s="1087" t="s">
        <v>132</v>
      </c>
      <c r="C83" s="1088"/>
      <c r="D83" s="188"/>
      <c r="E83" s="180"/>
      <c r="F83" s="192"/>
      <c r="G83" s="259"/>
      <c r="H83" s="253"/>
      <c r="I83" s="1101" t="s">
        <v>132</v>
      </c>
      <c r="J83" s="1088"/>
      <c r="K83" s="188"/>
      <c r="L83" s="180"/>
      <c r="M83" s="192"/>
      <c r="N83" s="259"/>
      <c r="O83" s="253"/>
      <c r="P83" s="1101" t="s">
        <v>132</v>
      </c>
      <c r="Q83" s="1088"/>
      <c r="R83" s="188"/>
      <c r="S83" s="180"/>
      <c r="T83" s="192"/>
      <c r="U83" s="259"/>
      <c r="V83" s="253"/>
      <c r="W83" s="1101" t="s">
        <v>132</v>
      </c>
      <c r="X83" s="1088"/>
      <c r="Y83" s="188"/>
      <c r="Z83" s="180"/>
      <c r="AA83" s="192"/>
      <c r="AB83" s="259"/>
      <c r="AC83" s="253"/>
      <c r="AD83" s="1101" t="s">
        <v>132</v>
      </c>
      <c r="AE83" s="1088"/>
      <c r="AF83" s="188"/>
      <c r="AG83" s="180"/>
      <c r="AH83" s="192"/>
      <c r="AI83" s="259"/>
    </row>
    <row r="84" spans="2:35" ht="12.75">
      <c r="B84" s="591" t="s">
        <v>127</v>
      </c>
      <c r="C84" s="569">
        <f>C74</f>
        <v>0</v>
      </c>
      <c r="D84" s="188"/>
      <c r="E84" s="180"/>
      <c r="F84" s="192"/>
      <c r="G84" s="259"/>
      <c r="H84" s="253"/>
      <c r="I84" s="595" t="s">
        <v>127</v>
      </c>
      <c r="J84" s="569">
        <f>J74</f>
        <v>0</v>
      </c>
      <c r="K84" s="188"/>
      <c r="L84" s="180"/>
      <c r="M84" s="192"/>
      <c r="N84" s="259"/>
      <c r="O84" s="253"/>
      <c r="P84" s="595" t="s">
        <v>127</v>
      </c>
      <c r="Q84" s="569">
        <f>Q74</f>
        <v>0</v>
      </c>
      <c r="R84" s="188"/>
      <c r="S84" s="180"/>
      <c r="T84" s="192"/>
      <c r="U84" s="259"/>
      <c r="V84" s="253"/>
      <c r="W84" s="595" t="s">
        <v>127</v>
      </c>
      <c r="X84" s="569">
        <f>X74</f>
        <v>0</v>
      </c>
      <c r="Y84" s="188"/>
      <c r="Z84" s="180"/>
      <c r="AA84" s="192"/>
      <c r="AB84" s="259"/>
      <c r="AC84" s="253"/>
      <c r="AD84" s="595" t="s">
        <v>127</v>
      </c>
      <c r="AE84" s="569">
        <f>AE74</f>
        <v>0</v>
      </c>
      <c r="AF84" s="188"/>
      <c r="AG84" s="180"/>
      <c r="AH84" s="192"/>
      <c r="AI84" s="259"/>
    </row>
    <row r="85" spans="2:35" ht="13.5" thickBot="1">
      <c r="B85" s="591" t="s">
        <v>131</v>
      </c>
      <c r="C85" s="570">
        <f>C80</f>
        <v>0</v>
      </c>
      <c r="D85" s="188"/>
      <c r="E85" s="180"/>
      <c r="F85" s="192"/>
      <c r="G85" s="259"/>
      <c r="H85" s="253"/>
      <c r="I85" s="595" t="s">
        <v>131</v>
      </c>
      <c r="J85" s="570">
        <f>J80</f>
        <v>0</v>
      </c>
      <c r="K85" s="188"/>
      <c r="L85" s="180"/>
      <c r="M85" s="192"/>
      <c r="N85" s="259"/>
      <c r="O85" s="253"/>
      <c r="P85" s="595" t="s">
        <v>131</v>
      </c>
      <c r="Q85" s="570">
        <f>Q80</f>
        <v>0</v>
      </c>
      <c r="R85" s="188"/>
      <c r="S85" s="180"/>
      <c r="T85" s="192"/>
      <c r="U85" s="259"/>
      <c r="V85" s="253"/>
      <c r="W85" s="595" t="s">
        <v>131</v>
      </c>
      <c r="X85" s="570">
        <f>X80</f>
        <v>0</v>
      </c>
      <c r="Y85" s="188"/>
      <c r="Z85" s="180"/>
      <c r="AA85" s="192"/>
      <c r="AB85" s="259"/>
      <c r="AC85" s="253"/>
      <c r="AD85" s="595" t="s">
        <v>131</v>
      </c>
      <c r="AE85" s="570">
        <f>AE80</f>
        <v>0</v>
      </c>
      <c r="AF85" s="188"/>
      <c r="AG85" s="180"/>
      <c r="AH85" s="192"/>
      <c r="AI85" s="259"/>
    </row>
    <row r="86" spans="2:35" ht="15.75" thickBot="1">
      <c r="B86" s="560" t="s">
        <v>133</v>
      </c>
      <c r="C86" s="567">
        <f>C84+C85</f>
        <v>0</v>
      </c>
      <c r="D86" s="188"/>
      <c r="E86" s="180"/>
      <c r="F86" s="192"/>
      <c r="G86" s="259"/>
      <c r="H86" s="253"/>
      <c r="I86" s="597" t="s">
        <v>133</v>
      </c>
      <c r="J86" s="567">
        <f>J84+J85</f>
        <v>0</v>
      </c>
      <c r="K86" s="188"/>
      <c r="L86" s="180"/>
      <c r="M86" s="192"/>
      <c r="N86" s="259"/>
      <c r="O86" s="253"/>
      <c r="P86" s="597" t="s">
        <v>133</v>
      </c>
      <c r="Q86" s="567">
        <f>Q84+Q85</f>
        <v>0</v>
      </c>
      <c r="R86" s="188"/>
      <c r="S86" s="180"/>
      <c r="T86" s="192"/>
      <c r="U86" s="259"/>
      <c r="V86" s="253"/>
      <c r="W86" s="597" t="s">
        <v>133</v>
      </c>
      <c r="X86" s="567">
        <f>X84+X85</f>
        <v>0</v>
      </c>
      <c r="Y86" s="188"/>
      <c r="Z86" s="180"/>
      <c r="AA86" s="192"/>
      <c r="AB86" s="259"/>
      <c r="AC86" s="253"/>
      <c r="AD86" s="597" t="s">
        <v>133</v>
      </c>
      <c r="AE86" s="567">
        <f>AE84+AE85</f>
        <v>0</v>
      </c>
      <c r="AF86" s="188"/>
      <c r="AG86" s="180"/>
      <c r="AH86" s="192"/>
      <c r="AI86" s="259"/>
    </row>
    <row r="87" spans="2:35" ht="12.75">
      <c r="B87" s="197"/>
      <c r="C87" s="188"/>
      <c r="D87" s="188"/>
      <c r="E87" s="180"/>
      <c r="F87" s="192"/>
      <c r="G87" s="259"/>
      <c r="H87" s="253"/>
      <c r="I87" s="188"/>
      <c r="J87" s="188"/>
      <c r="K87" s="188"/>
      <c r="L87" s="180"/>
      <c r="M87" s="192"/>
      <c r="N87" s="259"/>
      <c r="O87" s="253"/>
      <c r="P87" s="188"/>
      <c r="Q87" s="188"/>
      <c r="R87" s="188"/>
      <c r="S87" s="180"/>
      <c r="T87" s="192"/>
      <c r="U87" s="259"/>
      <c r="V87" s="253"/>
      <c r="W87" s="188"/>
      <c r="X87" s="188"/>
      <c r="Y87" s="188"/>
      <c r="Z87" s="180"/>
      <c r="AA87" s="192"/>
      <c r="AB87" s="259"/>
      <c r="AC87" s="253"/>
      <c r="AD87" s="188"/>
      <c r="AE87" s="188"/>
      <c r="AF87" s="188"/>
      <c r="AG87" s="180"/>
      <c r="AH87" s="192"/>
      <c r="AI87" s="259"/>
    </row>
    <row r="88" spans="2:35" ht="12.75">
      <c r="B88" s="197"/>
      <c r="C88" s="188"/>
      <c r="D88" s="188"/>
      <c r="E88" s="180"/>
      <c r="F88" s="192"/>
      <c r="G88" s="259"/>
      <c r="H88" s="253"/>
      <c r="I88" s="188"/>
      <c r="J88" s="188"/>
      <c r="K88" s="188"/>
      <c r="L88" s="180"/>
      <c r="M88" s="192"/>
      <c r="N88" s="259"/>
      <c r="O88" s="253"/>
      <c r="P88" s="188"/>
      <c r="Q88" s="188"/>
      <c r="R88" s="188"/>
      <c r="S88" s="180"/>
      <c r="T88" s="192"/>
      <c r="U88" s="259"/>
      <c r="V88" s="253"/>
      <c r="W88" s="188"/>
      <c r="X88" s="188"/>
      <c r="Y88" s="188"/>
      <c r="Z88" s="180"/>
      <c r="AA88" s="192"/>
      <c r="AB88" s="259"/>
      <c r="AC88" s="253"/>
      <c r="AD88" s="188"/>
      <c r="AE88" s="188"/>
      <c r="AF88" s="188"/>
      <c r="AG88" s="180"/>
      <c r="AH88" s="192"/>
      <c r="AI88" s="259"/>
    </row>
    <row r="89" spans="2:35" ht="12.75">
      <c r="B89" s="197"/>
      <c r="C89" s="188"/>
      <c r="D89" s="188"/>
      <c r="E89" s="180"/>
      <c r="F89" s="192"/>
      <c r="G89" s="259"/>
      <c r="H89" s="253"/>
      <c r="I89" s="188"/>
      <c r="J89" s="188"/>
      <c r="K89" s="188"/>
      <c r="L89" s="180"/>
      <c r="M89" s="192"/>
      <c r="N89" s="259"/>
      <c r="O89" s="253"/>
      <c r="P89" s="188"/>
      <c r="Q89" s="188"/>
      <c r="R89" s="188"/>
      <c r="S89" s="180"/>
      <c r="T89" s="192"/>
      <c r="U89" s="259"/>
      <c r="V89" s="253"/>
      <c r="W89" s="188"/>
      <c r="X89" s="188"/>
      <c r="Y89" s="188"/>
      <c r="Z89" s="180"/>
      <c r="AA89" s="192"/>
      <c r="AB89" s="259"/>
      <c r="AC89" s="253"/>
      <c r="AD89" s="188"/>
      <c r="AE89" s="188"/>
      <c r="AF89" s="188"/>
      <c r="AG89" s="180"/>
      <c r="AH89" s="192"/>
      <c r="AI89" s="259"/>
    </row>
    <row r="90" spans="2:35" ht="13.5" thickBot="1">
      <c r="B90" s="197"/>
      <c r="C90" s="188"/>
      <c r="D90" s="188"/>
      <c r="E90" s="180"/>
      <c r="F90" s="192"/>
      <c r="G90" s="259"/>
      <c r="H90" s="253"/>
      <c r="I90" s="188"/>
      <c r="J90" s="188"/>
      <c r="K90" s="188"/>
      <c r="L90" s="180"/>
      <c r="M90" s="192"/>
      <c r="N90" s="259"/>
      <c r="O90" s="253"/>
      <c r="P90" s="188"/>
      <c r="Q90" s="188"/>
      <c r="R90" s="188"/>
      <c r="S90" s="180"/>
      <c r="T90" s="192"/>
      <c r="U90" s="259"/>
      <c r="V90" s="253"/>
      <c r="W90" s="188"/>
      <c r="X90" s="188"/>
      <c r="Y90" s="188"/>
      <c r="Z90" s="180"/>
      <c r="AA90" s="192"/>
      <c r="AB90" s="259"/>
      <c r="AC90" s="253"/>
      <c r="AD90" s="188"/>
      <c r="AE90" s="188"/>
      <c r="AF90" s="188"/>
      <c r="AG90" s="180"/>
      <c r="AH90" s="192"/>
      <c r="AI90" s="259"/>
    </row>
    <row r="91" spans="2:35" ht="16.5" customHeight="1" thickBot="1">
      <c r="B91" s="1089" t="s">
        <v>307</v>
      </c>
      <c r="C91" s="1090"/>
      <c r="D91" s="1090"/>
      <c r="E91" s="1090"/>
      <c r="F91" s="1091"/>
      <c r="G91" s="690"/>
      <c r="H91" s="691"/>
      <c r="I91" s="1089" t="s">
        <v>307</v>
      </c>
      <c r="J91" s="1090"/>
      <c r="K91" s="1090"/>
      <c r="L91" s="1090"/>
      <c r="M91" s="1091"/>
      <c r="N91" s="259"/>
      <c r="O91" s="253"/>
      <c r="P91" s="1089" t="s">
        <v>307</v>
      </c>
      <c r="Q91" s="1090"/>
      <c r="R91" s="1090"/>
      <c r="S91" s="1090"/>
      <c r="T91" s="1091"/>
      <c r="U91" s="259"/>
      <c r="V91" s="253"/>
      <c r="W91" s="1089" t="s">
        <v>307</v>
      </c>
      <c r="X91" s="1090"/>
      <c r="Y91" s="1090"/>
      <c r="Z91" s="1090"/>
      <c r="AA91" s="1091"/>
      <c r="AB91" s="259"/>
      <c r="AC91" s="253"/>
      <c r="AD91" s="1089" t="s">
        <v>307</v>
      </c>
      <c r="AE91" s="1090"/>
      <c r="AF91" s="1090"/>
      <c r="AG91" s="1090"/>
      <c r="AH91" s="1091"/>
      <c r="AI91" s="259"/>
    </row>
    <row r="92" spans="2:35" ht="34.5" customHeight="1" thickBot="1">
      <c r="B92" s="1092" t="s">
        <v>539</v>
      </c>
      <c r="C92" s="1093"/>
      <c r="D92" s="1093"/>
      <c r="E92" s="1093"/>
      <c r="F92" s="1094"/>
      <c r="G92" s="692"/>
      <c r="H92" s="693"/>
      <c r="I92" s="1092" t="s">
        <v>540</v>
      </c>
      <c r="J92" s="1093"/>
      <c r="K92" s="1093"/>
      <c r="L92" s="1093"/>
      <c r="M92" s="1094"/>
      <c r="N92" s="259"/>
      <c r="O92" s="253"/>
      <c r="P92" s="1084" t="s">
        <v>329</v>
      </c>
      <c r="Q92" s="1085"/>
      <c r="R92" s="1085"/>
      <c r="S92" s="1085"/>
      <c r="T92" s="1086"/>
      <c r="U92" s="259"/>
      <c r="V92" s="253"/>
      <c r="W92" s="1084" t="s">
        <v>329</v>
      </c>
      <c r="X92" s="1085"/>
      <c r="Y92" s="1085"/>
      <c r="Z92" s="1085"/>
      <c r="AA92" s="1086"/>
      <c r="AB92" s="259"/>
      <c r="AC92" s="253"/>
      <c r="AD92" s="1084" t="s">
        <v>329</v>
      </c>
      <c r="AE92" s="1085"/>
      <c r="AF92" s="1085"/>
      <c r="AG92" s="1085"/>
      <c r="AH92" s="1086"/>
      <c r="AI92" s="259"/>
    </row>
    <row r="93" spans="2:35" ht="16.5" thickBot="1">
      <c r="B93" s="176"/>
      <c r="C93" s="177"/>
      <c r="D93" s="177"/>
      <c r="E93" s="175"/>
      <c r="F93" s="464"/>
      <c r="G93" s="694"/>
      <c r="H93" s="695"/>
      <c r="I93" s="176"/>
      <c r="J93" s="177"/>
      <c r="K93" s="177"/>
      <c r="L93" s="175"/>
      <c r="M93" s="175"/>
      <c r="N93" s="259"/>
      <c r="O93" s="253"/>
      <c r="P93" s="176"/>
      <c r="Q93" s="177"/>
      <c r="R93" s="177"/>
      <c r="S93" s="175"/>
      <c r="T93" s="175"/>
      <c r="U93" s="259"/>
      <c r="V93" s="253"/>
      <c r="W93" s="176"/>
      <c r="X93" s="177"/>
      <c r="Y93" s="177"/>
      <c r="Z93" s="175"/>
      <c r="AA93" s="175"/>
      <c r="AB93" s="259"/>
      <c r="AC93" s="253"/>
      <c r="AD93" s="176"/>
      <c r="AE93" s="177"/>
      <c r="AF93" s="177"/>
      <c r="AG93" s="175"/>
      <c r="AH93" s="175"/>
      <c r="AI93" s="259"/>
    </row>
    <row r="94" spans="2:35" ht="26.25" thickBot="1">
      <c r="B94" s="511" t="s">
        <v>104</v>
      </c>
      <c r="C94" s="601" t="s">
        <v>105</v>
      </c>
      <c r="D94" s="602" t="s">
        <v>136</v>
      </c>
      <c r="E94" s="511" t="s">
        <v>394</v>
      </c>
      <c r="F94" s="593" t="s">
        <v>39</v>
      </c>
      <c r="G94" s="696"/>
      <c r="H94" s="697"/>
      <c r="I94" s="511" t="s">
        <v>104</v>
      </c>
      <c r="J94" s="601" t="s">
        <v>105</v>
      </c>
      <c r="K94" s="653" t="s">
        <v>136</v>
      </c>
      <c r="L94" s="511" t="s">
        <v>394</v>
      </c>
      <c r="M94" s="593" t="s">
        <v>39</v>
      </c>
      <c r="N94" s="259"/>
      <c r="O94" s="253"/>
      <c r="P94" s="511" t="s">
        <v>104</v>
      </c>
      <c r="Q94" s="601" t="s">
        <v>105</v>
      </c>
      <c r="R94" s="602" t="s">
        <v>106</v>
      </c>
      <c r="S94" s="511" t="s">
        <v>107</v>
      </c>
      <c r="T94" s="97"/>
      <c r="U94" s="259"/>
      <c r="V94" s="253"/>
      <c r="W94" s="511" t="s">
        <v>104</v>
      </c>
      <c r="X94" s="601" t="s">
        <v>105</v>
      </c>
      <c r="Y94" s="602" t="s">
        <v>106</v>
      </c>
      <c r="Z94" s="511" t="s">
        <v>107</v>
      </c>
      <c r="AA94" s="97"/>
      <c r="AB94" s="259"/>
      <c r="AC94" s="253"/>
      <c r="AD94" s="511" t="s">
        <v>104</v>
      </c>
      <c r="AE94" s="601" t="s">
        <v>105</v>
      </c>
      <c r="AF94" s="602" t="s">
        <v>106</v>
      </c>
      <c r="AG94" s="511" t="s">
        <v>107</v>
      </c>
      <c r="AH94" s="97"/>
      <c r="AI94" s="259"/>
    </row>
    <row r="95" spans="2:35" ht="12.75">
      <c r="B95" s="556">
        <v>6</v>
      </c>
      <c r="C95" s="179"/>
      <c r="D95" s="181"/>
      <c r="E95" s="897"/>
      <c r="F95" s="571">
        <f>SUM(C95:E95)</f>
        <v>0</v>
      </c>
      <c r="G95" s="698"/>
      <c r="H95" s="699"/>
      <c r="I95" s="556">
        <v>6</v>
      </c>
      <c r="J95" s="179"/>
      <c r="K95" s="181"/>
      <c r="L95" s="899"/>
      <c r="M95" s="571">
        <f>SUM(J95:L95)</f>
        <v>0</v>
      </c>
      <c r="N95" s="259"/>
      <c r="O95" s="253"/>
      <c r="P95" s="556">
        <v>6</v>
      </c>
      <c r="Q95" s="604" t="s">
        <v>229</v>
      </c>
      <c r="R95" s="604" t="s">
        <v>229</v>
      </c>
      <c r="S95" s="604" t="s">
        <v>229</v>
      </c>
      <c r="T95" s="97"/>
      <c r="U95" s="259"/>
      <c r="V95" s="253"/>
      <c r="W95" s="556">
        <v>6</v>
      </c>
      <c r="X95" s="604" t="s">
        <v>229</v>
      </c>
      <c r="Y95" s="604" t="s">
        <v>229</v>
      </c>
      <c r="Z95" s="604" t="s">
        <v>229</v>
      </c>
      <c r="AA95" s="97"/>
      <c r="AB95" s="259"/>
      <c r="AC95" s="253"/>
      <c r="AD95" s="556">
        <v>6</v>
      </c>
      <c r="AE95" s="604" t="s">
        <v>229</v>
      </c>
      <c r="AF95" s="604" t="s">
        <v>229</v>
      </c>
      <c r="AG95" s="604" t="s">
        <v>229</v>
      </c>
      <c r="AH95" s="97"/>
      <c r="AI95" s="259"/>
    </row>
    <row r="96" spans="2:35" ht="12.75">
      <c r="B96" s="556">
        <v>7</v>
      </c>
      <c r="C96" s="179"/>
      <c r="D96" s="181"/>
      <c r="E96" s="897"/>
      <c r="F96" s="571">
        <f>SUM(C96:E96)</f>
        <v>0</v>
      </c>
      <c r="G96" s="698"/>
      <c r="H96" s="699"/>
      <c r="I96" s="556">
        <v>7</v>
      </c>
      <c r="J96" s="179"/>
      <c r="K96" s="181"/>
      <c r="L96" s="899"/>
      <c r="M96" s="571">
        <f>SUM(J96:L96)</f>
        <v>0</v>
      </c>
      <c r="N96" s="259"/>
      <c r="O96" s="253"/>
      <c r="P96" s="556">
        <v>7</v>
      </c>
      <c r="Q96" s="604" t="s">
        <v>229</v>
      </c>
      <c r="R96" s="604" t="s">
        <v>229</v>
      </c>
      <c r="S96" s="604" t="s">
        <v>229</v>
      </c>
      <c r="T96" s="97"/>
      <c r="U96" s="259"/>
      <c r="V96" s="253"/>
      <c r="W96" s="556">
        <v>7</v>
      </c>
      <c r="X96" s="604" t="s">
        <v>229</v>
      </c>
      <c r="Y96" s="604" t="s">
        <v>229</v>
      </c>
      <c r="Z96" s="604" t="s">
        <v>229</v>
      </c>
      <c r="AA96" s="97"/>
      <c r="AB96" s="259"/>
      <c r="AC96" s="253"/>
      <c r="AD96" s="556">
        <v>7</v>
      </c>
      <c r="AE96" s="604" t="s">
        <v>229</v>
      </c>
      <c r="AF96" s="604" t="s">
        <v>229</v>
      </c>
      <c r="AG96" s="604" t="s">
        <v>229</v>
      </c>
      <c r="AH96" s="97"/>
      <c r="AI96" s="259"/>
    </row>
    <row r="97" spans="2:35" ht="13.5" thickBot="1">
      <c r="B97" s="600">
        <v>8</v>
      </c>
      <c r="C97" s="179"/>
      <c r="D97" s="606"/>
      <c r="E97" s="898"/>
      <c r="F97" s="605">
        <f>SUM(C97:E97)</f>
        <v>0</v>
      </c>
      <c r="G97" s="700"/>
      <c r="H97" s="699"/>
      <c r="I97" s="600">
        <v>8</v>
      </c>
      <c r="J97" s="179"/>
      <c r="K97" s="181"/>
      <c r="L97" s="900"/>
      <c r="M97" s="605">
        <f>SUM(J97:L97)</f>
        <v>0</v>
      </c>
      <c r="N97" s="259"/>
      <c r="O97" s="253"/>
      <c r="P97" s="600">
        <v>8</v>
      </c>
      <c r="Q97" s="604" t="s">
        <v>229</v>
      </c>
      <c r="R97" s="604" t="s">
        <v>229</v>
      </c>
      <c r="S97" s="604" t="s">
        <v>229</v>
      </c>
      <c r="T97" s="97"/>
      <c r="U97" s="259"/>
      <c r="V97" s="253"/>
      <c r="W97" s="600">
        <v>8</v>
      </c>
      <c r="X97" s="604" t="s">
        <v>229</v>
      </c>
      <c r="Y97" s="604" t="s">
        <v>229</v>
      </c>
      <c r="Z97" s="604" t="s">
        <v>229</v>
      </c>
      <c r="AA97" s="97"/>
      <c r="AB97" s="259"/>
      <c r="AC97" s="253"/>
      <c r="AD97" s="600">
        <v>8</v>
      </c>
      <c r="AE97" s="604" t="s">
        <v>229</v>
      </c>
      <c r="AF97" s="604" t="s">
        <v>229</v>
      </c>
      <c r="AG97" s="604" t="s">
        <v>229</v>
      </c>
      <c r="AH97" s="97"/>
      <c r="AI97" s="259"/>
    </row>
    <row r="98" spans="2:35" ht="13.5" thickBot="1">
      <c r="B98" s="581" t="s">
        <v>326</v>
      </c>
      <c r="C98" s="562">
        <f>SUM(C95:C97)</f>
        <v>0</v>
      </c>
      <c r="D98" s="564">
        <f>SUM(D95:D97)</f>
        <v>0</v>
      </c>
      <c r="E98" s="564">
        <f>SUM(E95:E97)</f>
        <v>0</v>
      </c>
      <c r="F98" s="560">
        <f>SUM(F95:F97)</f>
        <v>0</v>
      </c>
      <c r="G98" s="696"/>
      <c r="H98" s="701"/>
      <c r="I98" s="581" t="s">
        <v>326</v>
      </c>
      <c r="J98" s="561">
        <f>SUM(J95:J97)</f>
        <v>0</v>
      </c>
      <c r="K98" s="562">
        <f>SUM(K95:K97)</f>
        <v>0</v>
      </c>
      <c r="L98" s="564">
        <f>SUM(L95:L97)</f>
        <v>0</v>
      </c>
      <c r="M98" s="560">
        <f>SUM(M95:M97)</f>
        <v>0</v>
      </c>
      <c r="N98" s="259"/>
      <c r="O98" s="253"/>
      <c r="P98" s="581" t="s">
        <v>326</v>
      </c>
      <c r="Q98" s="561">
        <f>SUM(Q95:Q97)</f>
        <v>0</v>
      </c>
      <c r="R98" s="562">
        <f>SUM(R95:R97)</f>
        <v>0</v>
      </c>
      <c r="S98" s="564">
        <f>SUM(S95:S97)</f>
        <v>0</v>
      </c>
      <c r="T98" s="97"/>
      <c r="U98" s="259"/>
      <c r="V98" s="253"/>
      <c r="W98" s="581" t="s">
        <v>326</v>
      </c>
      <c r="X98" s="561">
        <f>SUM(X95:X97)</f>
        <v>0</v>
      </c>
      <c r="Y98" s="562">
        <f>SUM(Y95:Y97)</f>
        <v>0</v>
      </c>
      <c r="Z98" s="564">
        <f>SUM(Z95:Z97)</f>
        <v>0</v>
      </c>
      <c r="AA98" s="97"/>
      <c r="AB98" s="259"/>
      <c r="AC98" s="253"/>
      <c r="AD98" s="581" t="s">
        <v>326</v>
      </c>
      <c r="AE98" s="561">
        <f>SUM(AE95:AE97)</f>
        <v>0</v>
      </c>
      <c r="AF98" s="562">
        <f>SUM(AF95:AF97)</f>
        <v>0</v>
      </c>
      <c r="AG98" s="564">
        <f>SUM(AG95:AG97)</f>
        <v>0</v>
      </c>
      <c r="AH98" s="97"/>
      <c r="AI98" s="259"/>
    </row>
    <row r="99" spans="2:35" ht="13.5" thickBot="1">
      <c r="B99" s="582" t="s">
        <v>110</v>
      </c>
      <c r="C99" s="563">
        <v>1</v>
      </c>
      <c r="D99" s="659">
        <v>0.7</v>
      </c>
      <c r="E99" s="660">
        <v>0.4</v>
      </c>
      <c r="F99" s="194"/>
      <c r="G99" s="696"/>
      <c r="H99" s="702"/>
      <c r="I99" s="582" t="s">
        <v>110</v>
      </c>
      <c r="J99" s="563">
        <v>1</v>
      </c>
      <c r="K99" s="659">
        <v>0.7</v>
      </c>
      <c r="L99" s="660">
        <v>0.4</v>
      </c>
      <c r="M99" s="194"/>
      <c r="N99" s="259"/>
      <c r="O99" s="253"/>
      <c r="P99" s="582" t="s">
        <v>110</v>
      </c>
      <c r="Q99" s="563">
        <v>1</v>
      </c>
      <c r="R99" s="563">
        <v>0.4</v>
      </c>
      <c r="S99" s="166"/>
      <c r="T99" s="97"/>
      <c r="U99" s="259"/>
      <c r="V99" s="253"/>
      <c r="W99" s="582" t="s">
        <v>110</v>
      </c>
      <c r="X99" s="563">
        <v>1</v>
      </c>
      <c r="Y99" s="563">
        <v>0.4</v>
      </c>
      <c r="Z99" s="166"/>
      <c r="AA99" s="97"/>
      <c r="AB99" s="259"/>
      <c r="AC99" s="253"/>
      <c r="AD99" s="582" t="s">
        <v>110</v>
      </c>
      <c r="AE99" s="563">
        <v>1</v>
      </c>
      <c r="AF99" s="563">
        <v>0.4</v>
      </c>
      <c r="AG99" s="166"/>
      <c r="AH99" s="97"/>
      <c r="AI99" s="259"/>
    </row>
    <row r="100" spans="2:35" ht="13.5" thickBot="1">
      <c r="B100" s="511" t="s">
        <v>320</v>
      </c>
      <c r="C100" s="564">
        <f>C98*C99</f>
        <v>0</v>
      </c>
      <c r="D100" s="564">
        <f>D98*D99</f>
        <v>0</v>
      </c>
      <c r="E100" s="564">
        <f>E98*E99</f>
        <v>0</v>
      </c>
      <c r="F100" s="560">
        <f>SUM(C100:E100)</f>
        <v>0</v>
      </c>
      <c r="G100" s="696"/>
      <c r="H100" s="701"/>
      <c r="I100" s="511" t="s">
        <v>320</v>
      </c>
      <c r="J100" s="564">
        <f>J98*J99</f>
        <v>0</v>
      </c>
      <c r="K100" s="564">
        <f>K98*K99</f>
        <v>0</v>
      </c>
      <c r="L100" s="564">
        <f>L98*L99</f>
        <v>0</v>
      </c>
      <c r="M100" s="560">
        <f>SUM(J100:L100)</f>
        <v>0</v>
      </c>
      <c r="N100" s="259"/>
      <c r="O100" s="253"/>
      <c r="P100" s="511" t="s">
        <v>320</v>
      </c>
      <c r="Q100" s="564">
        <f>Q98*Q99</f>
        <v>0</v>
      </c>
      <c r="R100" s="564">
        <f>R98*R99</f>
        <v>0</v>
      </c>
      <c r="S100" s="560">
        <f>Q100+R100</f>
        <v>0</v>
      </c>
      <c r="T100" s="97"/>
      <c r="U100" s="259"/>
      <c r="V100" s="253"/>
      <c r="W100" s="511" t="s">
        <v>320</v>
      </c>
      <c r="X100" s="564">
        <f>X98*X99</f>
        <v>0</v>
      </c>
      <c r="Y100" s="564">
        <f>Y98*Y99</f>
        <v>0</v>
      </c>
      <c r="Z100" s="560">
        <f>X100+Y100</f>
        <v>0</v>
      </c>
      <c r="AA100" s="97"/>
      <c r="AB100" s="259"/>
      <c r="AC100" s="253"/>
      <c r="AD100" s="511" t="s">
        <v>320</v>
      </c>
      <c r="AE100" s="564">
        <f>AE98*AE99</f>
        <v>0</v>
      </c>
      <c r="AF100" s="564">
        <f>AF98*AF99</f>
        <v>0</v>
      </c>
      <c r="AG100" s="560">
        <f>AE100+AF100</f>
        <v>0</v>
      </c>
      <c r="AH100" s="97"/>
      <c r="AI100" s="259"/>
    </row>
    <row r="101" spans="2:35" ht="12.75">
      <c r="B101" s="182"/>
      <c r="C101" s="183"/>
      <c r="D101" s="108"/>
      <c r="E101" s="183"/>
      <c r="F101" s="178"/>
      <c r="G101" s="703"/>
      <c r="H101" s="704"/>
      <c r="I101" s="182"/>
      <c r="J101" s="183"/>
      <c r="K101" s="108"/>
      <c r="L101" s="183"/>
      <c r="M101" s="108"/>
      <c r="N101" s="259"/>
      <c r="O101" s="253"/>
      <c r="P101" s="182"/>
      <c r="Q101" s="183"/>
      <c r="R101" s="108"/>
      <c r="S101" s="183"/>
      <c r="T101" s="108"/>
      <c r="U101" s="259"/>
      <c r="V101" s="253"/>
      <c r="W101" s="182"/>
      <c r="X101" s="183"/>
      <c r="Y101" s="108"/>
      <c r="Z101" s="183"/>
      <c r="AA101" s="108"/>
      <c r="AB101" s="259"/>
      <c r="AC101" s="253"/>
      <c r="AD101" s="182"/>
      <c r="AE101" s="183"/>
      <c r="AF101" s="108"/>
      <c r="AG101" s="183"/>
      <c r="AH101" s="108"/>
      <c r="AI101" s="259"/>
    </row>
    <row r="102" spans="2:35" ht="13.5" thickBot="1">
      <c r="B102" s="182"/>
      <c r="C102" s="183"/>
      <c r="D102" s="108"/>
      <c r="E102" s="183"/>
      <c r="F102" s="178"/>
      <c r="G102" s="703"/>
      <c r="H102" s="704"/>
      <c r="I102" s="182"/>
      <c r="J102" s="183"/>
      <c r="K102" s="108"/>
      <c r="L102" s="183"/>
      <c r="M102" s="108"/>
      <c r="N102" s="259"/>
      <c r="O102" s="253"/>
      <c r="P102" s="182"/>
      <c r="Q102" s="183"/>
      <c r="R102" s="108"/>
      <c r="S102" s="183"/>
      <c r="T102" s="108"/>
      <c r="U102" s="259"/>
      <c r="V102" s="253"/>
      <c r="W102" s="182"/>
      <c r="X102" s="183"/>
      <c r="Y102" s="108"/>
      <c r="Z102" s="183"/>
      <c r="AA102" s="108"/>
      <c r="AB102" s="259"/>
      <c r="AC102" s="253"/>
      <c r="AD102" s="182"/>
      <c r="AE102" s="183"/>
      <c r="AF102" s="108"/>
      <c r="AG102" s="183"/>
      <c r="AH102" s="108"/>
      <c r="AI102" s="259"/>
    </row>
    <row r="103" spans="2:35" ht="13.5" thickBot="1">
      <c r="B103" s="1087" t="s">
        <v>327</v>
      </c>
      <c r="C103" s="1088"/>
      <c r="D103" s="108"/>
      <c r="E103" s="183"/>
      <c r="F103" s="178"/>
      <c r="G103" s="1095"/>
      <c r="H103" s="1096"/>
      <c r="I103" s="1087" t="s">
        <v>327</v>
      </c>
      <c r="J103" s="1088"/>
      <c r="K103" s="108"/>
      <c r="L103" s="183"/>
      <c r="M103" s="108"/>
      <c r="N103" s="259"/>
      <c r="O103" s="253"/>
      <c r="P103" s="1087" t="s">
        <v>327</v>
      </c>
      <c r="Q103" s="1088"/>
      <c r="R103" s="108"/>
      <c r="S103" s="183"/>
      <c r="T103" s="108"/>
      <c r="U103" s="259"/>
      <c r="V103" s="253"/>
      <c r="W103" s="1087" t="s">
        <v>327</v>
      </c>
      <c r="X103" s="1088"/>
      <c r="Y103" s="108"/>
      <c r="Z103" s="183"/>
      <c r="AA103" s="108"/>
      <c r="AB103" s="259"/>
      <c r="AC103" s="253"/>
      <c r="AD103" s="1087" t="s">
        <v>327</v>
      </c>
      <c r="AE103" s="1088"/>
      <c r="AF103" s="108"/>
      <c r="AG103" s="183"/>
      <c r="AH103" s="108"/>
      <c r="AI103" s="259"/>
    </row>
    <row r="104" spans="2:35" ht="12.75">
      <c r="B104" s="591" t="s">
        <v>321</v>
      </c>
      <c r="C104" s="565">
        <f>F100</f>
        <v>0</v>
      </c>
      <c r="D104" s="108"/>
      <c r="E104" s="183"/>
      <c r="F104" s="178"/>
      <c r="G104" s="705"/>
      <c r="H104" s="706"/>
      <c r="I104" s="591" t="s">
        <v>321</v>
      </c>
      <c r="J104" s="565">
        <f>M100</f>
        <v>0</v>
      </c>
      <c r="K104" s="108"/>
      <c r="L104" s="183"/>
      <c r="M104" s="108"/>
      <c r="N104" s="259"/>
      <c r="O104" s="253"/>
      <c r="P104" s="591" t="s">
        <v>321</v>
      </c>
      <c r="Q104" s="565">
        <f>S100</f>
        <v>0</v>
      </c>
      <c r="R104" s="108"/>
      <c r="S104" s="183"/>
      <c r="T104" s="108"/>
      <c r="U104" s="259"/>
      <c r="V104" s="253"/>
      <c r="W104" s="591" t="s">
        <v>321</v>
      </c>
      <c r="X104" s="565">
        <f>Z100</f>
        <v>0</v>
      </c>
      <c r="Y104" s="108"/>
      <c r="Z104" s="183"/>
      <c r="AA104" s="108"/>
      <c r="AB104" s="259"/>
      <c r="AC104" s="253"/>
      <c r="AD104" s="591" t="s">
        <v>321</v>
      </c>
      <c r="AE104" s="565">
        <f>AG100</f>
        <v>0</v>
      </c>
      <c r="AF104" s="108"/>
      <c r="AG104" s="183"/>
      <c r="AH104" s="108"/>
      <c r="AI104" s="259"/>
    </row>
    <row r="105" spans="2:35" ht="13.5" thickBot="1">
      <c r="B105" s="592" t="s">
        <v>312</v>
      </c>
      <c r="C105" s="566">
        <f>C15</f>
        <v>5497.147199999999</v>
      </c>
      <c r="D105" s="108"/>
      <c r="E105" s="183"/>
      <c r="F105" s="178"/>
      <c r="G105" s="707"/>
      <c r="H105" s="708"/>
      <c r="I105" s="592" t="s">
        <v>312</v>
      </c>
      <c r="J105" s="566">
        <f>J15</f>
        <v>5118.033600000001</v>
      </c>
      <c r="K105" s="108"/>
      <c r="L105" s="183"/>
      <c r="M105" s="108"/>
      <c r="N105" s="259"/>
      <c r="O105" s="253"/>
      <c r="P105" s="592" t="s">
        <v>312</v>
      </c>
      <c r="Q105" s="566"/>
      <c r="R105" s="108"/>
      <c r="S105" s="183"/>
      <c r="T105" s="108"/>
      <c r="U105" s="259"/>
      <c r="V105" s="253"/>
      <c r="W105" s="592" t="s">
        <v>312</v>
      </c>
      <c r="X105" s="566"/>
      <c r="Y105" s="108"/>
      <c r="Z105" s="183"/>
      <c r="AA105" s="108"/>
      <c r="AB105" s="259"/>
      <c r="AC105" s="253"/>
      <c r="AD105" s="592" t="s">
        <v>312</v>
      </c>
      <c r="AE105" s="566"/>
      <c r="AF105" s="108"/>
      <c r="AG105" s="183"/>
      <c r="AH105" s="108"/>
      <c r="AI105" s="259"/>
    </row>
    <row r="106" spans="2:35" ht="15.75" thickBot="1">
      <c r="B106" s="560" t="s">
        <v>313</v>
      </c>
      <c r="C106" s="567">
        <f>C104*C105</f>
        <v>0</v>
      </c>
      <c r="D106" s="108"/>
      <c r="E106" s="183"/>
      <c r="F106" s="178"/>
      <c r="G106" s="709"/>
      <c r="H106" s="710"/>
      <c r="I106" s="560" t="s">
        <v>313</v>
      </c>
      <c r="J106" s="567">
        <f>J104*J105</f>
        <v>0</v>
      </c>
      <c r="K106" s="108"/>
      <c r="L106" s="183"/>
      <c r="M106" s="108"/>
      <c r="N106" s="259"/>
      <c r="O106" s="253"/>
      <c r="P106" s="560" t="s">
        <v>313</v>
      </c>
      <c r="Q106" s="567">
        <f>Q104*Q105</f>
        <v>0</v>
      </c>
      <c r="R106" s="108"/>
      <c r="S106" s="183"/>
      <c r="T106" s="108"/>
      <c r="U106" s="259"/>
      <c r="V106" s="253"/>
      <c r="W106" s="560" t="s">
        <v>313</v>
      </c>
      <c r="X106" s="567">
        <f>X104*X105</f>
        <v>0</v>
      </c>
      <c r="Y106" s="108"/>
      <c r="Z106" s="183"/>
      <c r="AA106" s="108"/>
      <c r="AB106" s="259"/>
      <c r="AC106" s="253"/>
      <c r="AD106" s="560" t="s">
        <v>313</v>
      </c>
      <c r="AE106" s="567">
        <f>AE104*AE105</f>
        <v>0</v>
      </c>
      <c r="AF106" s="108"/>
      <c r="AG106" s="183"/>
      <c r="AH106" s="108"/>
      <c r="AI106" s="259"/>
    </row>
    <row r="107" spans="2:35" ht="15">
      <c r="B107" s="195"/>
      <c r="C107" s="196"/>
      <c r="D107" s="108"/>
      <c r="E107" s="108"/>
      <c r="F107" s="462"/>
      <c r="G107" s="711"/>
      <c r="H107" s="712"/>
      <c r="I107" s="195"/>
      <c r="J107" s="196"/>
      <c r="K107" s="108"/>
      <c r="L107" s="108"/>
      <c r="M107" s="183"/>
      <c r="N107" s="259"/>
      <c r="O107" s="253"/>
      <c r="P107" s="195"/>
      <c r="Q107" s="196"/>
      <c r="R107" s="108"/>
      <c r="S107" s="108"/>
      <c r="T107" s="183"/>
      <c r="U107" s="259"/>
      <c r="V107" s="253"/>
      <c r="W107" s="195"/>
      <c r="X107" s="196"/>
      <c r="Y107" s="108"/>
      <c r="Z107" s="108"/>
      <c r="AA107" s="183"/>
      <c r="AB107" s="259"/>
      <c r="AC107" s="253"/>
      <c r="AD107" s="195"/>
      <c r="AE107" s="196"/>
      <c r="AF107" s="108"/>
      <c r="AG107" s="108"/>
      <c r="AH107" s="183"/>
      <c r="AI107" s="259"/>
    </row>
    <row r="108" spans="2:35" ht="15.75" thickBot="1">
      <c r="B108" s="195"/>
      <c r="C108" s="196"/>
      <c r="D108" s="108"/>
      <c r="E108" s="108"/>
      <c r="F108" s="462"/>
      <c r="G108" s="711"/>
      <c r="H108" s="712"/>
      <c r="I108" s="195"/>
      <c r="J108" s="196"/>
      <c r="K108" s="108"/>
      <c r="L108" s="108"/>
      <c r="M108" s="183"/>
      <c r="N108" s="259"/>
      <c r="O108" s="253"/>
      <c r="P108" s="195"/>
      <c r="Q108" s="196"/>
      <c r="R108" s="108"/>
      <c r="S108" s="108"/>
      <c r="T108" s="183"/>
      <c r="U108" s="259"/>
      <c r="V108" s="253"/>
      <c r="W108" s="195"/>
      <c r="X108" s="196"/>
      <c r="Y108" s="108"/>
      <c r="Z108" s="108"/>
      <c r="AA108" s="183"/>
      <c r="AB108" s="259"/>
      <c r="AC108" s="253"/>
      <c r="AD108" s="195"/>
      <c r="AE108" s="196"/>
      <c r="AF108" s="108"/>
      <c r="AG108" s="108"/>
      <c r="AH108" s="183"/>
      <c r="AI108" s="259"/>
    </row>
    <row r="109" spans="2:35" ht="13.5" thickBot="1">
      <c r="B109" s="1087" t="s">
        <v>328</v>
      </c>
      <c r="C109" s="1088"/>
      <c r="D109" s="108"/>
      <c r="E109" s="108"/>
      <c r="F109" s="462"/>
      <c r="G109" s="1095"/>
      <c r="H109" s="1096"/>
      <c r="I109" s="1087" t="s">
        <v>328</v>
      </c>
      <c r="J109" s="1088"/>
      <c r="K109" s="108"/>
      <c r="L109" s="108"/>
      <c r="M109" s="183"/>
      <c r="N109" s="259"/>
      <c r="O109" s="253"/>
      <c r="P109" s="1087" t="s">
        <v>328</v>
      </c>
      <c r="Q109" s="1088"/>
      <c r="R109" s="108"/>
      <c r="S109" s="108"/>
      <c r="T109" s="183"/>
      <c r="U109" s="259"/>
      <c r="V109" s="253"/>
      <c r="W109" s="1087" t="s">
        <v>328</v>
      </c>
      <c r="X109" s="1088"/>
      <c r="Y109" s="108"/>
      <c r="Z109" s="108"/>
      <c r="AA109" s="183"/>
      <c r="AB109" s="259"/>
      <c r="AC109" s="253"/>
      <c r="AD109" s="1087" t="s">
        <v>328</v>
      </c>
      <c r="AE109" s="1088"/>
      <c r="AF109" s="108"/>
      <c r="AG109" s="108"/>
      <c r="AH109" s="183"/>
      <c r="AI109" s="259"/>
    </row>
    <row r="110" spans="2:35" ht="12.75">
      <c r="B110" s="591" t="s">
        <v>317</v>
      </c>
      <c r="C110" s="565">
        <f>F98</f>
        <v>0</v>
      </c>
      <c r="D110" s="108"/>
      <c r="E110" s="108"/>
      <c r="F110" s="462"/>
      <c r="G110" s="705"/>
      <c r="H110" s="706"/>
      <c r="I110" s="591" t="s">
        <v>317</v>
      </c>
      <c r="J110" s="565">
        <f>M98</f>
        <v>0</v>
      </c>
      <c r="K110" s="108"/>
      <c r="L110" s="108"/>
      <c r="M110" s="183"/>
      <c r="N110" s="259"/>
      <c r="O110" s="253"/>
      <c r="P110" s="591" t="s">
        <v>317</v>
      </c>
      <c r="Q110" s="565">
        <f>S98</f>
        <v>0</v>
      </c>
      <c r="R110" s="108"/>
      <c r="S110" s="108"/>
      <c r="T110" s="183"/>
      <c r="U110" s="259"/>
      <c r="V110" s="253"/>
      <c r="W110" s="591" t="s">
        <v>317</v>
      </c>
      <c r="X110" s="565">
        <f>Z98</f>
        <v>0</v>
      </c>
      <c r="Y110" s="108"/>
      <c r="Z110" s="108"/>
      <c r="AA110" s="183"/>
      <c r="AB110" s="259"/>
      <c r="AC110" s="253"/>
      <c r="AD110" s="591" t="s">
        <v>317</v>
      </c>
      <c r="AE110" s="565">
        <f>AG98</f>
        <v>0</v>
      </c>
      <c r="AF110" s="108"/>
      <c r="AG110" s="108"/>
      <c r="AH110" s="183"/>
      <c r="AI110" s="259"/>
    </row>
    <row r="111" spans="2:35" ht="13.5" thickBot="1">
      <c r="B111" s="592" t="s">
        <v>314</v>
      </c>
      <c r="C111" s="566">
        <f>C16</f>
        <v>1905.8916</v>
      </c>
      <c r="D111" s="108"/>
      <c r="E111" s="108"/>
      <c r="F111" s="178"/>
      <c r="G111" s="707"/>
      <c r="H111" s="708"/>
      <c r="I111" s="592" t="s">
        <v>314</v>
      </c>
      <c r="J111" s="566">
        <f>J16</f>
        <v>1774.4508</v>
      </c>
      <c r="K111" s="108"/>
      <c r="L111" s="108"/>
      <c r="M111" s="108"/>
      <c r="N111" s="259"/>
      <c r="O111" s="253"/>
      <c r="P111" s="592" t="s">
        <v>314</v>
      </c>
      <c r="Q111" s="566"/>
      <c r="R111" s="108"/>
      <c r="S111" s="108"/>
      <c r="T111" s="108"/>
      <c r="U111" s="259"/>
      <c r="V111" s="253"/>
      <c r="W111" s="592" t="s">
        <v>314</v>
      </c>
      <c r="X111" s="566"/>
      <c r="Y111" s="108"/>
      <c r="Z111" s="108"/>
      <c r="AA111" s="108"/>
      <c r="AB111" s="259"/>
      <c r="AC111" s="253"/>
      <c r="AD111" s="592" t="s">
        <v>314</v>
      </c>
      <c r="AE111" s="566"/>
      <c r="AF111" s="108"/>
      <c r="AG111" s="108"/>
      <c r="AH111" s="108"/>
      <c r="AI111" s="259"/>
    </row>
    <row r="112" spans="2:35" ht="15.75" thickBot="1">
      <c r="B112" s="560" t="s">
        <v>315</v>
      </c>
      <c r="C112" s="567">
        <f>C110*C111</f>
        <v>0</v>
      </c>
      <c r="D112" s="108"/>
      <c r="E112" s="108"/>
      <c r="F112" s="178"/>
      <c r="G112" s="709"/>
      <c r="H112" s="710"/>
      <c r="I112" s="560" t="s">
        <v>315</v>
      </c>
      <c r="J112" s="567">
        <f>J110*J111</f>
        <v>0</v>
      </c>
      <c r="K112" s="108"/>
      <c r="L112" s="108"/>
      <c r="M112" s="108"/>
      <c r="N112" s="259"/>
      <c r="O112" s="253"/>
      <c r="P112" s="560" t="s">
        <v>315</v>
      </c>
      <c r="Q112" s="567">
        <f>Q110*Q111</f>
        <v>0</v>
      </c>
      <c r="R112" s="108"/>
      <c r="S112" s="108"/>
      <c r="T112" s="108"/>
      <c r="U112" s="259"/>
      <c r="V112" s="253"/>
      <c r="W112" s="560" t="s">
        <v>315</v>
      </c>
      <c r="X112" s="567">
        <f>X110*X111</f>
        <v>0</v>
      </c>
      <c r="Y112" s="108"/>
      <c r="Z112" s="108"/>
      <c r="AA112" s="108"/>
      <c r="AB112" s="259"/>
      <c r="AC112" s="253"/>
      <c r="AD112" s="560" t="s">
        <v>315</v>
      </c>
      <c r="AE112" s="567">
        <f>AE110*AE111</f>
        <v>0</v>
      </c>
      <c r="AF112" s="108"/>
      <c r="AG112" s="108"/>
      <c r="AH112" s="108"/>
      <c r="AI112" s="259"/>
    </row>
    <row r="113" spans="2:35" ht="12.75">
      <c r="B113" s="197"/>
      <c r="C113" s="188"/>
      <c r="D113" s="188"/>
      <c r="E113" s="180"/>
      <c r="F113" s="465"/>
      <c r="G113" s="713"/>
      <c r="H113" s="714"/>
      <c r="I113" s="197"/>
      <c r="J113" s="188"/>
      <c r="K113" s="188"/>
      <c r="L113" s="180"/>
      <c r="M113" s="192"/>
      <c r="N113" s="259"/>
      <c r="O113" s="253"/>
      <c r="P113" s="197"/>
      <c r="Q113" s="188"/>
      <c r="R113" s="188"/>
      <c r="S113" s="180"/>
      <c r="T113" s="192"/>
      <c r="U113" s="259"/>
      <c r="V113" s="253"/>
      <c r="W113" s="197"/>
      <c r="X113" s="188"/>
      <c r="Y113" s="188"/>
      <c r="Z113" s="180"/>
      <c r="AA113" s="192"/>
      <c r="AB113" s="259"/>
      <c r="AC113" s="253"/>
      <c r="AD113" s="197"/>
      <c r="AE113" s="188"/>
      <c r="AF113" s="188"/>
      <c r="AG113" s="180"/>
      <c r="AH113" s="192"/>
      <c r="AI113" s="259"/>
    </row>
    <row r="114" spans="2:35" ht="13.5" thickBot="1">
      <c r="B114" s="197"/>
      <c r="C114" s="188"/>
      <c r="D114" s="188"/>
      <c r="E114" s="180"/>
      <c r="F114" s="465"/>
      <c r="G114" s="713"/>
      <c r="H114" s="714"/>
      <c r="I114" s="197"/>
      <c r="J114" s="188"/>
      <c r="K114" s="188"/>
      <c r="L114" s="180"/>
      <c r="M114" s="192"/>
      <c r="N114" s="259"/>
      <c r="O114" s="253"/>
      <c r="P114" s="197"/>
      <c r="Q114" s="188"/>
      <c r="R114" s="188"/>
      <c r="S114" s="180"/>
      <c r="T114" s="192"/>
      <c r="U114" s="259"/>
      <c r="V114" s="253"/>
      <c r="W114" s="197"/>
      <c r="X114" s="188"/>
      <c r="Y114" s="188"/>
      <c r="Z114" s="180"/>
      <c r="AA114" s="192"/>
      <c r="AB114" s="259"/>
      <c r="AC114" s="253"/>
      <c r="AD114" s="197"/>
      <c r="AE114" s="188"/>
      <c r="AF114" s="188"/>
      <c r="AG114" s="180"/>
      <c r="AH114" s="192"/>
      <c r="AI114" s="259"/>
    </row>
    <row r="115" spans="2:35" ht="13.5" thickBot="1">
      <c r="B115" s="1087" t="s">
        <v>316</v>
      </c>
      <c r="C115" s="1088"/>
      <c r="D115" s="188"/>
      <c r="E115" s="180"/>
      <c r="F115" s="465"/>
      <c r="G115" s="1095"/>
      <c r="H115" s="1096"/>
      <c r="I115" s="1087" t="s">
        <v>316</v>
      </c>
      <c r="J115" s="1088"/>
      <c r="K115" s="188"/>
      <c r="L115" s="180"/>
      <c r="M115" s="192"/>
      <c r="N115" s="259"/>
      <c r="O115" s="253"/>
      <c r="P115" s="1087" t="s">
        <v>316</v>
      </c>
      <c r="Q115" s="1088"/>
      <c r="R115" s="188"/>
      <c r="S115" s="180"/>
      <c r="T115" s="192"/>
      <c r="U115" s="259"/>
      <c r="V115" s="253"/>
      <c r="W115" s="1087" t="s">
        <v>316</v>
      </c>
      <c r="X115" s="1088"/>
      <c r="Y115" s="188"/>
      <c r="Z115" s="180"/>
      <c r="AA115" s="192"/>
      <c r="AB115" s="259"/>
      <c r="AC115" s="253"/>
      <c r="AD115" s="1087" t="s">
        <v>316</v>
      </c>
      <c r="AE115" s="1088"/>
      <c r="AF115" s="188"/>
      <c r="AG115" s="180"/>
      <c r="AH115" s="192"/>
      <c r="AI115" s="259"/>
    </row>
    <row r="116" spans="2:35" ht="12.75">
      <c r="B116" s="591" t="s">
        <v>313</v>
      </c>
      <c r="C116" s="569">
        <f>C106</f>
        <v>0</v>
      </c>
      <c r="D116" s="188"/>
      <c r="E116" s="180"/>
      <c r="F116" s="465"/>
      <c r="G116" s="705"/>
      <c r="H116" s="715"/>
      <c r="I116" s="591" t="s">
        <v>313</v>
      </c>
      <c r="J116" s="569">
        <f>J106</f>
        <v>0</v>
      </c>
      <c r="K116" s="188"/>
      <c r="L116" s="180"/>
      <c r="M116" s="192"/>
      <c r="N116" s="259"/>
      <c r="O116" s="253"/>
      <c r="P116" s="591" t="s">
        <v>313</v>
      </c>
      <c r="Q116" s="569">
        <f>Q106</f>
        <v>0</v>
      </c>
      <c r="R116" s="188"/>
      <c r="S116" s="180"/>
      <c r="T116" s="192"/>
      <c r="U116" s="259"/>
      <c r="V116" s="253"/>
      <c r="W116" s="591" t="s">
        <v>313</v>
      </c>
      <c r="X116" s="569">
        <f>X106</f>
        <v>0</v>
      </c>
      <c r="Y116" s="188"/>
      <c r="Z116" s="180"/>
      <c r="AA116" s="192"/>
      <c r="AB116" s="259"/>
      <c r="AC116" s="253"/>
      <c r="AD116" s="591" t="s">
        <v>313</v>
      </c>
      <c r="AE116" s="569">
        <f>AE106</f>
        <v>0</v>
      </c>
      <c r="AF116" s="188"/>
      <c r="AG116" s="180"/>
      <c r="AH116" s="192"/>
      <c r="AI116" s="259"/>
    </row>
    <row r="117" spans="2:35" ht="13.5" thickBot="1">
      <c r="B117" s="591" t="s">
        <v>315</v>
      </c>
      <c r="C117" s="570">
        <f>C112</f>
        <v>0</v>
      </c>
      <c r="D117" s="188"/>
      <c r="E117" s="180"/>
      <c r="F117" s="465"/>
      <c r="G117" s="705"/>
      <c r="H117" s="715"/>
      <c r="I117" s="591" t="s">
        <v>315</v>
      </c>
      <c r="J117" s="570">
        <f>J112</f>
        <v>0</v>
      </c>
      <c r="K117" s="188"/>
      <c r="L117" s="180"/>
      <c r="M117" s="192"/>
      <c r="N117" s="259"/>
      <c r="O117" s="253"/>
      <c r="P117" s="591" t="s">
        <v>315</v>
      </c>
      <c r="Q117" s="570">
        <f>Q112</f>
        <v>0</v>
      </c>
      <c r="R117" s="188"/>
      <c r="S117" s="180"/>
      <c r="T117" s="192"/>
      <c r="U117" s="259"/>
      <c r="V117" s="253"/>
      <c r="W117" s="591" t="s">
        <v>315</v>
      </c>
      <c r="X117" s="570">
        <f>X112</f>
        <v>0</v>
      </c>
      <c r="Y117" s="188"/>
      <c r="Z117" s="180"/>
      <c r="AA117" s="192"/>
      <c r="AB117" s="259"/>
      <c r="AC117" s="253"/>
      <c r="AD117" s="591" t="s">
        <v>315</v>
      </c>
      <c r="AE117" s="570">
        <f>AE112</f>
        <v>0</v>
      </c>
      <c r="AF117" s="188"/>
      <c r="AG117" s="180"/>
      <c r="AH117" s="192"/>
      <c r="AI117" s="259"/>
    </row>
    <row r="118" spans="2:35" ht="15.75" thickBot="1">
      <c r="B118" s="560" t="s">
        <v>322</v>
      </c>
      <c r="C118" s="567">
        <f>C116+C117</f>
        <v>0</v>
      </c>
      <c r="D118" s="454"/>
      <c r="E118" s="191"/>
      <c r="F118" s="466"/>
      <c r="G118" s="716"/>
      <c r="H118" s="717"/>
      <c r="I118" s="560" t="s">
        <v>322</v>
      </c>
      <c r="J118" s="567">
        <f>J116+J117</f>
        <v>0</v>
      </c>
      <c r="K118" s="188"/>
      <c r="L118" s="180"/>
      <c r="M118" s="192"/>
      <c r="N118" s="259"/>
      <c r="O118" s="253"/>
      <c r="P118" s="560" t="s">
        <v>322</v>
      </c>
      <c r="Q118" s="567">
        <f>Q116+Q117</f>
        <v>0</v>
      </c>
      <c r="R118" s="188"/>
      <c r="S118" s="180"/>
      <c r="T118" s="192"/>
      <c r="U118" s="259"/>
      <c r="V118" s="253"/>
      <c r="W118" s="560" t="s">
        <v>322</v>
      </c>
      <c r="X118" s="567">
        <f>X116+X117</f>
        <v>0</v>
      </c>
      <c r="Y118" s="188"/>
      <c r="Z118" s="180"/>
      <c r="AA118" s="192"/>
      <c r="AB118" s="259"/>
      <c r="AC118" s="253"/>
      <c r="AD118" s="560" t="s">
        <v>322</v>
      </c>
      <c r="AE118" s="567">
        <f>AE116+AE117</f>
        <v>0</v>
      </c>
      <c r="AF118" s="188"/>
      <c r="AG118" s="180"/>
      <c r="AH118" s="192"/>
      <c r="AI118" s="259"/>
    </row>
    <row r="119" spans="2:35" ht="12.75">
      <c r="B119" s="448"/>
      <c r="C119" s="449"/>
      <c r="D119" s="450"/>
      <c r="E119" s="450"/>
      <c r="F119" s="451"/>
      <c r="G119" s="259"/>
      <c r="H119" s="253"/>
      <c r="I119" s="188"/>
      <c r="J119" s="192"/>
      <c r="K119" s="188"/>
      <c r="L119" s="188"/>
      <c r="M119" s="171"/>
      <c r="N119" s="259"/>
      <c r="O119" s="253"/>
      <c r="P119" s="188"/>
      <c r="Q119" s="192"/>
      <c r="R119" s="188"/>
      <c r="S119" s="188"/>
      <c r="T119" s="171"/>
      <c r="U119" s="259"/>
      <c r="V119" s="253"/>
      <c r="W119" s="188"/>
      <c r="X119" s="192"/>
      <c r="Y119" s="188"/>
      <c r="Z119" s="188"/>
      <c r="AA119" s="171"/>
      <c r="AB119" s="259"/>
      <c r="AC119" s="253"/>
      <c r="AD119" s="188"/>
      <c r="AE119" s="192"/>
      <c r="AF119" s="188"/>
      <c r="AG119" s="188"/>
      <c r="AH119" s="171"/>
      <c r="AI119" s="259"/>
    </row>
    <row r="120" spans="2:35" ht="12.75">
      <c r="B120" s="197"/>
      <c r="C120" s="192"/>
      <c r="D120" s="188"/>
      <c r="E120" s="188"/>
      <c r="F120" s="452"/>
      <c r="G120" s="259"/>
      <c r="H120" s="253"/>
      <c r="I120" s="188"/>
      <c r="J120" s="192"/>
      <c r="K120" s="188"/>
      <c r="L120" s="188"/>
      <c r="M120" s="171"/>
      <c r="N120" s="259"/>
      <c r="O120" s="253"/>
      <c r="P120" s="188"/>
      <c r="Q120" s="192"/>
      <c r="R120" s="188"/>
      <c r="S120" s="188"/>
      <c r="T120" s="171"/>
      <c r="U120" s="259"/>
      <c r="V120" s="253"/>
      <c r="W120" s="188"/>
      <c r="X120" s="192"/>
      <c r="Y120" s="188"/>
      <c r="Z120" s="188"/>
      <c r="AA120" s="171"/>
      <c r="AB120" s="259"/>
      <c r="AC120" s="253"/>
      <c r="AD120" s="188"/>
      <c r="AE120" s="192"/>
      <c r="AF120" s="188"/>
      <c r="AG120" s="188"/>
      <c r="AH120" s="171"/>
      <c r="AI120" s="259"/>
    </row>
    <row r="121" spans="2:35" ht="12.75">
      <c r="B121" s="197"/>
      <c r="C121" s="192"/>
      <c r="D121" s="188"/>
      <c r="E121" s="188"/>
      <c r="F121" s="452"/>
      <c r="G121" s="259"/>
      <c r="H121" s="253"/>
      <c r="I121" s="188"/>
      <c r="J121" s="192"/>
      <c r="K121" s="188"/>
      <c r="L121" s="188"/>
      <c r="M121" s="171"/>
      <c r="N121" s="259"/>
      <c r="O121" s="253"/>
      <c r="P121" s="188"/>
      <c r="Q121" s="192"/>
      <c r="R121" s="188"/>
      <c r="S121" s="188"/>
      <c r="T121" s="171"/>
      <c r="U121" s="259"/>
      <c r="V121" s="253"/>
      <c r="W121" s="188"/>
      <c r="X121" s="192"/>
      <c r="Y121" s="188"/>
      <c r="Z121" s="188"/>
      <c r="AA121" s="171"/>
      <c r="AB121" s="259"/>
      <c r="AC121" s="253"/>
      <c r="AD121" s="188"/>
      <c r="AE121" s="192"/>
      <c r="AF121" s="188"/>
      <c r="AG121" s="188"/>
      <c r="AH121" s="171"/>
      <c r="AI121" s="259"/>
    </row>
    <row r="122" spans="2:35" ht="32.25" customHeight="1" thickBot="1">
      <c r="B122" s="453"/>
      <c r="C122" s="254"/>
      <c r="D122" s="454"/>
      <c r="E122" s="454"/>
      <c r="F122" s="455"/>
      <c r="G122" s="259"/>
      <c r="H122" s="253"/>
      <c r="I122" s="188"/>
      <c r="J122" s="192"/>
      <c r="K122" s="188"/>
      <c r="L122" s="188"/>
      <c r="M122" s="171"/>
      <c r="N122" s="259"/>
      <c r="O122" s="253"/>
      <c r="P122" s="188"/>
      <c r="Q122" s="192"/>
      <c r="R122" s="188"/>
      <c r="S122" s="188"/>
      <c r="T122" s="171"/>
      <c r="U122" s="259"/>
      <c r="V122" s="253"/>
      <c r="W122" s="188"/>
      <c r="X122" s="192"/>
      <c r="Y122" s="188"/>
      <c r="Z122" s="188"/>
      <c r="AA122" s="171"/>
      <c r="AB122" s="259"/>
      <c r="AC122" s="253"/>
      <c r="AD122" s="188"/>
      <c r="AE122" s="192"/>
      <c r="AF122" s="188"/>
      <c r="AG122" s="188"/>
      <c r="AH122" s="171"/>
      <c r="AI122" s="259"/>
    </row>
    <row r="123" spans="2:35" ht="16.5" thickBot="1">
      <c r="B123" s="1089" t="s">
        <v>134</v>
      </c>
      <c r="C123" s="1090"/>
      <c r="D123" s="1090"/>
      <c r="E123" s="1090"/>
      <c r="F123" s="1090"/>
      <c r="G123" s="259"/>
      <c r="H123" s="253"/>
      <c r="I123" s="1090" t="s">
        <v>134</v>
      </c>
      <c r="J123" s="1090"/>
      <c r="K123" s="1090"/>
      <c r="L123" s="1090"/>
      <c r="M123" s="1090"/>
      <c r="N123" s="259"/>
      <c r="O123" s="253"/>
      <c r="P123" s="1089" t="s">
        <v>134</v>
      </c>
      <c r="Q123" s="1090"/>
      <c r="R123" s="1090"/>
      <c r="S123" s="1090"/>
      <c r="T123" s="1091"/>
      <c r="U123" s="259"/>
      <c r="V123" s="253"/>
      <c r="W123" s="1090" t="s">
        <v>134</v>
      </c>
      <c r="X123" s="1090"/>
      <c r="Y123" s="1090"/>
      <c r="Z123" s="1090"/>
      <c r="AA123" s="1090"/>
      <c r="AB123" s="259"/>
      <c r="AC123" s="253"/>
      <c r="AD123" s="1090" t="s">
        <v>134</v>
      </c>
      <c r="AE123" s="1090"/>
      <c r="AF123" s="1090"/>
      <c r="AG123" s="1090"/>
      <c r="AH123" s="1090"/>
      <c r="AI123" s="259"/>
    </row>
    <row r="124" spans="2:35" ht="16.5" thickBot="1">
      <c r="B124" s="198"/>
      <c r="C124" s="199"/>
      <c r="D124" s="199"/>
      <c r="E124" s="199"/>
      <c r="F124" s="199"/>
      <c r="G124" s="259"/>
      <c r="H124" s="253"/>
      <c r="I124" s="199"/>
      <c r="J124" s="199"/>
      <c r="K124" s="199"/>
      <c r="L124" s="199"/>
      <c r="M124" s="199"/>
      <c r="N124" s="259"/>
      <c r="O124" s="253"/>
      <c r="P124" s="199"/>
      <c r="Q124" s="199"/>
      <c r="R124" s="199"/>
      <c r="S124" s="199"/>
      <c r="T124" s="199"/>
      <c r="U124" s="259"/>
      <c r="V124" s="253"/>
      <c r="W124" s="199"/>
      <c r="X124" s="199"/>
      <c r="Y124" s="199"/>
      <c r="Z124" s="199"/>
      <c r="AA124" s="199"/>
      <c r="AB124" s="259"/>
      <c r="AC124" s="253"/>
      <c r="AD124" s="199"/>
      <c r="AE124" s="199"/>
      <c r="AF124" s="199"/>
      <c r="AG124" s="199"/>
      <c r="AH124" s="199"/>
      <c r="AI124" s="259"/>
    </row>
    <row r="125" spans="2:35" ht="26.25" thickBot="1">
      <c r="B125" s="511" t="s">
        <v>104</v>
      </c>
      <c r="C125" s="601" t="s">
        <v>135</v>
      </c>
      <c r="D125" s="602" t="s">
        <v>136</v>
      </c>
      <c r="E125" s="511" t="s">
        <v>106</v>
      </c>
      <c r="F125" s="593" t="s">
        <v>39</v>
      </c>
      <c r="G125" s="259"/>
      <c r="H125" s="253"/>
      <c r="I125" s="590" t="s">
        <v>104</v>
      </c>
      <c r="J125" s="601" t="s">
        <v>135</v>
      </c>
      <c r="K125" s="602" t="s">
        <v>136</v>
      </c>
      <c r="L125" s="511" t="s">
        <v>106</v>
      </c>
      <c r="M125" s="593" t="s">
        <v>39</v>
      </c>
      <c r="N125" s="259"/>
      <c r="O125" s="253"/>
      <c r="P125" s="590" t="s">
        <v>104</v>
      </c>
      <c r="Q125" s="601" t="s">
        <v>135</v>
      </c>
      <c r="R125" s="602" t="s">
        <v>136</v>
      </c>
      <c r="S125" s="511" t="s">
        <v>106</v>
      </c>
      <c r="T125" s="593" t="s">
        <v>39</v>
      </c>
      <c r="U125" s="259"/>
      <c r="V125" s="253"/>
      <c r="W125" s="590" t="s">
        <v>104</v>
      </c>
      <c r="X125" s="601" t="s">
        <v>135</v>
      </c>
      <c r="Y125" s="602" t="s">
        <v>136</v>
      </c>
      <c r="Z125" s="511" t="s">
        <v>106</v>
      </c>
      <c r="AA125" s="593" t="s">
        <v>39</v>
      </c>
      <c r="AB125" s="259"/>
      <c r="AC125" s="253"/>
      <c r="AD125" s="590" t="s">
        <v>104</v>
      </c>
      <c r="AE125" s="601" t="s">
        <v>135</v>
      </c>
      <c r="AF125" s="602" t="s">
        <v>136</v>
      </c>
      <c r="AG125" s="511" t="s">
        <v>106</v>
      </c>
      <c r="AH125" s="593" t="s">
        <v>39</v>
      </c>
      <c r="AI125" s="259"/>
    </row>
    <row r="126" spans="2:35" ht="12.75">
      <c r="B126" s="556">
        <v>9</v>
      </c>
      <c r="C126" s="179">
        <v>0</v>
      </c>
      <c r="D126" s="179">
        <v>0</v>
      </c>
      <c r="E126" s="200">
        <v>0</v>
      </c>
      <c r="F126" s="571">
        <f>SUM(C126:E126)</f>
        <v>0</v>
      </c>
      <c r="G126" s="259"/>
      <c r="H126" s="253"/>
      <c r="I126" s="587">
        <v>9</v>
      </c>
      <c r="J126" s="179">
        <v>0</v>
      </c>
      <c r="K126" s="179">
        <v>0</v>
      </c>
      <c r="L126" s="200">
        <v>0</v>
      </c>
      <c r="M126" s="571">
        <f>SUM(J126:L126)</f>
        <v>0</v>
      </c>
      <c r="N126" s="259"/>
      <c r="O126" s="253"/>
      <c r="P126" s="587">
        <v>9</v>
      </c>
      <c r="Q126" s="179">
        <v>0</v>
      </c>
      <c r="R126" s="179">
        <v>0</v>
      </c>
      <c r="S126" s="200">
        <v>0</v>
      </c>
      <c r="T126" s="571">
        <f>SUM(Q126:S126)</f>
        <v>0</v>
      </c>
      <c r="U126" s="259"/>
      <c r="V126" s="253"/>
      <c r="W126" s="587">
        <v>9</v>
      </c>
      <c r="X126" s="179">
        <v>0</v>
      </c>
      <c r="Y126" s="179">
        <v>0</v>
      </c>
      <c r="Z126" s="200">
        <v>0</v>
      </c>
      <c r="AA126" s="571">
        <f>SUM(X126:Z126)</f>
        <v>0</v>
      </c>
      <c r="AB126" s="259"/>
      <c r="AC126" s="253"/>
      <c r="AD126" s="587">
        <v>9</v>
      </c>
      <c r="AE126" s="179">
        <v>0</v>
      </c>
      <c r="AF126" s="179">
        <v>0</v>
      </c>
      <c r="AG126" s="200">
        <v>0</v>
      </c>
      <c r="AH126" s="571">
        <f>SUM(AE126:AG126)</f>
        <v>0</v>
      </c>
      <c r="AI126" s="259"/>
    </row>
    <row r="127" spans="2:35" ht="12.75">
      <c r="B127" s="600">
        <v>10</v>
      </c>
      <c r="C127" s="179">
        <v>70</v>
      </c>
      <c r="D127" s="179">
        <v>3</v>
      </c>
      <c r="E127" s="200">
        <v>1</v>
      </c>
      <c r="F127" s="571">
        <f>SUM(C127:E127)</f>
        <v>74</v>
      </c>
      <c r="G127" s="259"/>
      <c r="H127" s="253"/>
      <c r="I127" s="603">
        <v>10</v>
      </c>
      <c r="J127" s="179">
        <v>81</v>
      </c>
      <c r="K127" s="179">
        <v>3</v>
      </c>
      <c r="L127" s="200">
        <v>1</v>
      </c>
      <c r="M127" s="571">
        <f>SUM(J127:L127)</f>
        <v>85</v>
      </c>
      <c r="N127" s="259"/>
      <c r="O127" s="253"/>
      <c r="P127" s="603">
        <v>10</v>
      </c>
      <c r="Q127" s="179">
        <v>91</v>
      </c>
      <c r="R127" s="179">
        <v>4</v>
      </c>
      <c r="S127" s="200">
        <v>2</v>
      </c>
      <c r="T127" s="571">
        <f>SUM(Q127:S127)</f>
        <v>97</v>
      </c>
      <c r="U127" s="259"/>
      <c r="V127" s="253"/>
      <c r="W127" s="603">
        <v>10</v>
      </c>
      <c r="X127" s="179">
        <v>91</v>
      </c>
      <c r="Y127" s="179">
        <v>4</v>
      </c>
      <c r="Z127" s="200">
        <v>2</v>
      </c>
      <c r="AA127" s="571">
        <f>SUM(X127:Z127)</f>
        <v>97</v>
      </c>
      <c r="AB127" s="259"/>
      <c r="AC127" s="253"/>
      <c r="AD127" s="603">
        <v>10</v>
      </c>
      <c r="AE127" s="179">
        <v>91</v>
      </c>
      <c r="AF127" s="179">
        <v>4</v>
      </c>
      <c r="AG127" s="200">
        <v>2</v>
      </c>
      <c r="AH127" s="571">
        <f>SUM(AE127:AG127)</f>
        <v>97</v>
      </c>
      <c r="AI127" s="259"/>
    </row>
    <row r="128" spans="2:35" ht="12.75">
      <c r="B128" s="600">
        <v>11</v>
      </c>
      <c r="C128" s="179">
        <v>31</v>
      </c>
      <c r="D128" s="179">
        <v>1</v>
      </c>
      <c r="E128" s="200">
        <v>0</v>
      </c>
      <c r="F128" s="571">
        <f>SUM(C128:E128)</f>
        <v>32</v>
      </c>
      <c r="G128" s="259"/>
      <c r="H128" s="253"/>
      <c r="I128" s="603">
        <v>11</v>
      </c>
      <c r="J128" s="179">
        <v>36</v>
      </c>
      <c r="K128" s="179">
        <v>2</v>
      </c>
      <c r="L128" s="200">
        <v>0</v>
      </c>
      <c r="M128" s="571">
        <f>SUM(J128:L128)</f>
        <v>38</v>
      </c>
      <c r="N128" s="259"/>
      <c r="O128" s="253"/>
      <c r="P128" s="603">
        <v>11</v>
      </c>
      <c r="Q128" s="179">
        <v>41</v>
      </c>
      <c r="R128" s="179">
        <v>2</v>
      </c>
      <c r="S128" s="200">
        <v>0</v>
      </c>
      <c r="T128" s="571">
        <f>SUM(Q128:S128)</f>
        <v>43</v>
      </c>
      <c r="U128" s="259"/>
      <c r="V128" s="253"/>
      <c r="W128" s="603">
        <v>11</v>
      </c>
      <c r="X128" s="179">
        <v>41</v>
      </c>
      <c r="Y128" s="179">
        <v>2</v>
      </c>
      <c r="Z128" s="200">
        <v>0</v>
      </c>
      <c r="AA128" s="571">
        <f>SUM(X128:Z128)</f>
        <v>43</v>
      </c>
      <c r="AB128" s="259"/>
      <c r="AC128" s="253"/>
      <c r="AD128" s="603">
        <v>11</v>
      </c>
      <c r="AE128" s="179">
        <v>41</v>
      </c>
      <c r="AF128" s="179">
        <v>2</v>
      </c>
      <c r="AG128" s="200">
        <v>0</v>
      </c>
      <c r="AH128" s="571">
        <f>SUM(AE128:AG128)</f>
        <v>43</v>
      </c>
      <c r="AI128" s="259"/>
    </row>
    <row r="129" spans="2:35" ht="12.75">
      <c r="B129" s="600">
        <v>12</v>
      </c>
      <c r="C129" s="179">
        <v>18</v>
      </c>
      <c r="D129" s="179">
        <v>1</v>
      </c>
      <c r="E129" s="200">
        <v>0</v>
      </c>
      <c r="F129" s="571">
        <f>SUM(C129:E129)</f>
        <v>19</v>
      </c>
      <c r="G129" s="259"/>
      <c r="H129" s="253"/>
      <c r="I129" s="603">
        <v>12</v>
      </c>
      <c r="J129" s="179">
        <v>21</v>
      </c>
      <c r="K129" s="179">
        <v>1</v>
      </c>
      <c r="L129" s="200">
        <v>0</v>
      </c>
      <c r="M129" s="571">
        <f>SUM(J129:L129)</f>
        <v>22</v>
      </c>
      <c r="N129" s="259"/>
      <c r="O129" s="253"/>
      <c r="P129" s="603">
        <v>12</v>
      </c>
      <c r="Q129" s="179">
        <v>24</v>
      </c>
      <c r="R129" s="179">
        <v>1</v>
      </c>
      <c r="S129" s="200">
        <v>0</v>
      </c>
      <c r="T129" s="571">
        <f>SUM(Q129:S129)</f>
        <v>25</v>
      </c>
      <c r="U129" s="259"/>
      <c r="V129" s="253"/>
      <c r="W129" s="603">
        <v>12</v>
      </c>
      <c r="X129" s="179">
        <v>24</v>
      </c>
      <c r="Y129" s="179">
        <v>1</v>
      </c>
      <c r="Z129" s="200">
        <v>0</v>
      </c>
      <c r="AA129" s="571">
        <f>SUM(X129:Z129)</f>
        <v>25</v>
      </c>
      <c r="AB129" s="259"/>
      <c r="AC129" s="253"/>
      <c r="AD129" s="603">
        <v>12</v>
      </c>
      <c r="AE129" s="179">
        <v>24</v>
      </c>
      <c r="AF129" s="179">
        <v>1</v>
      </c>
      <c r="AG129" s="200">
        <v>0</v>
      </c>
      <c r="AH129" s="571">
        <f>SUM(AE129:AG129)</f>
        <v>25</v>
      </c>
      <c r="AI129" s="259"/>
    </row>
    <row r="130" spans="2:35" ht="12.75">
      <c r="B130" s="581" t="s">
        <v>137</v>
      </c>
      <c r="C130" s="561">
        <f>SUM(C126:C129)</f>
        <v>119</v>
      </c>
      <c r="D130" s="561">
        <f>SUM(D126:D129)</f>
        <v>5</v>
      </c>
      <c r="E130" s="561">
        <f>SUM(E126:E129)</f>
        <v>1</v>
      </c>
      <c r="F130" s="562">
        <f>SUM(F126:F129)</f>
        <v>125</v>
      </c>
      <c r="G130" s="259"/>
      <c r="H130" s="253"/>
      <c r="I130" s="588" t="s">
        <v>137</v>
      </c>
      <c r="J130" s="561">
        <f>SUM(J126:J129)</f>
        <v>138</v>
      </c>
      <c r="K130" s="561">
        <f>SUM(K126:K129)</f>
        <v>6</v>
      </c>
      <c r="L130" s="561">
        <f>SUM(L126:L129)</f>
        <v>1</v>
      </c>
      <c r="M130" s="562">
        <f>SUM(M126:M129)</f>
        <v>145</v>
      </c>
      <c r="N130" s="259"/>
      <c r="O130" s="253"/>
      <c r="P130" s="588" t="s">
        <v>137</v>
      </c>
      <c r="Q130" s="561">
        <f>SUM(Q126:Q129)</f>
        <v>156</v>
      </c>
      <c r="R130" s="561">
        <f>SUM(R126:R129)</f>
        <v>7</v>
      </c>
      <c r="S130" s="561">
        <f>SUM(S126:S129)</f>
        <v>2</v>
      </c>
      <c r="T130" s="562">
        <f>SUM(T126:T129)</f>
        <v>165</v>
      </c>
      <c r="U130" s="259"/>
      <c r="V130" s="253"/>
      <c r="W130" s="588" t="s">
        <v>137</v>
      </c>
      <c r="X130" s="561">
        <f>SUM(X126:X129)</f>
        <v>156</v>
      </c>
      <c r="Y130" s="561">
        <f>SUM(Y126:Y129)</f>
        <v>7</v>
      </c>
      <c r="Z130" s="561">
        <f>SUM(Z126:Z129)</f>
        <v>2</v>
      </c>
      <c r="AA130" s="562">
        <f>SUM(AA126:AA129)</f>
        <v>165</v>
      </c>
      <c r="AB130" s="259"/>
      <c r="AC130" s="253"/>
      <c r="AD130" s="588" t="s">
        <v>137</v>
      </c>
      <c r="AE130" s="561">
        <f>SUM(AE126:AE129)</f>
        <v>156</v>
      </c>
      <c r="AF130" s="561">
        <f>SUM(AF126:AF129)</f>
        <v>7</v>
      </c>
      <c r="AG130" s="561">
        <f>SUM(AG126:AG129)</f>
        <v>2</v>
      </c>
      <c r="AH130" s="562">
        <f>SUM(AH126:AH129)</f>
        <v>165</v>
      </c>
      <c r="AI130" s="259"/>
    </row>
    <row r="131" spans="2:35" ht="13.5" thickBot="1">
      <c r="B131" s="582" t="s">
        <v>110</v>
      </c>
      <c r="C131" s="563">
        <v>1</v>
      </c>
      <c r="D131" s="563">
        <v>0.7</v>
      </c>
      <c r="E131" s="563">
        <v>0.4</v>
      </c>
      <c r="F131" s="97"/>
      <c r="G131" s="259"/>
      <c r="H131" s="253"/>
      <c r="I131" s="589" t="s">
        <v>110</v>
      </c>
      <c r="J131" s="563">
        <v>1</v>
      </c>
      <c r="K131" s="563">
        <v>0.7</v>
      </c>
      <c r="L131" s="563">
        <v>0.4</v>
      </c>
      <c r="M131" s="97"/>
      <c r="N131" s="259"/>
      <c r="O131" s="253"/>
      <c r="P131" s="589" t="s">
        <v>110</v>
      </c>
      <c r="Q131" s="563">
        <v>1</v>
      </c>
      <c r="R131" s="563">
        <v>0.7</v>
      </c>
      <c r="S131" s="563">
        <v>0.4</v>
      </c>
      <c r="T131" s="97"/>
      <c r="U131" s="259"/>
      <c r="V131" s="253"/>
      <c r="W131" s="589" t="s">
        <v>110</v>
      </c>
      <c r="X131" s="563">
        <v>1</v>
      </c>
      <c r="Y131" s="563">
        <v>0.7</v>
      </c>
      <c r="Z131" s="563">
        <v>0.4</v>
      </c>
      <c r="AA131" s="97"/>
      <c r="AB131" s="259"/>
      <c r="AC131" s="253"/>
      <c r="AD131" s="589" t="s">
        <v>110</v>
      </c>
      <c r="AE131" s="563">
        <v>1</v>
      </c>
      <c r="AF131" s="563">
        <v>0.7</v>
      </c>
      <c r="AG131" s="563">
        <v>0.4</v>
      </c>
      <c r="AH131" s="166"/>
      <c r="AI131" s="259"/>
    </row>
    <row r="132" spans="2:35" ht="13.5" thickBot="1">
      <c r="B132" s="511" t="s">
        <v>138</v>
      </c>
      <c r="C132" s="564">
        <f>C130*C131</f>
        <v>119</v>
      </c>
      <c r="D132" s="564">
        <f>D130*D131</f>
        <v>3.5</v>
      </c>
      <c r="E132" s="564">
        <f>E130*E131</f>
        <v>0.4</v>
      </c>
      <c r="F132" s="572">
        <f>SUM(C132:E132)</f>
        <v>122.9</v>
      </c>
      <c r="G132" s="259"/>
      <c r="H132" s="253"/>
      <c r="I132" s="590" t="s">
        <v>138</v>
      </c>
      <c r="J132" s="564">
        <f>J130*J131</f>
        <v>138</v>
      </c>
      <c r="K132" s="564">
        <f>K130*K131</f>
        <v>4.199999999999999</v>
      </c>
      <c r="L132" s="564">
        <f>L130*L131</f>
        <v>0.4</v>
      </c>
      <c r="M132" s="572">
        <f>SUM(J132:L132)</f>
        <v>142.6</v>
      </c>
      <c r="N132" s="259"/>
      <c r="O132" s="253"/>
      <c r="P132" s="590" t="s">
        <v>138</v>
      </c>
      <c r="Q132" s="564">
        <f>Q130*Q131</f>
        <v>156</v>
      </c>
      <c r="R132" s="564">
        <f>R130*R131</f>
        <v>4.8999999999999995</v>
      </c>
      <c r="S132" s="564">
        <f>S130*S131</f>
        <v>0.8</v>
      </c>
      <c r="T132" s="572">
        <f>SUM(Q132:S132)</f>
        <v>161.70000000000002</v>
      </c>
      <c r="U132" s="259"/>
      <c r="V132" s="253"/>
      <c r="W132" s="590" t="s">
        <v>138</v>
      </c>
      <c r="X132" s="564">
        <f>X130*X131</f>
        <v>156</v>
      </c>
      <c r="Y132" s="564">
        <f>Y130*Y131</f>
        <v>4.8999999999999995</v>
      </c>
      <c r="Z132" s="564">
        <f>Z130*Z131</f>
        <v>0.8</v>
      </c>
      <c r="AA132" s="572">
        <f>SUM(X132:Z132)</f>
        <v>161.70000000000002</v>
      </c>
      <c r="AB132" s="259"/>
      <c r="AC132" s="253"/>
      <c r="AD132" s="590" t="s">
        <v>138</v>
      </c>
      <c r="AE132" s="564">
        <f>AE130*AE131</f>
        <v>156</v>
      </c>
      <c r="AF132" s="564">
        <f>AF130*AF131</f>
        <v>4.8999999999999995</v>
      </c>
      <c r="AG132" s="564">
        <f>AG130*AG131</f>
        <v>0.8</v>
      </c>
      <c r="AH132" s="572">
        <f>SUM(AE132:AG132)</f>
        <v>161.70000000000002</v>
      </c>
      <c r="AI132" s="259"/>
    </row>
    <row r="133" spans="2:35" ht="12.75">
      <c r="B133" s="182"/>
      <c r="C133" s="183"/>
      <c r="D133" s="108"/>
      <c r="E133" s="183"/>
      <c r="F133" s="108"/>
      <c r="G133" s="259"/>
      <c r="H133" s="253"/>
      <c r="I133" s="183"/>
      <c r="J133" s="183"/>
      <c r="K133" s="108"/>
      <c r="L133" s="183"/>
      <c r="M133" s="108"/>
      <c r="N133" s="259"/>
      <c r="O133" s="253"/>
      <c r="P133" s="183"/>
      <c r="Q133" s="183"/>
      <c r="R133" s="108"/>
      <c r="S133" s="183"/>
      <c r="T133" s="108"/>
      <c r="U133" s="259"/>
      <c r="V133" s="253"/>
      <c r="W133" s="183"/>
      <c r="X133" s="183"/>
      <c r="Y133" s="108"/>
      <c r="Z133" s="183"/>
      <c r="AA133" s="108"/>
      <c r="AB133" s="259"/>
      <c r="AC133" s="253"/>
      <c r="AD133" s="183"/>
      <c r="AE133" s="183"/>
      <c r="AF133" s="108"/>
      <c r="AG133" s="183"/>
      <c r="AH133" s="108"/>
      <c r="AI133" s="259"/>
    </row>
    <row r="134" spans="2:35" ht="13.5" thickBot="1">
      <c r="B134" s="182"/>
      <c r="C134" s="183"/>
      <c r="D134" s="108"/>
      <c r="E134" s="183"/>
      <c r="F134" s="108"/>
      <c r="G134" s="259"/>
      <c r="H134" s="253"/>
      <c r="I134" s="183"/>
      <c r="J134" s="183"/>
      <c r="K134" s="108"/>
      <c r="L134" s="183"/>
      <c r="M134" s="108"/>
      <c r="N134" s="259"/>
      <c r="O134" s="253"/>
      <c r="P134" s="183"/>
      <c r="Q134" s="183"/>
      <c r="R134" s="108"/>
      <c r="S134" s="183"/>
      <c r="T134" s="108"/>
      <c r="U134" s="259"/>
      <c r="V134" s="253"/>
      <c r="W134" s="183"/>
      <c r="X134" s="183"/>
      <c r="Y134" s="108"/>
      <c r="Z134" s="183"/>
      <c r="AA134" s="108"/>
      <c r="AB134" s="259"/>
      <c r="AC134" s="253"/>
      <c r="AD134" s="183"/>
      <c r="AE134" s="183"/>
      <c r="AF134" s="108"/>
      <c r="AG134" s="183"/>
      <c r="AH134" s="108"/>
      <c r="AI134" s="259"/>
    </row>
    <row r="135" spans="2:35" ht="13.5" thickBot="1">
      <c r="B135" s="1087" t="s">
        <v>139</v>
      </c>
      <c r="C135" s="1088"/>
      <c r="D135" s="97"/>
      <c r="E135" s="201"/>
      <c r="F135" s="97"/>
      <c r="G135" s="259"/>
      <c r="H135" s="253"/>
      <c r="I135" s="1101" t="s">
        <v>139</v>
      </c>
      <c r="J135" s="1088"/>
      <c r="K135" s="97"/>
      <c r="L135" s="201"/>
      <c r="M135" s="97"/>
      <c r="N135" s="259"/>
      <c r="O135" s="253"/>
      <c r="P135" s="1087" t="s">
        <v>139</v>
      </c>
      <c r="Q135" s="1088"/>
      <c r="R135" s="97"/>
      <c r="S135" s="201"/>
      <c r="T135" s="97"/>
      <c r="U135" s="259"/>
      <c r="V135" s="253"/>
      <c r="W135" s="1101" t="s">
        <v>139</v>
      </c>
      <c r="X135" s="1088"/>
      <c r="Y135" s="97"/>
      <c r="Z135" s="201"/>
      <c r="AA135" s="97"/>
      <c r="AB135" s="259"/>
      <c r="AC135" s="253"/>
      <c r="AD135" s="1101" t="s">
        <v>139</v>
      </c>
      <c r="AE135" s="1088"/>
      <c r="AF135" s="97"/>
      <c r="AG135" s="201"/>
      <c r="AH135" s="97"/>
      <c r="AI135" s="259"/>
    </row>
    <row r="136" spans="2:35" ht="12.75">
      <c r="B136" s="591" t="s">
        <v>323</v>
      </c>
      <c r="C136" s="565">
        <f>F132</f>
        <v>122.9</v>
      </c>
      <c r="D136" s="97"/>
      <c r="E136" s="201"/>
      <c r="F136" s="97"/>
      <c r="G136" s="259"/>
      <c r="H136" s="253"/>
      <c r="I136" s="595" t="s">
        <v>323</v>
      </c>
      <c r="J136" s="565">
        <f>M132</f>
        <v>142.6</v>
      </c>
      <c r="K136" s="97"/>
      <c r="L136" s="201"/>
      <c r="M136" s="97"/>
      <c r="N136" s="259"/>
      <c r="O136" s="253"/>
      <c r="P136" s="595" t="s">
        <v>140</v>
      </c>
      <c r="Q136" s="565">
        <f>T132</f>
        <v>161.70000000000002</v>
      </c>
      <c r="R136" s="97"/>
      <c r="S136" s="201"/>
      <c r="T136" s="97"/>
      <c r="U136" s="259"/>
      <c r="V136" s="253"/>
      <c r="W136" s="595" t="s">
        <v>323</v>
      </c>
      <c r="X136" s="565">
        <f>AA132</f>
        <v>161.70000000000002</v>
      </c>
      <c r="Y136" s="97"/>
      <c r="Z136" s="201"/>
      <c r="AA136" s="97"/>
      <c r="AB136" s="259"/>
      <c r="AC136" s="253"/>
      <c r="AD136" s="595" t="s">
        <v>323</v>
      </c>
      <c r="AE136" s="565">
        <f>AH132</f>
        <v>161.70000000000002</v>
      </c>
      <c r="AF136" s="97"/>
      <c r="AG136" s="201"/>
      <c r="AH136" s="97"/>
      <c r="AI136" s="259"/>
    </row>
    <row r="137" spans="2:35" ht="13.5" thickBot="1">
      <c r="B137" s="592" t="s">
        <v>59</v>
      </c>
      <c r="C137" s="566">
        <f>C17</f>
        <v>5868.88</v>
      </c>
      <c r="D137" s="97"/>
      <c r="E137" s="201"/>
      <c r="F137" s="97"/>
      <c r="G137" s="259"/>
      <c r="H137" s="253"/>
      <c r="I137" s="596" t="s">
        <v>59</v>
      </c>
      <c r="J137" s="566">
        <f>J17</f>
        <v>5868.88</v>
      </c>
      <c r="K137" s="97"/>
      <c r="L137" s="201"/>
      <c r="M137" s="97"/>
      <c r="N137" s="259"/>
      <c r="O137" s="253"/>
      <c r="P137" s="596" t="s">
        <v>59</v>
      </c>
      <c r="Q137" s="566">
        <f>Q15</f>
        <v>5868.88</v>
      </c>
      <c r="R137" s="97"/>
      <c r="S137" s="201"/>
      <c r="T137" s="97"/>
      <c r="U137" s="259"/>
      <c r="V137" s="253"/>
      <c r="W137" s="596" t="s">
        <v>59</v>
      </c>
      <c r="X137" s="566">
        <f>X15</f>
        <v>5868.88</v>
      </c>
      <c r="Y137" s="97"/>
      <c r="Z137" s="201"/>
      <c r="AA137" s="97"/>
      <c r="AB137" s="259"/>
      <c r="AC137" s="253"/>
      <c r="AD137" s="596" t="s">
        <v>59</v>
      </c>
      <c r="AE137" s="566">
        <f>AE15</f>
        <v>5868.88</v>
      </c>
      <c r="AF137" s="97"/>
      <c r="AG137" s="201"/>
      <c r="AH137" s="97"/>
      <c r="AI137" s="259"/>
    </row>
    <row r="138" spans="2:35" ht="15.75" thickBot="1">
      <c r="B138" s="560" t="s">
        <v>141</v>
      </c>
      <c r="C138" s="567">
        <f>C136*C137</f>
        <v>721285.3520000001</v>
      </c>
      <c r="D138" s="97"/>
      <c r="E138" s="201"/>
      <c r="F138" s="97"/>
      <c r="G138" s="259"/>
      <c r="H138" s="253"/>
      <c r="I138" s="597" t="s">
        <v>141</v>
      </c>
      <c r="J138" s="567">
        <f>J136*J137</f>
        <v>836902.288</v>
      </c>
      <c r="K138" s="97"/>
      <c r="L138" s="201"/>
      <c r="M138" s="97"/>
      <c r="N138" s="259"/>
      <c r="O138" s="253"/>
      <c r="P138" s="597" t="s">
        <v>141</v>
      </c>
      <c r="Q138" s="567">
        <f>Q136*Q137</f>
        <v>948997.8960000001</v>
      </c>
      <c r="R138" s="97"/>
      <c r="S138" s="201"/>
      <c r="T138" s="97"/>
      <c r="U138" s="259"/>
      <c r="V138" s="253"/>
      <c r="W138" s="597" t="s">
        <v>141</v>
      </c>
      <c r="X138" s="567">
        <f>X136*X137</f>
        <v>948997.8960000001</v>
      </c>
      <c r="Y138" s="97"/>
      <c r="Z138" s="201"/>
      <c r="AA138" s="97"/>
      <c r="AB138" s="259"/>
      <c r="AC138" s="253"/>
      <c r="AD138" s="597" t="s">
        <v>141</v>
      </c>
      <c r="AE138" s="567">
        <f>AE136*AE137</f>
        <v>948997.8960000001</v>
      </c>
      <c r="AF138" s="97"/>
      <c r="AG138" s="201"/>
      <c r="AH138" s="97"/>
      <c r="AI138" s="259"/>
    </row>
    <row r="139" spans="2:35" ht="15">
      <c r="B139" s="195"/>
      <c r="C139" s="196"/>
      <c r="D139" s="108"/>
      <c r="E139" s="108"/>
      <c r="F139" s="183"/>
      <c r="G139" s="259"/>
      <c r="H139" s="253"/>
      <c r="I139" s="249"/>
      <c r="J139" s="196"/>
      <c r="K139" s="108"/>
      <c r="L139" s="108"/>
      <c r="M139" s="183"/>
      <c r="N139" s="259"/>
      <c r="O139" s="253"/>
      <c r="P139" s="249"/>
      <c r="Q139" s="196"/>
      <c r="R139" s="108"/>
      <c r="S139" s="108"/>
      <c r="T139" s="183"/>
      <c r="U139" s="259"/>
      <c r="V139" s="253"/>
      <c r="W139" s="249"/>
      <c r="X139" s="196"/>
      <c r="Y139" s="108"/>
      <c r="Z139" s="108"/>
      <c r="AA139" s="183"/>
      <c r="AB139" s="259"/>
      <c r="AC139" s="253"/>
      <c r="AD139" s="249"/>
      <c r="AE139" s="196"/>
      <c r="AF139" s="108"/>
      <c r="AG139" s="108"/>
      <c r="AH139" s="183"/>
      <c r="AI139" s="259"/>
    </row>
    <row r="140" spans="2:35" ht="15.75" thickBot="1">
      <c r="B140" s="195"/>
      <c r="C140" s="196"/>
      <c r="D140" s="108"/>
      <c r="E140" s="108"/>
      <c r="F140" s="183"/>
      <c r="G140" s="259"/>
      <c r="H140" s="253"/>
      <c r="I140" s="249"/>
      <c r="J140" s="196"/>
      <c r="K140" s="108"/>
      <c r="L140" s="108"/>
      <c r="M140" s="183"/>
      <c r="N140" s="259"/>
      <c r="O140" s="253"/>
      <c r="P140" s="249"/>
      <c r="Q140" s="196"/>
      <c r="R140" s="108"/>
      <c r="S140" s="108"/>
      <c r="T140" s="183"/>
      <c r="U140" s="259"/>
      <c r="V140" s="253"/>
      <c r="W140" s="249"/>
      <c r="X140" s="196"/>
      <c r="Y140" s="108"/>
      <c r="Z140" s="108"/>
      <c r="AA140" s="183"/>
      <c r="AB140" s="259"/>
      <c r="AC140" s="253"/>
      <c r="AD140" s="249"/>
      <c r="AE140" s="196"/>
      <c r="AF140" s="108"/>
      <c r="AG140" s="108"/>
      <c r="AH140" s="183"/>
      <c r="AI140" s="259"/>
    </row>
    <row r="141" spans="2:35" ht="13.5" thickBot="1">
      <c r="B141" s="1087" t="s">
        <v>142</v>
      </c>
      <c r="C141" s="1088"/>
      <c r="D141" s="166"/>
      <c r="E141" s="166"/>
      <c r="F141" s="165"/>
      <c r="G141" s="259"/>
      <c r="H141" s="253"/>
      <c r="I141" s="1101" t="s">
        <v>142</v>
      </c>
      <c r="J141" s="1088"/>
      <c r="K141" s="166"/>
      <c r="L141" s="166"/>
      <c r="M141" s="165"/>
      <c r="N141" s="259"/>
      <c r="O141" s="253"/>
      <c r="P141" s="1087" t="s">
        <v>142</v>
      </c>
      <c r="Q141" s="1088"/>
      <c r="R141" s="166"/>
      <c r="S141" s="166"/>
      <c r="T141" s="165"/>
      <c r="U141" s="259"/>
      <c r="V141" s="253"/>
      <c r="W141" s="1101" t="s">
        <v>142</v>
      </c>
      <c r="X141" s="1088"/>
      <c r="Y141" s="166"/>
      <c r="Z141" s="166"/>
      <c r="AA141" s="165"/>
      <c r="AB141" s="259"/>
      <c r="AC141" s="253"/>
      <c r="AD141" s="1101" t="s">
        <v>142</v>
      </c>
      <c r="AE141" s="1088"/>
      <c r="AF141" s="166"/>
      <c r="AG141" s="166"/>
      <c r="AH141" s="165"/>
      <c r="AI141" s="259"/>
    </row>
    <row r="142" spans="2:35" ht="12.75">
      <c r="B142" s="591" t="s">
        <v>143</v>
      </c>
      <c r="C142" s="565">
        <f>F130</f>
        <v>125</v>
      </c>
      <c r="D142" s="166"/>
      <c r="E142" s="166"/>
      <c r="F142" s="165"/>
      <c r="G142" s="259"/>
      <c r="H142" s="253"/>
      <c r="I142" s="595" t="s">
        <v>143</v>
      </c>
      <c r="J142" s="565">
        <f>M130</f>
        <v>145</v>
      </c>
      <c r="K142" s="166"/>
      <c r="L142" s="166"/>
      <c r="M142" s="165"/>
      <c r="N142" s="259"/>
      <c r="O142" s="253"/>
      <c r="P142" s="595" t="s">
        <v>143</v>
      </c>
      <c r="Q142" s="565">
        <f>T130</f>
        <v>165</v>
      </c>
      <c r="R142" s="166"/>
      <c r="S142" s="166"/>
      <c r="T142" s="165"/>
      <c r="U142" s="259"/>
      <c r="V142" s="253"/>
      <c r="W142" s="595" t="s">
        <v>143</v>
      </c>
      <c r="X142" s="565">
        <f>AA130</f>
        <v>165</v>
      </c>
      <c r="Y142" s="166"/>
      <c r="Z142" s="166"/>
      <c r="AA142" s="165"/>
      <c r="AB142" s="259"/>
      <c r="AC142" s="253"/>
      <c r="AD142" s="595" t="s">
        <v>143</v>
      </c>
      <c r="AE142" s="565">
        <f>AH130</f>
        <v>165</v>
      </c>
      <c r="AF142" s="166"/>
      <c r="AG142" s="166"/>
      <c r="AH142" s="165"/>
      <c r="AI142" s="259"/>
    </row>
    <row r="143" spans="2:35" ht="16.5" thickBot="1">
      <c r="B143" s="592" t="s">
        <v>144</v>
      </c>
      <c r="C143" s="566">
        <f>C18</f>
        <v>2020.9</v>
      </c>
      <c r="D143" s="166"/>
      <c r="E143" s="166"/>
      <c r="F143" s="166"/>
      <c r="G143" s="261"/>
      <c r="H143" s="253"/>
      <c r="I143" s="596" t="s">
        <v>144</v>
      </c>
      <c r="J143" s="566">
        <f>J18</f>
        <v>2020.9</v>
      </c>
      <c r="K143" s="166"/>
      <c r="L143" s="166"/>
      <c r="M143" s="166"/>
      <c r="N143" s="261"/>
      <c r="O143" s="253"/>
      <c r="P143" s="596" t="s">
        <v>144</v>
      </c>
      <c r="Q143" s="566">
        <f>Q16</f>
        <v>2020.9</v>
      </c>
      <c r="R143" s="166"/>
      <c r="S143" s="166"/>
      <c r="T143" s="166"/>
      <c r="U143" s="261"/>
      <c r="V143" s="253"/>
      <c r="W143" s="596" t="s">
        <v>144</v>
      </c>
      <c r="X143" s="566">
        <f>X16</f>
        <v>2020.9</v>
      </c>
      <c r="Y143" s="166"/>
      <c r="Z143" s="166"/>
      <c r="AA143" s="166"/>
      <c r="AB143" s="261"/>
      <c r="AC143" s="253"/>
      <c r="AD143" s="596" t="s">
        <v>144</v>
      </c>
      <c r="AE143" s="566">
        <f>AE16</f>
        <v>2020.9</v>
      </c>
      <c r="AF143" s="166"/>
      <c r="AG143" s="166"/>
      <c r="AH143" s="166"/>
      <c r="AI143" s="261"/>
    </row>
    <row r="144" spans="2:35" ht="16.5" thickBot="1">
      <c r="B144" s="560" t="s">
        <v>145</v>
      </c>
      <c r="C144" s="567">
        <f>C142*C143</f>
        <v>252612.5</v>
      </c>
      <c r="D144" s="166"/>
      <c r="E144" s="166"/>
      <c r="F144" s="166"/>
      <c r="G144" s="261"/>
      <c r="H144" s="253"/>
      <c r="I144" s="597" t="s">
        <v>145</v>
      </c>
      <c r="J144" s="567">
        <f>J142*J143</f>
        <v>293030.5</v>
      </c>
      <c r="K144" s="166"/>
      <c r="L144" s="166"/>
      <c r="M144" s="166"/>
      <c r="N144" s="261"/>
      <c r="O144" s="253"/>
      <c r="P144" s="597" t="s">
        <v>145</v>
      </c>
      <c r="Q144" s="567">
        <f>Q142*Q143</f>
        <v>333448.5</v>
      </c>
      <c r="R144" s="166"/>
      <c r="S144" s="166"/>
      <c r="T144" s="166"/>
      <c r="U144" s="261"/>
      <c r="V144" s="253"/>
      <c r="W144" s="597" t="s">
        <v>145</v>
      </c>
      <c r="X144" s="567">
        <f>X142*X143</f>
        <v>333448.5</v>
      </c>
      <c r="Y144" s="166"/>
      <c r="Z144" s="166"/>
      <c r="AA144" s="166"/>
      <c r="AB144" s="261"/>
      <c r="AC144" s="253"/>
      <c r="AD144" s="597" t="s">
        <v>145</v>
      </c>
      <c r="AE144" s="567">
        <f>AE142*AE143</f>
        <v>333448.5</v>
      </c>
      <c r="AF144" s="166"/>
      <c r="AG144" s="166"/>
      <c r="AH144" s="166"/>
      <c r="AI144" s="261"/>
    </row>
    <row r="145" spans="2:35" ht="15.75">
      <c r="B145" s="197"/>
      <c r="C145" s="188"/>
      <c r="D145" s="188"/>
      <c r="E145" s="180"/>
      <c r="F145" s="192"/>
      <c r="G145" s="262"/>
      <c r="H145" s="253"/>
      <c r="I145" s="188"/>
      <c r="J145" s="188"/>
      <c r="K145" s="188"/>
      <c r="L145" s="180"/>
      <c r="M145" s="192"/>
      <c r="N145" s="262"/>
      <c r="O145" s="253"/>
      <c r="P145" s="188"/>
      <c r="Q145" s="188"/>
      <c r="R145" s="188"/>
      <c r="S145" s="180"/>
      <c r="T145" s="192"/>
      <c r="U145" s="262"/>
      <c r="V145" s="253"/>
      <c r="W145" s="188"/>
      <c r="X145" s="188"/>
      <c r="Y145" s="188"/>
      <c r="Z145" s="180"/>
      <c r="AA145" s="192"/>
      <c r="AB145" s="262"/>
      <c r="AC145" s="253"/>
      <c r="AD145" s="188"/>
      <c r="AE145" s="188"/>
      <c r="AF145" s="188"/>
      <c r="AG145" s="180"/>
      <c r="AH145" s="192"/>
      <c r="AI145" s="262"/>
    </row>
    <row r="146" spans="2:35" ht="16.5" thickBot="1">
      <c r="B146" s="197"/>
      <c r="C146" s="188"/>
      <c r="D146" s="188"/>
      <c r="E146" s="180"/>
      <c r="F146" s="192"/>
      <c r="G146" s="262"/>
      <c r="H146" s="253"/>
      <c r="I146" s="188"/>
      <c r="J146" s="188"/>
      <c r="K146" s="188"/>
      <c r="L146" s="180"/>
      <c r="M146" s="192"/>
      <c r="N146" s="262"/>
      <c r="O146" s="253"/>
      <c r="P146" s="188"/>
      <c r="Q146" s="188"/>
      <c r="R146" s="188"/>
      <c r="S146" s="180"/>
      <c r="T146" s="192"/>
      <c r="U146" s="262"/>
      <c r="V146" s="253"/>
      <c r="W146" s="188"/>
      <c r="X146" s="188"/>
      <c r="Y146" s="188"/>
      <c r="Z146" s="180"/>
      <c r="AA146" s="192"/>
      <c r="AB146" s="262"/>
      <c r="AC146" s="253"/>
      <c r="AD146" s="188"/>
      <c r="AE146" s="188"/>
      <c r="AF146" s="188"/>
      <c r="AG146" s="180"/>
      <c r="AH146" s="192"/>
      <c r="AI146" s="262"/>
    </row>
    <row r="147" spans="2:35" ht="13.5" thickBot="1">
      <c r="B147" s="1087" t="s">
        <v>146</v>
      </c>
      <c r="C147" s="1088"/>
      <c r="D147" s="187"/>
      <c r="E147" s="202"/>
      <c r="F147" s="203"/>
      <c r="G147" s="263"/>
      <c r="H147" s="253"/>
      <c r="I147" s="1101" t="s">
        <v>146</v>
      </c>
      <c r="J147" s="1088"/>
      <c r="K147" s="187"/>
      <c r="L147" s="202"/>
      <c r="M147" s="203"/>
      <c r="N147" s="263"/>
      <c r="O147" s="253"/>
      <c r="P147" s="1087" t="s">
        <v>146</v>
      </c>
      <c r="Q147" s="1088"/>
      <c r="R147" s="187"/>
      <c r="S147" s="202"/>
      <c r="T147" s="203"/>
      <c r="U147" s="263"/>
      <c r="V147" s="253"/>
      <c r="W147" s="1101" t="s">
        <v>146</v>
      </c>
      <c r="X147" s="1088"/>
      <c r="Y147" s="187"/>
      <c r="Z147" s="202"/>
      <c r="AA147" s="203"/>
      <c r="AB147" s="263"/>
      <c r="AC147" s="253"/>
      <c r="AD147" s="1101" t="s">
        <v>146</v>
      </c>
      <c r="AE147" s="1088"/>
      <c r="AF147" s="187"/>
      <c r="AG147" s="202"/>
      <c r="AH147" s="203"/>
      <c r="AI147" s="263"/>
    </row>
    <row r="148" spans="2:35" ht="12.75">
      <c r="B148" s="591" t="s">
        <v>141</v>
      </c>
      <c r="C148" s="568">
        <f>C138</f>
        <v>721285.3520000001</v>
      </c>
      <c r="D148" s="187"/>
      <c r="E148" s="202"/>
      <c r="F148" s="203"/>
      <c r="G148" s="263"/>
      <c r="H148" s="253"/>
      <c r="I148" s="595" t="s">
        <v>141</v>
      </c>
      <c r="J148" s="568">
        <f>J138</f>
        <v>836902.288</v>
      </c>
      <c r="K148" s="187"/>
      <c r="L148" s="202"/>
      <c r="M148" s="203"/>
      <c r="N148" s="263"/>
      <c r="O148" s="253"/>
      <c r="P148" s="595" t="s">
        <v>141</v>
      </c>
      <c r="Q148" s="568">
        <f>Q138</f>
        <v>948997.8960000001</v>
      </c>
      <c r="R148" s="187"/>
      <c r="S148" s="202"/>
      <c r="T148" s="203"/>
      <c r="U148" s="263"/>
      <c r="V148" s="253"/>
      <c r="W148" s="595" t="s">
        <v>141</v>
      </c>
      <c r="X148" s="568">
        <f>X138</f>
        <v>948997.8960000001</v>
      </c>
      <c r="Y148" s="187"/>
      <c r="Z148" s="202"/>
      <c r="AA148" s="203"/>
      <c r="AB148" s="263"/>
      <c r="AC148" s="253"/>
      <c r="AD148" s="595" t="s">
        <v>141</v>
      </c>
      <c r="AE148" s="568">
        <f>AE138</f>
        <v>948997.8960000001</v>
      </c>
      <c r="AF148" s="187"/>
      <c r="AG148" s="202"/>
      <c r="AH148" s="203"/>
      <c r="AI148" s="263"/>
    </row>
    <row r="149" spans="2:35" ht="12.75" customHeight="1" thickBot="1">
      <c r="B149" s="591" t="s">
        <v>145</v>
      </c>
      <c r="C149" s="566">
        <f>C144</f>
        <v>252612.5</v>
      </c>
      <c r="D149" s="187"/>
      <c r="E149" s="202"/>
      <c r="F149" s="203"/>
      <c r="G149" s="263"/>
      <c r="H149" s="253"/>
      <c r="I149" s="595" t="s">
        <v>145</v>
      </c>
      <c r="J149" s="566">
        <f>J144</f>
        <v>293030.5</v>
      </c>
      <c r="K149" s="187"/>
      <c r="L149" s="202"/>
      <c r="M149" s="203"/>
      <c r="N149" s="263"/>
      <c r="O149" s="253"/>
      <c r="P149" s="595" t="s">
        <v>145</v>
      </c>
      <c r="Q149" s="566">
        <f>Q144</f>
        <v>333448.5</v>
      </c>
      <c r="R149" s="187"/>
      <c r="S149" s="202"/>
      <c r="T149" s="203"/>
      <c r="U149" s="263"/>
      <c r="V149" s="253"/>
      <c r="W149" s="595" t="s">
        <v>145</v>
      </c>
      <c r="X149" s="566">
        <f>X144</f>
        <v>333448.5</v>
      </c>
      <c r="Y149" s="187"/>
      <c r="Z149" s="202"/>
      <c r="AA149" s="610"/>
      <c r="AB149" s="263"/>
      <c r="AC149" s="265"/>
      <c r="AD149" s="595" t="s">
        <v>145</v>
      </c>
      <c r="AE149" s="566">
        <f>AE144</f>
        <v>333448.5</v>
      </c>
      <c r="AF149" s="187"/>
      <c r="AG149" s="202"/>
      <c r="AH149" s="203"/>
      <c r="AI149" s="263"/>
    </row>
    <row r="150" spans="2:35" ht="15.75" thickBot="1">
      <c r="B150" s="560" t="s">
        <v>147</v>
      </c>
      <c r="C150" s="567">
        <f>C148+C149</f>
        <v>973897.8520000001</v>
      </c>
      <c r="D150" s="187"/>
      <c r="E150" s="202"/>
      <c r="F150" s="203"/>
      <c r="G150" s="264"/>
      <c r="H150" s="253"/>
      <c r="I150" s="597" t="s">
        <v>147</v>
      </c>
      <c r="J150" s="567">
        <f>J148+J149</f>
        <v>1129932.788</v>
      </c>
      <c r="K150" s="187"/>
      <c r="L150" s="202"/>
      <c r="M150" s="203"/>
      <c r="N150" s="264"/>
      <c r="O150" s="253"/>
      <c r="P150" s="597" t="s">
        <v>147</v>
      </c>
      <c r="Q150" s="567">
        <f>Q148+Q149</f>
        <v>1282446.3960000002</v>
      </c>
      <c r="R150" s="187"/>
      <c r="S150" s="202"/>
      <c r="T150" s="203"/>
      <c r="U150" s="264"/>
      <c r="V150" s="253"/>
      <c r="W150" s="597" t="s">
        <v>147</v>
      </c>
      <c r="X150" s="567">
        <f>X148+X149</f>
        <v>1282446.3960000002</v>
      </c>
      <c r="Y150" s="187"/>
      <c r="Z150" s="202"/>
      <c r="AA150" s="610"/>
      <c r="AB150" s="264"/>
      <c r="AC150" s="265"/>
      <c r="AD150" s="597" t="s">
        <v>147</v>
      </c>
      <c r="AE150" s="567">
        <f>AE148+AE149</f>
        <v>1282446.3960000002</v>
      </c>
      <c r="AF150" s="187"/>
      <c r="AG150" s="202"/>
      <c r="AH150" s="203"/>
      <c r="AI150" s="264"/>
    </row>
    <row r="151" spans="2:35" ht="15">
      <c r="B151" s="184"/>
      <c r="C151" s="185"/>
      <c r="D151" s="187"/>
      <c r="E151" s="202"/>
      <c r="F151" s="203"/>
      <c r="G151" s="264"/>
      <c r="H151" s="459"/>
      <c r="I151" s="184"/>
      <c r="J151" s="185"/>
      <c r="K151" s="187"/>
      <c r="L151" s="202"/>
      <c r="M151" s="203"/>
      <c r="N151" s="264"/>
      <c r="O151" s="253"/>
      <c r="P151" s="7"/>
      <c r="Q151" s="185"/>
      <c r="R151" s="187"/>
      <c r="S151" s="202"/>
      <c r="T151" s="203"/>
      <c r="U151" s="264"/>
      <c r="V151" s="253"/>
      <c r="W151" s="7"/>
      <c r="X151" s="185"/>
      <c r="Y151" s="187"/>
      <c r="Z151" s="202"/>
      <c r="AA151" s="610"/>
      <c r="AB151" s="264"/>
      <c r="AC151" s="265"/>
      <c r="AD151" s="7"/>
      <c r="AE151" s="185"/>
      <c r="AF151" s="187"/>
      <c r="AG151" s="202"/>
      <c r="AH151" s="203"/>
      <c r="AI151" s="264"/>
    </row>
    <row r="152" spans="2:35" ht="15" hidden="1">
      <c r="B152" s="184"/>
      <c r="C152" s="185"/>
      <c r="D152" s="187"/>
      <c r="E152" s="202"/>
      <c r="F152" s="203"/>
      <c r="G152" s="264"/>
      <c r="H152" s="459"/>
      <c r="I152" s="184"/>
      <c r="J152" s="185"/>
      <c r="K152" s="187"/>
      <c r="L152" s="202"/>
      <c r="M152" s="203"/>
      <c r="N152" s="264"/>
      <c r="O152" s="253"/>
      <c r="P152" s="7"/>
      <c r="Q152" s="185"/>
      <c r="R152" s="187"/>
      <c r="S152" s="202"/>
      <c r="T152" s="203"/>
      <c r="U152" s="264"/>
      <c r="V152" s="253"/>
      <c r="W152" s="7"/>
      <c r="X152" s="185"/>
      <c r="Y152" s="187"/>
      <c r="Z152" s="202"/>
      <c r="AA152" s="610"/>
      <c r="AB152" s="264"/>
      <c r="AC152" s="265"/>
      <c r="AD152" s="7"/>
      <c r="AE152" s="185"/>
      <c r="AF152" s="187"/>
      <c r="AG152" s="202"/>
      <c r="AH152" s="203"/>
      <c r="AI152" s="264"/>
    </row>
    <row r="153" spans="2:35" ht="15.75" hidden="1" thickBot="1">
      <c r="B153" s="184"/>
      <c r="C153" s="185"/>
      <c r="D153" s="187"/>
      <c r="E153" s="202"/>
      <c r="F153" s="203"/>
      <c r="G153" s="264"/>
      <c r="H153" s="459"/>
      <c r="I153" s="467"/>
      <c r="J153" s="277"/>
      <c r="K153" s="278"/>
      <c r="L153" s="190"/>
      <c r="M153" s="279"/>
      <c r="N153" s="264"/>
      <c r="O153" s="253"/>
      <c r="P153" s="467"/>
      <c r="Q153" s="277"/>
      <c r="R153" s="278"/>
      <c r="S153" s="190"/>
      <c r="T153" s="608"/>
      <c r="U153" s="264"/>
      <c r="V153" s="265"/>
      <c r="W153" s="243"/>
      <c r="X153" s="277"/>
      <c r="Y153" s="278"/>
      <c r="Z153" s="190"/>
      <c r="AA153" s="608"/>
      <c r="AB153" s="264"/>
      <c r="AC153" s="265"/>
      <c r="AD153" s="243"/>
      <c r="AE153" s="277"/>
      <c r="AF153" s="278"/>
      <c r="AG153" s="190"/>
      <c r="AH153" s="279"/>
      <c r="AI153" s="264"/>
    </row>
    <row r="154" spans="2:35" ht="16.5" customHeight="1" hidden="1" thickBot="1">
      <c r="B154" s="1144" t="s">
        <v>148</v>
      </c>
      <c r="C154" s="1145"/>
      <c r="D154" s="1145"/>
      <c r="E154" s="1145"/>
      <c r="F154" s="1146"/>
      <c r="G154" s="718"/>
      <c r="H154" s="459"/>
      <c r="I154" s="1144" t="s">
        <v>148</v>
      </c>
      <c r="J154" s="1145"/>
      <c r="K154" s="1145"/>
      <c r="L154" s="1145"/>
      <c r="M154" s="1146"/>
      <c r="N154" s="725"/>
      <c r="O154" s="265"/>
      <c r="P154" s="1144" t="s">
        <v>148</v>
      </c>
      <c r="Q154" s="1145"/>
      <c r="R154" s="1145"/>
      <c r="S154" s="1145"/>
      <c r="T154" s="1146"/>
      <c r="U154" s="725"/>
      <c r="V154" s="459"/>
      <c r="W154" s="1144" t="s">
        <v>148</v>
      </c>
      <c r="X154" s="1145"/>
      <c r="Y154" s="1145"/>
      <c r="Z154" s="1145"/>
      <c r="AA154" s="1146"/>
      <c r="AB154" s="726"/>
      <c r="AC154" s="459"/>
      <c r="AD154" s="1144" t="s">
        <v>148</v>
      </c>
      <c r="AE154" s="1145"/>
      <c r="AF154" s="1145"/>
      <c r="AG154" s="1145"/>
      <c r="AH154" s="1146"/>
      <c r="AI154" s="727"/>
    </row>
    <row r="155" spans="2:35" ht="13.5" hidden="1" thickBot="1">
      <c r="B155" s="197"/>
      <c r="C155" s="188"/>
      <c r="D155" s="188"/>
      <c r="E155" s="180"/>
      <c r="F155" s="465"/>
      <c r="G155" s="719"/>
      <c r="H155" s="459"/>
      <c r="I155" s="197"/>
      <c r="J155" s="188"/>
      <c r="K155" s="188"/>
      <c r="L155" s="180"/>
      <c r="M155" s="192"/>
      <c r="N155" s="611"/>
      <c r="O155" s="253"/>
      <c r="P155" s="197"/>
      <c r="Q155" s="188"/>
      <c r="R155" s="188"/>
      <c r="S155" s="180"/>
      <c r="T155" s="465"/>
      <c r="U155" s="611"/>
      <c r="V155" s="265"/>
      <c r="W155" s="188"/>
      <c r="X155" s="188"/>
      <c r="Y155" s="188"/>
      <c r="Z155" s="180"/>
      <c r="AA155" s="465"/>
      <c r="AB155" s="611"/>
      <c r="AC155" s="265"/>
      <c r="AD155" s="188"/>
      <c r="AE155" s="188"/>
      <c r="AF155" s="188"/>
      <c r="AG155" s="180"/>
      <c r="AH155" s="192"/>
      <c r="AI155" s="611"/>
    </row>
    <row r="156" spans="2:35" ht="15.75" hidden="1" thickBot="1">
      <c r="B156" s="573" t="s">
        <v>149</v>
      </c>
      <c r="C156" s="573">
        <f>E30+E66+F130+F98</f>
        <v>125</v>
      </c>
      <c r="D156" s="166"/>
      <c r="E156" s="166"/>
      <c r="F156" s="609"/>
      <c r="G156" s="720"/>
      <c r="H156" s="459"/>
      <c r="I156" s="573" t="s">
        <v>149</v>
      </c>
      <c r="J156" s="573">
        <f>L30+L66+M130+M98</f>
        <v>145</v>
      </c>
      <c r="K156" s="166"/>
      <c r="L156" s="166"/>
      <c r="M156" s="165"/>
      <c r="N156" s="259"/>
      <c r="O156" s="253"/>
      <c r="P156" s="573" t="s">
        <v>149</v>
      </c>
      <c r="Q156" s="573">
        <f>S30+S66+T130</f>
        <v>165</v>
      </c>
      <c r="R156" s="166"/>
      <c r="S156" s="166"/>
      <c r="T156" s="609"/>
      <c r="U156" s="259"/>
      <c r="V156" s="265"/>
      <c r="W156" s="607" t="s">
        <v>149</v>
      </c>
      <c r="X156" s="573">
        <f>Z30+Z66+AA130</f>
        <v>165</v>
      </c>
      <c r="Y156" s="166"/>
      <c r="Z156" s="166"/>
      <c r="AA156" s="609"/>
      <c r="AB156" s="259"/>
      <c r="AC156" s="265"/>
      <c r="AD156" s="607" t="s">
        <v>149</v>
      </c>
      <c r="AE156" s="573">
        <f>AG30+AG66+AH130</f>
        <v>165</v>
      </c>
      <c r="AF156" s="166"/>
      <c r="AG156" s="166"/>
      <c r="AH156" s="165"/>
      <c r="AI156" s="259"/>
    </row>
    <row r="157" spans="2:35" ht="13.5" hidden="1" thickBot="1">
      <c r="B157" s="205"/>
      <c r="C157" s="108"/>
      <c r="D157" s="172"/>
      <c r="E157" s="172"/>
      <c r="F157" s="452"/>
      <c r="G157" s="720"/>
      <c r="H157" s="459"/>
      <c r="I157" s="205"/>
      <c r="J157" s="108"/>
      <c r="K157" s="172"/>
      <c r="L157" s="172"/>
      <c r="M157" s="171"/>
      <c r="N157" s="259"/>
      <c r="O157" s="253"/>
      <c r="P157" s="108"/>
      <c r="Q157" s="108"/>
      <c r="R157" s="172"/>
      <c r="S157" s="172"/>
      <c r="T157" s="171"/>
      <c r="U157" s="259"/>
      <c r="V157" s="265"/>
      <c r="W157" s="108"/>
      <c r="X157" s="108"/>
      <c r="Y157" s="172"/>
      <c r="Z157" s="172"/>
      <c r="AA157" s="171"/>
      <c r="AB157" s="259"/>
      <c r="AC157" s="265"/>
      <c r="AD157" s="108"/>
      <c r="AE157" s="108"/>
      <c r="AF157" s="172"/>
      <c r="AG157" s="172"/>
      <c r="AH157" s="171"/>
      <c r="AI157" s="259"/>
    </row>
    <row r="158" spans="2:35" ht="13.5" customHeight="1" hidden="1" thickBot="1">
      <c r="B158" s="1081" t="s">
        <v>400</v>
      </c>
      <c r="C158" s="1082"/>
      <c r="D158" s="1082"/>
      <c r="E158" s="1082"/>
      <c r="F158" s="1083"/>
      <c r="G158" s="720"/>
      <c r="H158" s="459"/>
      <c r="I158" s="1081" t="s">
        <v>401</v>
      </c>
      <c r="J158" s="1082"/>
      <c r="K158" s="1082"/>
      <c r="L158" s="1082"/>
      <c r="M158" s="1083"/>
      <c r="N158" s="259"/>
      <c r="O158" s="253"/>
      <c r="P158" s="1081" t="s">
        <v>402</v>
      </c>
      <c r="Q158" s="1082"/>
      <c r="R158" s="1082"/>
      <c r="S158" s="1082"/>
      <c r="T158" s="1083"/>
      <c r="U158" s="259"/>
      <c r="V158" s="265"/>
      <c r="W158" s="1081" t="s">
        <v>403</v>
      </c>
      <c r="X158" s="1082"/>
      <c r="Y158" s="1082"/>
      <c r="Z158" s="1082"/>
      <c r="AA158" s="1083"/>
      <c r="AB158" s="259"/>
      <c r="AC158" s="265"/>
      <c r="AD158" s="1081" t="s">
        <v>404</v>
      </c>
      <c r="AE158" s="1082"/>
      <c r="AF158" s="1082"/>
      <c r="AG158" s="1082"/>
      <c r="AH158" s="1083"/>
      <c r="AI158" s="259"/>
    </row>
    <row r="159" spans="2:35" ht="13.5" hidden="1" thickBot="1">
      <c r="B159" s="560" t="s">
        <v>150</v>
      </c>
      <c r="C159" s="206"/>
      <c r="D159" s="108"/>
      <c r="E159" s="108"/>
      <c r="F159" s="462"/>
      <c r="G159" s="720"/>
      <c r="H159" s="459"/>
      <c r="I159" s="560" t="s">
        <v>150</v>
      </c>
      <c r="J159" s="206"/>
      <c r="K159" s="108"/>
      <c r="L159" s="108"/>
      <c r="M159" s="183"/>
      <c r="N159" s="259"/>
      <c r="O159" s="253"/>
      <c r="P159" s="597" t="s">
        <v>150</v>
      </c>
      <c r="Q159" s="206"/>
      <c r="R159" s="108"/>
      <c r="S159" s="108"/>
      <c r="T159" s="183"/>
      <c r="U159" s="259"/>
      <c r="V159" s="265"/>
      <c r="W159" s="597" t="s">
        <v>150</v>
      </c>
      <c r="X159" s="206"/>
      <c r="Y159" s="108"/>
      <c r="Z159" s="108"/>
      <c r="AA159" s="183"/>
      <c r="AB159" s="259"/>
      <c r="AC159" s="265"/>
      <c r="AD159" s="597" t="s">
        <v>150</v>
      </c>
      <c r="AE159" s="206"/>
      <c r="AF159" s="108"/>
      <c r="AG159" s="108"/>
      <c r="AH159" s="183"/>
      <c r="AI159" s="259"/>
    </row>
    <row r="160" spans="2:35" ht="13.5" hidden="1" thickBot="1">
      <c r="B160" s="560" t="s">
        <v>151</v>
      </c>
      <c r="C160" s="206">
        <v>100</v>
      </c>
      <c r="D160" s="108"/>
      <c r="E160" s="108"/>
      <c r="F160" s="462"/>
      <c r="G160" s="720"/>
      <c r="H160" s="459"/>
      <c r="I160" s="560" t="s">
        <v>151</v>
      </c>
      <c r="J160" s="206">
        <v>200</v>
      </c>
      <c r="K160" s="108"/>
      <c r="L160" s="108"/>
      <c r="M160" s="183"/>
      <c r="N160" s="259"/>
      <c r="O160" s="265"/>
      <c r="P160" s="597" t="s">
        <v>151</v>
      </c>
      <c r="Q160" s="206">
        <v>300</v>
      </c>
      <c r="R160" s="108"/>
      <c r="S160" s="108"/>
      <c r="T160" s="183"/>
      <c r="U160" s="259"/>
      <c r="V160" s="265"/>
      <c r="W160" s="597" t="s">
        <v>151</v>
      </c>
      <c r="X160" s="206">
        <v>400</v>
      </c>
      <c r="Y160" s="108"/>
      <c r="Z160" s="108"/>
      <c r="AA160" s="183"/>
      <c r="AB160" s="259"/>
      <c r="AC160" s="265"/>
      <c r="AD160" s="597" t="s">
        <v>151</v>
      </c>
      <c r="AE160" s="206">
        <v>500</v>
      </c>
      <c r="AF160" s="108"/>
      <c r="AG160" s="108"/>
      <c r="AH160" s="183"/>
      <c r="AI160" s="259"/>
    </row>
    <row r="161" spans="2:35" ht="13.5" hidden="1" thickBot="1">
      <c r="B161" s="560" t="s">
        <v>395</v>
      </c>
      <c r="C161" s="574">
        <f>C159+C160</f>
        <v>100</v>
      </c>
      <c r="D161" s="108"/>
      <c r="E161" s="108"/>
      <c r="F161" s="462"/>
      <c r="G161" s="720"/>
      <c r="H161" s="265"/>
      <c r="I161" s="597" t="s">
        <v>396</v>
      </c>
      <c r="J161" s="574">
        <f>J159+J160</f>
        <v>200</v>
      </c>
      <c r="K161" s="108"/>
      <c r="L161" s="108"/>
      <c r="M161" s="183"/>
      <c r="N161" s="259"/>
      <c r="O161" s="265"/>
      <c r="P161" s="597" t="s">
        <v>397</v>
      </c>
      <c r="Q161" s="574">
        <f>Q159+Q160</f>
        <v>300</v>
      </c>
      <c r="R161" s="108"/>
      <c r="S161" s="108"/>
      <c r="T161" s="183"/>
      <c r="U161" s="259"/>
      <c r="V161" s="265"/>
      <c r="W161" s="597" t="s">
        <v>398</v>
      </c>
      <c r="X161" s="574">
        <f>X159+X160</f>
        <v>400</v>
      </c>
      <c r="Y161" s="108"/>
      <c r="Z161" s="108"/>
      <c r="AA161" s="183"/>
      <c r="AB161" s="259"/>
      <c r="AC161" s="265"/>
      <c r="AD161" s="597" t="s">
        <v>399</v>
      </c>
      <c r="AE161" s="207">
        <f>AE159+AE160</f>
        <v>500</v>
      </c>
      <c r="AF161" s="108"/>
      <c r="AG161" s="108"/>
      <c r="AH161" s="183"/>
      <c r="AI161" s="259"/>
    </row>
    <row r="162" spans="2:35" ht="12.75" hidden="1">
      <c r="B162" s="205"/>
      <c r="C162" s="108"/>
      <c r="D162" s="108"/>
      <c r="E162" s="108"/>
      <c r="F162" s="462"/>
      <c r="G162" s="720"/>
      <c r="H162" s="265"/>
      <c r="I162" s="108"/>
      <c r="J162" s="108"/>
      <c r="K162" s="108"/>
      <c r="L162" s="108"/>
      <c r="M162" s="183"/>
      <c r="N162" s="259"/>
      <c r="O162" s="265"/>
      <c r="P162" s="108"/>
      <c r="Q162" s="108"/>
      <c r="R162" s="108"/>
      <c r="S162" s="108"/>
      <c r="T162" s="183"/>
      <c r="U162" s="259"/>
      <c r="V162" s="265"/>
      <c r="W162" s="108"/>
      <c r="X162" s="108"/>
      <c r="Y162" s="108"/>
      <c r="Z162" s="108"/>
      <c r="AA162" s="183"/>
      <c r="AB162" s="259"/>
      <c r="AC162" s="265"/>
      <c r="AD162" s="108"/>
      <c r="AE162" s="108"/>
      <c r="AF162" s="108"/>
      <c r="AG162" s="108"/>
      <c r="AH162" s="183"/>
      <c r="AI162" s="259"/>
    </row>
    <row r="163" spans="2:35" ht="13.5" thickBot="1">
      <c r="B163" s="219"/>
      <c r="C163" s="220"/>
      <c r="D163" s="220"/>
      <c r="E163" s="220"/>
      <c r="F163" s="612"/>
      <c r="G163" s="720"/>
      <c r="H163" s="265"/>
      <c r="I163" s="108"/>
      <c r="J163" s="108"/>
      <c r="K163" s="108"/>
      <c r="L163" s="108"/>
      <c r="M163" s="183"/>
      <c r="N163" s="259"/>
      <c r="O163" s="265"/>
      <c r="P163" s="108"/>
      <c r="Q163" s="108"/>
      <c r="R163" s="108"/>
      <c r="S163" s="108"/>
      <c r="T163" s="183"/>
      <c r="U163" s="259"/>
      <c r="V163" s="265"/>
      <c r="W163" s="108"/>
      <c r="X163" s="108"/>
      <c r="Y163" s="108"/>
      <c r="Z163" s="108"/>
      <c r="AA163" s="183"/>
      <c r="AB163" s="259"/>
      <c r="AC163" s="265"/>
      <c r="AD163" s="108"/>
      <c r="AE163" s="108"/>
      <c r="AF163" s="108"/>
      <c r="AG163" s="108"/>
      <c r="AH163" s="183"/>
      <c r="AI163" s="259"/>
    </row>
    <row r="164" spans="2:35" ht="15.75">
      <c r="B164" s="1126" t="s">
        <v>152</v>
      </c>
      <c r="C164" s="1127"/>
      <c r="D164" s="1127"/>
      <c r="E164" s="1127"/>
      <c r="F164" s="1128"/>
      <c r="G164" s="721"/>
      <c r="H164" s="265"/>
      <c r="I164" s="1126" t="s">
        <v>152</v>
      </c>
      <c r="J164" s="1127"/>
      <c r="K164" s="1127"/>
      <c r="L164" s="1127"/>
      <c r="M164" s="1128"/>
      <c r="N164" s="261"/>
      <c r="O164" s="265"/>
      <c r="P164" s="1126" t="s">
        <v>152</v>
      </c>
      <c r="Q164" s="1127"/>
      <c r="R164" s="1127"/>
      <c r="S164" s="1127"/>
      <c r="T164" s="1128"/>
      <c r="U164" s="261"/>
      <c r="V164" s="265"/>
      <c r="W164" s="1126" t="s">
        <v>152</v>
      </c>
      <c r="X164" s="1127"/>
      <c r="Y164" s="1127"/>
      <c r="Z164" s="1127"/>
      <c r="AA164" s="1128"/>
      <c r="AB164" s="261"/>
      <c r="AC164" s="265"/>
      <c r="AD164" s="1126" t="s">
        <v>152</v>
      </c>
      <c r="AE164" s="1127"/>
      <c r="AF164" s="1127"/>
      <c r="AG164" s="1127"/>
      <c r="AH164" s="1128"/>
      <c r="AI164" s="261"/>
    </row>
    <row r="165" spans="2:35" ht="16.5" thickBot="1">
      <c r="B165" s="1129"/>
      <c r="C165" s="1130"/>
      <c r="D165" s="1130"/>
      <c r="E165" s="1130"/>
      <c r="F165" s="1131"/>
      <c r="G165" s="721"/>
      <c r="H165" s="265"/>
      <c r="I165" s="1129"/>
      <c r="J165" s="1130"/>
      <c r="K165" s="1130"/>
      <c r="L165" s="1130"/>
      <c r="M165" s="1131"/>
      <c r="N165" s="261"/>
      <c r="O165" s="265"/>
      <c r="P165" s="1129"/>
      <c r="Q165" s="1130"/>
      <c r="R165" s="1130"/>
      <c r="S165" s="1130"/>
      <c r="T165" s="1131"/>
      <c r="U165" s="261"/>
      <c r="V165" s="265"/>
      <c r="W165" s="1129"/>
      <c r="X165" s="1130"/>
      <c r="Y165" s="1130"/>
      <c r="Z165" s="1130"/>
      <c r="AA165" s="1131"/>
      <c r="AB165" s="261"/>
      <c r="AC165" s="265"/>
      <c r="AD165" s="1129"/>
      <c r="AE165" s="1130"/>
      <c r="AF165" s="1130"/>
      <c r="AG165" s="1130"/>
      <c r="AH165" s="1131"/>
      <c r="AI165" s="261"/>
    </row>
    <row r="166" spans="2:35" ht="16.5" hidden="1" thickBot="1">
      <c r="B166" s="613" t="s">
        <v>153</v>
      </c>
      <c r="C166" s="495"/>
      <c r="D166" s="495"/>
      <c r="E166" s="495"/>
      <c r="F166" s="496"/>
      <c r="G166" s="722"/>
      <c r="H166" s="265"/>
      <c r="I166" s="614" t="s">
        <v>153</v>
      </c>
      <c r="J166" s="495"/>
      <c r="K166" s="495"/>
      <c r="L166" s="495"/>
      <c r="M166" s="495"/>
      <c r="N166" s="258"/>
      <c r="O166" s="265"/>
      <c r="P166" s="614" t="s">
        <v>153</v>
      </c>
      <c r="Q166" s="495"/>
      <c r="R166" s="495"/>
      <c r="S166" s="495"/>
      <c r="T166" s="495"/>
      <c r="U166" s="258"/>
      <c r="V166" s="265"/>
      <c r="W166" s="614" t="s">
        <v>153</v>
      </c>
      <c r="X166" s="495"/>
      <c r="Y166" s="495"/>
      <c r="Z166" s="495"/>
      <c r="AA166" s="495"/>
      <c r="AB166" s="258"/>
      <c r="AC166" s="265"/>
      <c r="AD166" s="614" t="s">
        <v>153</v>
      </c>
      <c r="AE166" s="495"/>
      <c r="AF166" s="495"/>
      <c r="AG166" s="495"/>
      <c r="AH166" s="495"/>
      <c r="AI166" s="258"/>
    </row>
    <row r="167" spans="2:35" ht="12.75" hidden="1">
      <c r="B167" s="208"/>
      <c r="C167" s="97"/>
      <c r="D167" s="209"/>
      <c r="E167" s="209"/>
      <c r="F167" s="210"/>
      <c r="G167" s="720"/>
      <c r="H167" s="265"/>
      <c r="I167" s="97"/>
      <c r="J167" s="97"/>
      <c r="K167" s="209"/>
      <c r="L167" s="209"/>
      <c r="M167" s="280"/>
      <c r="N167" s="259"/>
      <c r="O167" s="265"/>
      <c r="P167" s="97"/>
      <c r="Q167" s="97"/>
      <c r="R167" s="209"/>
      <c r="S167" s="209"/>
      <c r="T167" s="280"/>
      <c r="U167" s="259"/>
      <c r="V167" s="265"/>
      <c r="W167" s="97"/>
      <c r="X167" s="97"/>
      <c r="Y167" s="209"/>
      <c r="Z167" s="209"/>
      <c r="AA167" s="280"/>
      <c r="AB167" s="259"/>
      <c r="AC167" s="265"/>
      <c r="AD167" s="97"/>
      <c r="AE167" s="97"/>
      <c r="AF167" s="209"/>
      <c r="AG167" s="209"/>
      <c r="AH167" s="280"/>
      <c r="AI167" s="259"/>
    </row>
    <row r="168" spans="2:35" ht="12.75">
      <c r="B168" s="615" t="s">
        <v>39</v>
      </c>
      <c r="C168" s="575">
        <f>E30+E66+F98+F130</f>
        <v>125</v>
      </c>
      <c r="D168" s="211"/>
      <c r="E168" s="211"/>
      <c r="F168" s="212"/>
      <c r="G168" s="720"/>
      <c r="H168" s="265"/>
      <c r="I168" s="617" t="s">
        <v>39</v>
      </c>
      <c r="J168" s="575">
        <f>L30+L66+M98+M130</f>
        <v>145</v>
      </c>
      <c r="K168" s="211"/>
      <c r="L168" s="211"/>
      <c r="M168" s="281"/>
      <c r="N168" s="259"/>
      <c r="O168" s="265"/>
      <c r="P168" s="617" t="s">
        <v>39</v>
      </c>
      <c r="Q168" s="575">
        <f>S30+S66+T98+T130</f>
        <v>165</v>
      </c>
      <c r="R168" s="211"/>
      <c r="S168" s="211"/>
      <c r="T168" s="281"/>
      <c r="U168" s="259"/>
      <c r="V168" s="265"/>
      <c r="W168" s="617" t="s">
        <v>39</v>
      </c>
      <c r="X168" s="575">
        <f>Z30+Z66+AA98+AA130</f>
        <v>165</v>
      </c>
      <c r="Y168" s="211"/>
      <c r="Z168" s="211"/>
      <c r="AA168" s="281"/>
      <c r="AB168" s="259"/>
      <c r="AC168" s="265"/>
      <c r="AD168" s="617" t="s">
        <v>39</v>
      </c>
      <c r="AE168" s="575">
        <f>AG30+AG66+AH98+AH130</f>
        <v>165</v>
      </c>
      <c r="AF168" s="211"/>
      <c r="AG168" s="211"/>
      <c r="AH168" s="281"/>
      <c r="AI168" s="259"/>
    </row>
    <row r="169" spans="2:35" ht="13.5" thickBot="1">
      <c r="B169" s="616" t="s">
        <v>154</v>
      </c>
      <c r="C169" s="576">
        <v>750</v>
      </c>
      <c r="D169" s="211"/>
      <c r="E169" s="211"/>
      <c r="F169" s="213"/>
      <c r="G169" s="720"/>
      <c r="H169" s="265"/>
      <c r="I169" s="618" t="s">
        <v>154</v>
      </c>
      <c r="J169" s="576">
        <v>750</v>
      </c>
      <c r="K169" s="211"/>
      <c r="L169" s="211"/>
      <c r="M169" s="282"/>
      <c r="N169" s="259"/>
      <c r="O169" s="265"/>
      <c r="P169" s="618" t="s">
        <v>154</v>
      </c>
      <c r="Q169" s="576">
        <v>750</v>
      </c>
      <c r="R169" s="211"/>
      <c r="S169" s="211"/>
      <c r="T169" s="282"/>
      <c r="U169" s="259"/>
      <c r="V169" s="265"/>
      <c r="W169" s="618" t="s">
        <v>154</v>
      </c>
      <c r="X169" s="576">
        <v>750</v>
      </c>
      <c r="Y169" s="211"/>
      <c r="Z169" s="211"/>
      <c r="AA169" s="282"/>
      <c r="AB169" s="259"/>
      <c r="AC169" s="265"/>
      <c r="AD169" s="618" t="s">
        <v>154</v>
      </c>
      <c r="AE169" s="576">
        <v>750</v>
      </c>
      <c r="AF169" s="211"/>
      <c r="AG169" s="211"/>
      <c r="AH169" s="282"/>
      <c r="AI169" s="259"/>
    </row>
    <row r="170" spans="2:35" ht="13.5" thickBot="1">
      <c r="B170" s="572" t="s">
        <v>41</v>
      </c>
      <c r="C170" s="577">
        <f>C168*C169</f>
        <v>93750</v>
      </c>
      <c r="D170" s="6"/>
      <c r="E170" s="6"/>
      <c r="F170" s="214"/>
      <c r="G170" s="720"/>
      <c r="H170" s="265"/>
      <c r="I170" s="619" t="s">
        <v>41</v>
      </c>
      <c r="J170" s="577">
        <f>J168*J169</f>
        <v>108750</v>
      </c>
      <c r="K170" s="6"/>
      <c r="L170" s="6"/>
      <c r="M170" s="283"/>
      <c r="N170" s="259"/>
      <c r="O170" s="265"/>
      <c r="P170" s="619" t="s">
        <v>41</v>
      </c>
      <c r="Q170" s="577">
        <f>Q168*Q169</f>
        <v>123750</v>
      </c>
      <c r="R170" s="6"/>
      <c r="S170" s="6"/>
      <c r="T170" s="283"/>
      <c r="U170" s="259"/>
      <c r="V170" s="265"/>
      <c r="W170" s="619" t="s">
        <v>41</v>
      </c>
      <c r="X170" s="577">
        <f>X168*X169</f>
        <v>123750</v>
      </c>
      <c r="Y170" s="6"/>
      <c r="Z170" s="6"/>
      <c r="AA170" s="283"/>
      <c r="AB170" s="259"/>
      <c r="AC170" s="265"/>
      <c r="AD170" s="619" t="s">
        <v>41</v>
      </c>
      <c r="AE170" s="577">
        <f>AE168*AE169</f>
        <v>123750</v>
      </c>
      <c r="AF170" s="6"/>
      <c r="AG170" s="6"/>
      <c r="AH170" s="283"/>
      <c r="AI170" s="259"/>
    </row>
    <row r="171" spans="2:35" ht="13.5" hidden="1" thickBot="1">
      <c r="B171" s="215"/>
      <c r="C171" s="216"/>
      <c r="D171" s="217"/>
      <c r="E171" s="217"/>
      <c r="F171" s="218"/>
      <c r="G171" s="720"/>
      <c r="H171" s="265"/>
      <c r="I171" s="216"/>
      <c r="J171" s="216"/>
      <c r="K171" s="217"/>
      <c r="L171" s="217"/>
      <c r="M171" s="284"/>
      <c r="N171" s="259"/>
      <c r="O171" s="265"/>
      <c r="P171" s="216"/>
      <c r="Q171" s="216"/>
      <c r="R171" s="217"/>
      <c r="S171" s="217"/>
      <c r="T171" s="284"/>
      <c r="U171" s="259"/>
      <c r="V171" s="265"/>
      <c r="W171" s="216"/>
      <c r="X171" s="216"/>
      <c r="Y171" s="217"/>
      <c r="Z171" s="217"/>
      <c r="AA171" s="284"/>
      <c r="AB171" s="259"/>
      <c r="AC171" s="265"/>
      <c r="AD171" s="216"/>
      <c r="AE171" s="216"/>
      <c r="AF171" s="217"/>
      <c r="AG171" s="217"/>
      <c r="AH171" s="284"/>
      <c r="AI171" s="259"/>
    </row>
    <row r="172" spans="2:35" ht="13.5" hidden="1" thickBot="1">
      <c r="B172" s="219"/>
      <c r="C172" s="220"/>
      <c r="D172" s="220"/>
      <c r="E172" s="220"/>
      <c r="F172" s="612"/>
      <c r="G172" s="723"/>
      <c r="H172" s="265"/>
      <c r="I172" s="220"/>
      <c r="J172" s="220"/>
      <c r="K172" s="220"/>
      <c r="L172" s="220"/>
      <c r="M172" s="221"/>
      <c r="N172" s="285"/>
      <c r="O172" s="265"/>
      <c r="P172" s="220"/>
      <c r="Q172" s="220"/>
      <c r="R172" s="220"/>
      <c r="S172" s="220"/>
      <c r="T172" s="221"/>
      <c r="U172" s="285"/>
      <c r="V172" s="265"/>
      <c r="W172" s="220"/>
      <c r="X172" s="220"/>
      <c r="Y172" s="220"/>
      <c r="Z172" s="220"/>
      <c r="AA172" s="221"/>
      <c r="AB172" s="285"/>
      <c r="AC172" s="265"/>
      <c r="AD172" s="220"/>
      <c r="AE172" s="220"/>
      <c r="AF172" s="220"/>
      <c r="AG172" s="220"/>
      <c r="AH172" s="221"/>
      <c r="AI172" s="285"/>
    </row>
    <row r="173" spans="2:35" ht="12.75" hidden="1">
      <c r="B173" s="205"/>
      <c r="C173" s="108"/>
      <c r="D173" s="108"/>
      <c r="E173" s="108"/>
      <c r="F173" s="462"/>
      <c r="G173" s="204"/>
      <c r="H173" s="265"/>
      <c r="I173" s="4"/>
      <c r="J173" s="4"/>
      <c r="K173" s="4"/>
      <c r="L173" s="4"/>
      <c r="M173" s="222"/>
      <c r="N173" s="259"/>
      <c r="O173" s="265"/>
      <c r="P173" s="4"/>
      <c r="Q173" s="4"/>
      <c r="R173" s="4"/>
      <c r="S173" s="4"/>
      <c r="T173" s="222"/>
      <c r="U173" s="259"/>
      <c r="V173" s="265"/>
      <c r="W173" s="4"/>
      <c r="X173" s="4"/>
      <c r="Y173" s="4"/>
      <c r="Z173" s="4"/>
      <c r="AA173" s="222"/>
      <c r="AB173" s="259"/>
      <c r="AC173" s="265"/>
      <c r="AD173" s="4"/>
      <c r="AE173" s="4"/>
      <c r="AF173" s="4"/>
      <c r="AG173" s="4"/>
      <c r="AH173" s="222"/>
      <c r="AI173" s="259"/>
    </row>
    <row r="174" spans="2:35" ht="12.75" hidden="1">
      <c r="B174" s="205"/>
      <c r="C174" s="108"/>
      <c r="D174" s="108"/>
      <c r="E174" s="108"/>
      <c r="F174" s="462"/>
      <c r="G174" s="204"/>
      <c r="H174" s="265"/>
      <c r="I174" s="4"/>
      <c r="J174" s="4"/>
      <c r="K174" s="4"/>
      <c r="L174" s="4"/>
      <c r="M174" s="222"/>
      <c r="N174" s="259"/>
      <c r="O174" s="265"/>
      <c r="P174" s="4"/>
      <c r="Q174" s="4"/>
      <c r="R174" s="4"/>
      <c r="S174" s="4"/>
      <c r="T174" s="222"/>
      <c r="U174" s="259"/>
      <c r="V174" s="265"/>
      <c r="W174" s="4"/>
      <c r="X174" s="4"/>
      <c r="Y174" s="4"/>
      <c r="Z174" s="4"/>
      <c r="AA174" s="222"/>
      <c r="AB174" s="259"/>
      <c r="AC174" s="265"/>
      <c r="AD174" s="4"/>
      <c r="AE174" s="4"/>
      <c r="AF174" s="4"/>
      <c r="AG174" s="4"/>
      <c r="AH174" s="222"/>
      <c r="AI174" s="259"/>
    </row>
    <row r="175" spans="2:35" ht="12.75" hidden="1">
      <c r="B175" s="205"/>
      <c r="C175" s="108"/>
      <c r="D175" s="108"/>
      <c r="E175" s="108"/>
      <c r="F175" s="462"/>
      <c r="G175" s="204"/>
      <c r="H175" s="265"/>
      <c r="I175" s="4"/>
      <c r="J175" s="4"/>
      <c r="K175" s="4"/>
      <c r="L175" s="4"/>
      <c r="M175" s="222"/>
      <c r="N175" s="259"/>
      <c r="O175" s="265"/>
      <c r="P175" s="4"/>
      <c r="Q175" s="4"/>
      <c r="R175" s="4"/>
      <c r="S175" s="4"/>
      <c r="T175" s="222"/>
      <c r="U175" s="259"/>
      <c r="V175" s="265"/>
      <c r="W175" s="4"/>
      <c r="X175" s="4"/>
      <c r="Y175" s="4"/>
      <c r="Z175" s="4"/>
      <c r="AA175" s="222"/>
      <c r="AB175" s="259"/>
      <c r="AC175" s="265"/>
      <c r="AD175" s="4"/>
      <c r="AE175" s="4"/>
      <c r="AF175" s="4"/>
      <c r="AG175" s="4"/>
      <c r="AH175" s="222"/>
      <c r="AI175" s="259"/>
    </row>
    <row r="176" spans="2:35" ht="12.75" hidden="1">
      <c r="B176" s="205"/>
      <c r="C176" s="108"/>
      <c r="D176" s="108"/>
      <c r="E176" s="108"/>
      <c r="F176" s="462"/>
      <c r="G176" s="204"/>
      <c r="H176" s="265"/>
      <c r="I176" s="4"/>
      <c r="J176" s="4"/>
      <c r="K176" s="4"/>
      <c r="L176" s="4"/>
      <c r="M176" s="222"/>
      <c r="N176" s="259"/>
      <c r="O176" s="265"/>
      <c r="P176" s="4"/>
      <c r="Q176" s="4"/>
      <c r="R176" s="4"/>
      <c r="S176" s="4"/>
      <c r="T176" s="222"/>
      <c r="U176" s="259"/>
      <c r="V176" s="265"/>
      <c r="W176" s="4"/>
      <c r="X176" s="4"/>
      <c r="Y176" s="4"/>
      <c r="Z176" s="4"/>
      <c r="AA176" s="222"/>
      <c r="AB176" s="259"/>
      <c r="AC176" s="265"/>
      <c r="AD176" s="4"/>
      <c r="AE176" s="4"/>
      <c r="AF176" s="4"/>
      <c r="AG176" s="4"/>
      <c r="AH176" s="222"/>
      <c r="AI176" s="259"/>
    </row>
    <row r="177" spans="2:35" ht="12.75">
      <c r="B177" s="205"/>
      <c r="C177" s="108"/>
      <c r="D177" s="108"/>
      <c r="E177" s="108"/>
      <c r="F177" s="462"/>
      <c r="G177" s="204"/>
      <c r="H177" s="265"/>
      <c r="I177" s="4"/>
      <c r="J177" s="4"/>
      <c r="K177" s="4"/>
      <c r="L177" s="4"/>
      <c r="M177" s="222"/>
      <c r="N177" s="259"/>
      <c r="O177" s="265"/>
      <c r="P177" s="4"/>
      <c r="Q177" s="4"/>
      <c r="R177" s="4"/>
      <c r="S177" s="4"/>
      <c r="T177" s="222"/>
      <c r="U177" s="259"/>
      <c r="V177" s="265"/>
      <c r="W177" s="4"/>
      <c r="X177" s="4"/>
      <c r="Y177" s="4"/>
      <c r="Z177" s="4"/>
      <c r="AA177" s="222"/>
      <c r="AB177" s="259"/>
      <c r="AC177" s="265"/>
      <c r="AD177" s="4"/>
      <c r="AE177" s="4"/>
      <c r="AF177" s="4"/>
      <c r="AG177" s="4"/>
      <c r="AH177" s="222"/>
      <c r="AI177" s="259"/>
    </row>
    <row r="178" spans="2:35" ht="13.5" thickBot="1">
      <c r="B178" s="901"/>
      <c r="C178" s="108"/>
      <c r="D178" s="108"/>
      <c r="E178" s="108"/>
      <c r="F178" s="612"/>
      <c r="G178" s="204"/>
      <c r="H178" s="265"/>
      <c r="I178" s="4"/>
      <c r="J178" s="4"/>
      <c r="K178" s="4"/>
      <c r="L178" s="4"/>
      <c r="M178" s="222"/>
      <c r="N178" s="285"/>
      <c r="O178" s="265"/>
      <c r="P178" s="4"/>
      <c r="Q178" s="4"/>
      <c r="R178" s="4"/>
      <c r="S178" s="4"/>
      <c r="T178" s="222"/>
      <c r="U178" s="285"/>
      <c r="V178" s="265"/>
      <c r="W178" s="4"/>
      <c r="X178" s="4"/>
      <c r="Y178" s="4"/>
      <c r="Z178" s="4"/>
      <c r="AA178" s="222"/>
      <c r="AB178" s="285"/>
      <c r="AC178" s="265"/>
      <c r="AD178" s="4"/>
      <c r="AE178" s="4"/>
      <c r="AF178" s="4"/>
      <c r="AG178" s="4"/>
      <c r="AH178" s="222"/>
      <c r="AI178" s="285"/>
    </row>
    <row r="179" spans="2:35" ht="12.75" customHeight="1">
      <c r="B179" s="1126" t="s">
        <v>12</v>
      </c>
      <c r="C179" s="1127"/>
      <c r="D179" s="1127"/>
      <c r="E179" s="1127"/>
      <c r="F179" s="1127"/>
      <c r="G179" s="1128"/>
      <c r="H179" s="265"/>
      <c r="I179" s="1127" t="s">
        <v>12</v>
      </c>
      <c r="J179" s="1127"/>
      <c r="K179" s="1127"/>
      <c r="L179" s="1127"/>
      <c r="M179" s="1127"/>
      <c r="N179" s="1128"/>
      <c r="O179" s="265"/>
      <c r="P179" s="1126" t="s">
        <v>12</v>
      </c>
      <c r="Q179" s="1127"/>
      <c r="R179" s="1127"/>
      <c r="S179" s="1127"/>
      <c r="T179" s="1127"/>
      <c r="U179" s="1128"/>
      <c r="V179" s="265"/>
      <c r="W179" s="1127" t="s">
        <v>12</v>
      </c>
      <c r="X179" s="1127"/>
      <c r="Y179" s="1127"/>
      <c r="Z179" s="1127"/>
      <c r="AA179" s="1127"/>
      <c r="AB179" s="1128"/>
      <c r="AC179" s="265"/>
      <c r="AD179" s="1127" t="s">
        <v>12</v>
      </c>
      <c r="AE179" s="1127"/>
      <c r="AF179" s="1127"/>
      <c r="AG179" s="1127"/>
      <c r="AH179" s="1127"/>
      <c r="AI179" s="1128"/>
    </row>
    <row r="180" spans="2:35" ht="13.5" customHeight="1" thickBot="1">
      <c r="B180" s="1129"/>
      <c r="C180" s="1130"/>
      <c r="D180" s="1130"/>
      <c r="E180" s="1130"/>
      <c r="F180" s="1130"/>
      <c r="G180" s="1131"/>
      <c r="H180" s="265"/>
      <c r="I180" s="1130"/>
      <c r="J180" s="1130"/>
      <c r="K180" s="1130"/>
      <c r="L180" s="1130"/>
      <c r="M180" s="1130"/>
      <c r="N180" s="1131"/>
      <c r="O180" s="265"/>
      <c r="P180" s="1129"/>
      <c r="Q180" s="1130"/>
      <c r="R180" s="1130"/>
      <c r="S180" s="1130"/>
      <c r="T180" s="1130"/>
      <c r="U180" s="1131"/>
      <c r="V180" s="265"/>
      <c r="W180" s="1130"/>
      <c r="X180" s="1130"/>
      <c r="Y180" s="1130"/>
      <c r="Z180" s="1130"/>
      <c r="AA180" s="1130"/>
      <c r="AB180" s="1131"/>
      <c r="AC180" s="265"/>
      <c r="AD180" s="1130"/>
      <c r="AE180" s="1130"/>
      <c r="AF180" s="1130"/>
      <c r="AG180" s="1130"/>
      <c r="AH180" s="1130"/>
      <c r="AI180" s="1131"/>
    </row>
    <row r="181" spans="2:35" ht="12.75" customHeight="1">
      <c r="B181" s="1132" t="s">
        <v>155</v>
      </c>
      <c r="C181" s="1133"/>
      <c r="D181" s="1133"/>
      <c r="E181" s="1133"/>
      <c r="F181" s="1133"/>
      <c r="G181" s="1134"/>
      <c r="H181" s="265"/>
      <c r="I181" s="1132" t="s">
        <v>155</v>
      </c>
      <c r="J181" s="1133"/>
      <c r="K181" s="1133"/>
      <c r="L181" s="1133"/>
      <c r="M181" s="1133"/>
      <c r="N181" s="1134"/>
      <c r="O181" s="265"/>
      <c r="P181" s="1132" t="s">
        <v>155</v>
      </c>
      <c r="Q181" s="1133"/>
      <c r="R181" s="1133"/>
      <c r="S181" s="1133"/>
      <c r="T181" s="1133"/>
      <c r="U181" s="1134"/>
      <c r="V181" s="265"/>
      <c r="W181" s="1132" t="s">
        <v>155</v>
      </c>
      <c r="X181" s="1133"/>
      <c r="Y181" s="1133"/>
      <c r="Z181" s="1133"/>
      <c r="AA181" s="1133"/>
      <c r="AB181" s="1134"/>
      <c r="AC181" s="265"/>
      <c r="AD181" s="1132" t="s">
        <v>155</v>
      </c>
      <c r="AE181" s="1133"/>
      <c r="AF181" s="1133"/>
      <c r="AG181" s="1133"/>
      <c r="AH181" s="1133"/>
      <c r="AI181" s="1134"/>
    </row>
    <row r="182" spans="2:35" ht="20.25" customHeight="1" thickBot="1">
      <c r="B182" s="1135"/>
      <c r="C182" s="1136"/>
      <c r="D182" s="1136"/>
      <c r="E182" s="1136"/>
      <c r="F182" s="1136"/>
      <c r="G182" s="1137"/>
      <c r="H182" s="265"/>
      <c r="I182" s="1135"/>
      <c r="J182" s="1136"/>
      <c r="K182" s="1136"/>
      <c r="L182" s="1136"/>
      <c r="M182" s="1136"/>
      <c r="N182" s="1137"/>
      <c r="O182" s="265"/>
      <c r="P182" s="1135"/>
      <c r="Q182" s="1136"/>
      <c r="R182" s="1136"/>
      <c r="S182" s="1136"/>
      <c r="T182" s="1136"/>
      <c r="U182" s="1137"/>
      <c r="V182" s="265"/>
      <c r="W182" s="1135"/>
      <c r="X182" s="1136"/>
      <c r="Y182" s="1136"/>
      <c r="Z182" s="1136"/>
      <c r="AA182" s="1136"/>
      <c r="AB182" s="1137"/>
      <c r="AC182" s="265"/>
      <c r="AD182" s="1135"/>
      <c r="AE182" s="1136"/>
      <c r="AF182" s="1136"/>
      <c r="AG182" s="1136"/>
      <c r="AH182" s="1136"/>
      <c r="AI182" s="1137"/>
    </row>
    <row r="183" spans="2:34" ht="13.5" thickBot="1">
      <c r="B183" s="208"/>
      <c r="C183" s="97"/>
      <c r="D183" s="97"/>
      <c r="E183" s="97"/>
      <c r="F183" s="201"/>
      <c r="G183" s="194"/>
      <c r="H183" s="265"/>
      <c r="M183" s="223"/>
      <c r="N183" s="724"/>
      <c r="O183" s="265"/>
      <c r="T183" s="223"/>
      <c r="V183" s="265"/>
      <c r="AA183" s="223"/>
      <c r="AB183" s="724"/>
      <c r="AC183" s="265"/>
      <c r="AH183" s="223"/>
    </row>
    <row r="184" spans="2:35" ht="15.75" customHeight="1" thickBot="1">
      <c r="B184" s="1138" t="s">
        <v>351</v>
      </c>
      <c r="C184" s="1139"/>
      <c r="D184" s="578">
        <f>Calculations!B42</f>
        <v>0.23004583244579568</v>
      </c>
      <c r="E184" s="224"/>
      <c r="F184" s="225"/>
      <c r="G184" s="226"/>
      <c r="H184" s="265"/>
      <c r="I184" s="1138" t="s">
        <v>355</v>
      </c>
      <c r="J184" s="1139"/>
      <c r="K184" s="578">
        <f>Calculations!C42</f>
        <v>0.22973379436058788</v>
      </c>
      <c r="L184" s="224"/>
      <c r="M184" s="225"/>
      <c r="N184" s="226"/>
      <c r="O184" s="265"/>
      <c r="P184" s="1148" t="s">
        <v>354</v>
      </c>
      <c r="Q184" s="1149"/>
      <c r="R184" s="578">
        <f>Calculations!D42</f>
        <v>0.22946148104752628</v>
      </c>
      <c r="S184" s="224"/>
      <c r="T184" s="225"/>
      <c r="U184" s="226"/>
      <c r="V184" s="265"/>
      <c r="W184" s="1138" t="s">
        <v>353</v>
      </c>
      <c r="X184" s="1139"/>
      <c r="Y184" s="578">
        <f>Calculations!E42</f>
        <v>0.22946148104752623</v>
      </c>
      <c r="Z184" s="224"/>
      <c r="AA184" s="225"/>
      <c r="AB184" s="226"/>
      <c r="AC184" s="265"/>
      <c r="AD184" s="1138" t="s">
        <v>352</v>
      </c>
      <c r="AE184" s="1139"/>
      <c r="AF184" s="578">
        <f>Calculations!F42</f>
        <v>0.22946148104752626</v>
      </c>
      <c r="AG184" s="224"/>
      <c r="AH184" s="225"/>
      <c r="AI184" s="226"/>
    </row>
    <row r="185" spans="2:35" ht="48.75" customHeight="1" thickBot="1">
      <c r="B185" s="1081" t="s">
        <v>350</v>
      </c>
      <c r="C185" s="1082"/>
      <c r="D185" s="1082"/>
      <c r="E185" s="1082"/>
      <c r="F185" s="1082"/>
      <c r="G185" s="1083"/>
      <c r="H185" s="265"/>
      <c r="I185" s="1081" t="s">
        <v>350</v>
      </c>
      <c r="J185" s="1082"/>
      <c r="K185" s="1082"/>
      <c r="L185" s="1082"/>
      <c r="M185" s="1082"/>
      <c r="N185" s="1083"/>
      <c r="O185" s="265"/>
      <c r="P185" s="1081" t="s">
        <v>350</v>
      </c>
      <c r="Q185" s="1082"/>
      <c r="R185" s="1082"/>
      <c r="S185" s="1082"/>
      <c r="T185" s="1082"/>
      <c r="U185" s="1083"/>
      <c r="V185" s="265"/>
      <c r="W185" s="1081" t="s">
        <v>350</v>
      </c>
      <c r="X185" s="1082"/>
      <c r="Y185" s="1082"/>
      <c r="Z185" s="1082"/>
      <c r="AA185" s="1082"/>
      <c r="AB185" s="1083"/>
      <c r="AC185" s="265"/>
      <c r="AD185" s="1081" t="s">
        <v>350</v>
      </c>
      <c r="AE185" s="1082"/>
      <c r="AF185" s="1082"/>
      <c r="AG185" s="1082"/>
      <c r="AH185" s="1082"/>
      <c r="AI185" s="1083"/>
    </row>
    <row r="186" spans="2:35" ht="12.75">
      <c r="B186" s="1150" t="s">
        <v>156</v>
      </c>
      <c r="C186" s="1116"/>
      <c r="D186" s="1116"/>
      <c r="E186" s="1116"/>
      <c r="F186" s="1116"/>
      <c r="G186" s="1117"/>
      <c r="H186" s="265"/>
      <c r="I186" s="1116" t="s">
        <v>156</v>
      </c>
      <c r="J186" s="1116"/>
      <c r="K186" s="1116"/>
      <c r="L186" s="1116"/>
      <c r="M186" s="1116"/>
      <c r="N186" s="1117"/>
      <c r="O186" s="265"/>
      <c r="P186" s="1150" t="s">
        <v>156</v>
      </c>
      <c r="Q186" s="1116"/>
      <c r="R186" s="1116"/>
      <c r="S186" s="1116"/>
      <c r="T186" s="1116"/>
      <c r="U186" s="1117"/>
      <c r="V186" s="265"/>
      <c r="W186" s="1116" t="s">
        <v>156</v>
      </c>
      <c r="X186" s="1116"/>
      <c r="Y186" s="1116"/>
      <c r="Z186" s="1116"/>
      <c r="AA186" s="1116"/>
      <c r="AB186" s="1117"/>
      <c r="AC186" s="265"/>
      <c r="AD186" s="1116" t="s">
        <v>156</v>
      </c>
      <c r="AE186" s="1116"/>
      <c r="AF186" s="1116"/>
      <c r="AG186" s="1116"/>
      <c r="AH186" s="1116"/>
      <c r="AI186" s="1117"/>
    </row>
    <row r="187" spans="2:35" ht="13.5" thickBot="1">
      <c r="B187" s="1151"/>
      <c r="C187" s="1118"/>
      <c r="D187" s="1118"/>
      <c r="E187" s="1118"/>
      <c r="F187" s="1118"/>
      <c r="G187" s="1119"/>
      <c r="H187" s="265"/>
      <c r="I187" s="1118"/>
      <c r="J187" s="1118"/>
      <c r="K187" s="1118"/>
      <c r="L187" s="1118"/>
      <c r="M187" s="1118"/>
      <c r="N187" s="1119"/>
      <c r="O187" s="265"/>
      <c r="P187" s="1151"/>
      <c r="Q187" s="1118"/>
      <c r="R187" s="1118"/>
      <c r="S187" s="1118"/>
      <c r="T187" s="1118"/>
      <c r="U187" s="1119"/>
      <c r="V187" s="265"/>
      <c r="W187" s="1118"/>
      <c r="X187" s="1118"/>
      <c r="Y187" s="1118"/>
      <c r="Z187" s="1118"/>
      <c r="AA187" s="1118"/>
      <c r="AB187" s="1119"/>
      <c r="AC187" s="265"/>
      <c r="AD187" s="1118"/>
      <c r="AE187" s="1118"/>
      <c r="AF187" s="1118"/>
      <c r="AG187" s="1118"/>
      <c r="AH187" s="1118"/>
      <c r="AI187" s="1119"/>
    </row>
    <row r="188" spans="2:35" ht="39" thickBot="1">
      <c r="B188" s="620" t="s">
        <v>157</v>
      </c>
      <c r="C188" s="511" t="s">
        <v>158</v>
      </c>
      <c r="D188" s="621" t="s">
        <v>270</v>
      </c>
      <c r="E188" s="511" t="s">
        <v>160</v>
      </c>
      <c r="F188" s="621" t="s">
        <v>161</v>
      </c>
      <c r="G188" s="227"/>
      <c r="H188" s="265"/>
      <c r="I188" s="633" t="s">
        <v>157</v>
      </c>
      <c r="J188" s="511" t="s">
        <v>158</v>
      </c>
      <c r="K188" s="621" t="s">
        <v>159</v>
      </c>
      <c r="L188" s="511" t="s">
        <v>160</v>
      </c>
      <c r="M188" s="621" t="s">
        <v>161</v>
      </c>
      <c r="N188" s="227"/>
      <c r="O188" s="265"/>
      <c r="P188" s="633" t="s">
        <v>157</v>
      </c>
      <c r="Q188" s="511" t="s">
        <v>158</v>
      </c>
      <c r="R188" s="621" t="s">
        <v>159</v>
      </c>
      <c r="S188" s="511" t="s">
        <v>160</v>
      </c>
      <c r="T188" s="621" t="s">
        <v>161</v>
      </c>
      <c r="U188" s="227"/>
      <c r="V188" s="265"/>
      <c r="W188" s="633" t="s">
        <v>157</v>
      </c>
      <c r="X188" s="511" t="s">
        <v>158</v>
      </c>
      <c r="Y188" s="621" t="s">
        <v>159</v>
      </c>
      <c r="Z188" s="511" t="s">
        <v>160</v>
      </c>
      <c r="AA188" s="621" t="s">
        <v>161</v>
      </c>
      <c r="AB188" s="227"/>
      <c r="AC188" s="265"/>
      <c r="AD188" s="633" t="s">
        <v>157</v>
      </c>
      <c r="AE188" s="511" t="s">
        <v>158</v>
      </c>
      <c r="AF188" s="621" t="s">
        <v>159</v>
      </c>
      <c r="AG188" s="511" t="s">
        <v>160</v>
      </c>
      <c r="AH188" s="621" t="s">
        <v>161</v>
      </c>
      <c r="AI188" s="227"/>
    </row>
    <row r="189" spans="2:35" ht="12.75">
      <c r="B189" s="622" t="s">
        <v>162</v>
      </c>
      <c r="C189" s="623">
        <f>Personnel!G8</f>
        <v>2</v>
      </c>
      <c r="D189" s="624">
        <f>Personnel!G120</f>
        <v>110000</v>
      </c>
      <c r="E189" s="629">
        <f>100%+$D$184</f>
        <v>1.2300458324457957</v>
      </c>
      <c r="F189" s="631">
        <f>D189*E189</f>
        <v>135305.04156903754</v>
      </c>
      <c r="G189" s="228"/>
      <c r="H189" s="265"/>
      <c r="I189" s="634" t="s">
        <v>162</v>
      </c>
      <c r="J189" s="623">
        <f>Personnel!I8</f>
        <v>2</v>
      </c>
      <c r="K189" s="624">
        <f>Personnel!I120</f>
        <v>112200</v>
      </c>
      <c r="L189" s="629">
        <f>100%+$K$184</f>
        <v>1.229733794360588</v>
      </c>
      <c r="M189" s="631">
        <f>K189*L189</f>
        <v>137976.13172725798</v>
      </c>
      <c r="N189" s="228"/>
      <c r="O189" s="265"/>
      <c r="P189" s="634" t="s">
        <v>162</v>
      </c>
      <c r="Q189" s="623">
        <f>Personnel!K8</f>
        <v>2</v>
      </c>
      <c r="R189" s="624">
        <f>Personnel!K120</f>
        <v>114444</v>
      </c>
      <c r="S189" s="629">
        <f>100%+$R$184</f>
        <v>1.2294614810475264</v>
      </c>
      <c r="T189" s="631">
        <f>R189*S189</f>
        <v>140704.4897370031</v>
      </c>
      <c r="U189" s="228"/>
      <c r="V189" s="265"/>
      <c r="W189" s="634" t="s">
        <v>162</v>
      </c>
      <c r="X189" s="623">
        <f>Personnel!M8</f>
        <v>2</v>
      </c>
      <c r="Y189" s="624">
        <f>Personnel!M120</f>
        <v>116732.88</v>
      </c>
      <c r="Z189" s="629">
        <f>100%+$Y$184</f>
        <v>1.2294614810475262</v>
      </c>
      <c r="AA189" s="631">
        <f>Y189*Z189</f>
        <v>143518.57953174316</v>
      </c>
      <c r="AB189" s="228"/>
      <c r="AC189" s="265"/>
      <c r="AD189" s="634" t="s">
        <v>162</v>
      </c>
      <c r="AE189" s="623">
        <f>Personnel!O8</f>
        <v>2</v>
      </c>
      <c r="AF189" s="624">
        <f>Personnel!O120</f>
        <v>119067.53760000001</v>
      </c>
      <c r="AG189" s="629">
        <f>100%+$AF$184</f>
        <v>1.2294614810475262</v>
      </c>
      <c r="AH189" s="631">
        <f>AF189*AG189</f>
        <v>146388.95112237803</v>
      </c>
      <c r="AI189" s="228"/>
    </row>
    <row r="190" spans="2:35" ht="12.75">
      <c r="B190" s="625" t="s">
        <v>163</v>
      </c>
      <c r="C190" s="623">
        <f>Personnel!G32</f>
        <v>0</v>
      </c>
      <c r="D190" s="624">
        <f>Personnel!G151</f>
        <v>0</v>
      </c>
      <c r="E190" s="629">
        <f>100%+$D$184</f>
        <v>1.2300458324457957</v>
      </c>
      <c r="F190" s="631">
        <f>D190*E190</f>
        <v>0</v>
      </c>
      <c r="G190" s="228"/>
      <c r="H190" s="265"/>
      <c r="I190" s="635" t="s">
        <v>163</v>
      </c>
      <c r="J190" s="623">
        <f>Personnel!I32</f>
        <v>0</v>
      </c>
      <c r="K190" s="624">
        <f>Personnel!I151</f>
        <v>0</v>
      </c>
      <c r="L190" s="629">
        <f>100%+$K$184</f>
        <v>1.229733794360588</v>
      </c>
      <c r="M190" s="631">
        <f>K190*L190</f>
        <v>0</v>
      </c>
      <c r="N190" s="228"/>
      <c r="O190" s="265"/>
      <c r="P190" s="635" t="s">
        <v>163</v>
      </c>
      <c r="Q190" s="623">
        <f>Personnel!K32</f>
        <v>0</v>
      </c>
      <c r="R190" s="624">
        <f>Personnel!K151</f>
        <v>0</v>
      </c>
      <c r="S190" s="629">
        <f>100%+$R$184</f>
        <v>1.2294614810475264</v>
      </c>
      <c r="T190" s="631">
        <f>R190*S190</f>
        <v>0</v>
      </c>
      <c r="U190" s="228"/>
      <c r="V190" s="265"/>
      <c r="W190" s="635" t="s">
        <v>163</v>
      </c>
      <c r="X190" s="623">
        <f>Personnel!M32</f>
        <v>0</v>
      </c>
      <c r="Y190" s="624">
        <f>Personnel!M151</f>
        <v>0</v>
      </c>
      <c r="Z190" s="629">
        <f>100%+$Y$184</f>
        <v>1.2294614810475262</v>
      </c>
      <c r="AA190" s="631">
        <f>Y190*Z190</f>
        <v>0</v>
      </c>
      <c r="AB190" s="228"/>
      <c r="AC190" s="265"/>
      <c r="AD190" s="635" t="s">
        <v>163</v>
      </c>
      <c r="AE190" s="623">
        <f>Personnel!O32</f>
        <v>0</v>
      </c>
      <c r="AF190" s="624">
        <f>Personnel!O151</f>
        <v>0</v>
      </c>
      <c r="AG190" s="629">
        <f>100%+$AF$184</f>
        <v>1.2294614810475262</v>
      </c>
      <c r="AH190" s="631">
        <f>AF190*AG190</f>
        <v>0</v>
      </c>
      <c r="AI190" s="228"/>
    </row>
    <row r="191" spans="2:35" ht="12.75">
      <c r="B191" s="625" t="s">
        <v>164</v>
      </c>
      <c r="C191" s="623">
        <f>SUM(Personnel!G10:G15)</f>
        <v>0.4</v>
      </c>
      <c r="D191" s="624">
        <f>SUM(Personnel!G122:G127)</f>
        <v>22750</v>
      </c>
      <c r="E191" s="630">
        <f>100%+$D$184</f>
        <v>1.2300458324457957</v>
      </c>
      <c r="F191" s="631">
        <f>D191*E191</f>
        <v>27983.542688141853</v>
      </c>
      <c r="G191" s="228"/>
      <c r="H191" s="265"/>
      <c r="I191" s="635" t="s">
        <v>164</v>
      </c>
      <c r="J191" s="623">
        <f>SUM(Personnel!I10:I15)</f>
        <v>0.4</v>
      </c>
      <c r="K191" s="624">
        <f>SUM(Personnel!I122:I127)</f>
        <v>23205</v>
      </c>
      <c r="L191" s="629">
        <f>100%+$K$184</f>
        <v>1.229733794360588</v>
      </c>
      <c r="M191" s="631">
        <f>K191*L191</f>
        <v>28535.972698137444</v>
      </c>
      <c r="N191" s="228"/>
      <c r="O191" s="265"/>
      <c r="P191" s="635" t="s">
        <v>164</v>
      </c>
      <c r="Q191" s="623">
        <f>SUM(Personnel!K10:K15)</f>
        <v>0.4</v>
      </c>
      <c r="R191" s="624">
        <f>SUM(Personnel!K122:K127)</f>
        <v>23669.100000000002</v>
      </c>
      <c r="S191" s="629">
        <f>100%+$R$184</f>
        <v>1.2294614810475264</v>
      </c>
      <c r="T191" s="631">
        <f>R191*S191</f>
        <v>29100.24674106201</v>
      </c>
      <c r="U191" s="228"/>
      <c r="V191" s="265"/>
      <c r="W191" s="635" t="s">
        <v>164</v>
      </c>
      <c r="X191" s="623">
        <f>SUM(Personnel!M10:M15)</f>
        <v>0.4</v>
      </c>
      <c r="Y191" s="624">
        <f>SUM(Personnel!M122:M127)</f>
        <v>24142.482</v>
      </c>
      <c r="Z191" s="629">
        <f>100%+$Y$184</f>
        <v>1.2294614810475262</v>
      </c>
      <c r="AA191" s="631">
        <f>Y191*Z191</f>
        <v>29682.251675883243</v>
      </c>
      <c r="AB191" s="228"/>
      <c r="AC191" s="265"/>
      <c r="AD191" s="635" t="s">
        <v>164</v>
      </c>
      <c r="AE191" s="623">
        <f>SUM(Personnel!O10:O15)</f>
        <v>0.4</v>
      </c>
      <c r="AF191" s="624">
        <f>SUM(Personnel!O122:O127)</f>
        <v>24625.33164</v>
      </c>
      <c r="AG191" s="629">
        <f>100%+$AF$184</f>
        <v>1.2294614810475262</v>
      </c>
      <c r="AH191" s="631">
        <f>AF191*AG191</f>
        <v>30275.896709400906</v>
      </c>
      <c r="AI191" s="228"/>
    </row>
    <row r="192" spans="2:35" ht="13.5" thickBot="1">
      <c r="B192" s="592" t="s">
        <v>165</v>
      </c>
      <c r="C192" s="623">
        <f>SUM(Personnel!G34:G39)</f>
        <v>0</v>
      </c>
      <c r="D192" s="624">
        <f>SUM(Personnel!G153:G158)</f>
        <v>0</v>
      </c>
      <c r="E192" s="630">
        <f>100%+$D$184</f>
        <v>1.2300458324457957</v>
      </c>
      <c r="F192" s="631">
        <f>D192*E192</f>
        <v>0</v>
      </c>
      <c r="G192" s="228"/>
      <c r="H192" s="265"/>
      <c r="I192" s="596" t="s">
        <v>165</v>
      </c>
      <c r="J192" s="623">
        <f>SUM(Personnel!I34:I39)</f>
        <v>0</v>
      </c>
      <c r="K192" s="624">
        <f>SUM(Personnel!I153:I158)</f>
        <v>0</v>
      </c>
      <c r="L192" s="629">
        <f>100%+$K$184</f>
        <v>1.229733794360588</v>
      </c>
      <c r="M192" s="631">
        <f>K192*L192</f>
        <v>0</v>
      </c>
      <c r="N192" s="228"/>
      <c r="O192" s="265"/>
      <c r="P192" s="596" t="s">
        <v>165</v>
      </c>
      <c r="Q192" s="623">
        <f>SUM(Personnel!K34:K39)</f>
        <v>0</v>
      </c>
      <c r="R192" s="624">
        <f>SUM(Personnel!K153:K158)</f>
        <v>0</v>
      </c>
      <c r="S192" s="629">
        <f>100%+$R$184</f>
        <v>1.2294614810475264</v>
      </c>
      <c r="T192" s="631">
        <f>R192*S192</f>
        <v>0</v>
      </c>
      <c r="U192" s="228"/>
      <c r="V192" s="265"/>
      <c r="W192" s="596" t="s">
        <v>165</v>
      </c>
      <c r="X192" s="623">
        <f>SUM(Personnel!M34:M39)</f>
        <v>0</v>
      </c>
      <c r="Y192" s="624">
        <f>SUM(Personnel!M153:M158)</f>
        <v>0</v>
      </c>
      <c r="Z192" s="629">
        <f>100%+$Y$184</f>
        <v>1.2294614810475262</v>
      </c>
      <c r="AA192" s="631">
        <f>Y192*Z192</f>
        <v>0</v>
      </c>
      <c r="AB192" s="228"/>
      <c r="AC192" s="265"/>
      <c r="AD192" s="596" t="s">
        <v>165</v>
      </c>
      <c r="AE192" s="623">
        <f>SUM(Personnel!O34:O39)</f>
        <v>0</v>
      </c>
      <c r="AF192" s="624">
        <f>SUM(Personnel!O153:O158)</f>
        <v>0</v>
      </c>
      <c r="AG192" s="629">
        <f>100%+$AF$184</f>
        <v>1.2294614810475262</v>
      </c>
      <c r="AH192" s="631">
        <f>AF192*AG192</f>
        <v>0</v>
      </c>
      <c r="AI192" s="228"/>
    </row>
    <row r="193" spans="2:35" ht="13.5" thickBot="1">
      <c r="B193" s="626" t="s">
        <v>166</v>
      </c>
      <c r="C193" s="627">
        <f>SUM(C189:C192)</f>
        <v>2.4</v>
      </c>
      <c r="D193" s="628">
        <f>SUM(D189:D192)</f>
        <v>132750</v>
      </c>
      <c r="E193" s="97"/>
      <c r="F193" s="632">
        <f>SUM(F189:F192)</f>
        <v>163288.5842571794</v>
      </c>
      <c r="G193" s="228"/>
      <c r="H193" s="265"/>
      <c r="I193" s="636" t="s">
        <v>166</v>
      </c>
      <c r="J193" s="627">
        <f>SUM(J189:J192)</f>
        <v>2.4</v>
      </c>
      <c r="K193" s="628">
        <f>SUM(K189:K192)</f>
        <v>135405</v>
      </c>
      <c r="L193" s="97"/>
      <c r="M193" s="632">
        <f>SUM(M189:M192)</f>
        <v>166512.10442539543</v>
      </c>
      <c r="N193" s="228"/>
      <c r="O193" s="265"/>
      <c r="P193" s="636" t="s">
        <v>166</v>
      </c>
      <c r="Q193" s="627">
        <f>SUM(Q189:Q192)</f>
        <v>2.4</v>
      </c>
      <c r="R193" s="628">
        <f>SUM(R189:R192)</f>
        <v>138113.1</v>
      </c>
      <c r="S193" s="97"/>
      <c r="T193" s="632">
        <f>SUM(T189:T192)</f>
        <v>169804.7364780651</v>
      </c>
      <c r="U193" s="228"/>
      <c r="V193" s="265"/>
      <c r="W193" s="636" t="s">
        <v>166</v>
      </c>
      <c r="X193" s="627">
        <f>SUM(X189:X192)</f>
        <v>2.4</v>
      </c>
      <c r="Y193" s="628">
        <f>SUM(Y189:Y192)</f>
        <v>140875.362</v>
      </c>
      <c r="Z193" s="97"/>
      <c r="AA193" s="632">
        <f>SUM(AA189:AA192)</f>
        <v>173200.8312076264</v>
      </c>
      <c r="AB193" s="228"/>
      <c r="AC193" s="265"/>
      <c r="AD193" s="636" t="s">
        <v>166</v>
      </c>
      <c r="AE193" s="627">
        <f>SUM(AE189:AE192)</f>
        <v>2.4</v>
      </c>
      <c r="AF193" s="628">
        <f>SUM(AF189:AF192)</f>
        <v>143692.86924</v>
      </c>
      <c r="AG193" s="97"/>
      <c r="AH193" s="632">
        <f>SUM(AH189:AH192)</f>
        <v>176664.84783177893</v>
      </c>
      <c r="AI193" s="228"/>
    </row>
    <row r="194" spans="2:35" ht="12.75">
      <c r="B194" s="208"/>
      <c r="C194" s="97"/>
      <c r="D194" s="97"/>
      <c r="E194" s="97"/>
      <c r="F194" s="201"/>
      <c r="G194" s="194"/>
      <c r="H194" s="265"/>
      <c r="I194" s="97"/>
      <c r="J194" s="97"/>
      <c r="K194" s="97"/>
      <c r="L194" s="97"/>
      <c r="M194" s="201"/>
      <c r="N194" s="194"/>
      <c r="O194" s="265"/>
      <c r="P194" s="97"/>
      <c r="Q194" s="97"/>
      <c r="R194" s="97"/>
      <c r="S194" s="97"/>
      <c r="T194" s="201"/>
      <c r="U194" s="194"/>
      <c r="V194" s="265"/>
      <c r="W194" s="97"/>
      <c r="X194" s="97"/>
      <c r="Y194" s="97"/>
      <c r="Z194" s="97"/>
      <c r="AA194" s="201"/>
      <c r="AB194" s="194"/>
      <c r="AC194" s="265"/>
      <c r="AD194" s="97"/>
      <c r="AE194" s="97"/>
      <c r="AF194" s="97"/>
      <c r="AG194" s="97"/>
      <c r="AH194" s="201"/>
      <c r="AI194" s="194"/>
    </row>
    <row r="195" spans="2:35" ht="12.75">
      <c r="B195" s="208"/>
      <c r="C195" s="97"/>
      <c r="D195" s="97"/>
      <c r="E195" s="97"/>
      <c r="F195" s="201"/>
      <c r="G195" s="194"/>
      <c r="H195" s="265"/>
      <c r="I195" s="97"/>
      <c r="J195" s="97"/>
      <c r="K195" s="97"/>
      <c r="L195" s="97"/>
      <c r="M195" s="201"/>
      <c r="N195" s="194"/>
      <c r="O195" s="265"/>
      <c r="P195" s="97"/>
      <c r="Q195" s="97"/>
      <c r="R195" s="97"/>
      <c r="S195" s="97"/>
      <c r="T195" s="201"/>
      <c r="U195" s="194"/>
      <c r="V195" s="265"/>
      <c r="W195" s="97"/>
      <c r="X195" s="97"/>
      <c r="Y195" s="97"/>
      <c r="Z195" s="97"/>
      <c r="AA195" s="201"/>
      <c r="AB195" s="194"/>
      <c r="AC195" s="265"/>
      <c r="AD195" s="97"/>
      <c r="AE195" s="97"/>
      <c r="AF195" s="97"/>
      <c r="AG195" s="97"/>
      <c r="AH195" s="201"/>
      <c r="AI195" s="194"/>
    </row>
    <row r="196" spans="2:35" ht="12.75">
      <c r="B196" s="208"/>
      <c r="C196" s="97"/>
      <c r="D196" s="97"/>
      <c r="E196" s="97"/>
      <c r="F196" s="201"/>
      <c r="G196" s="194"/>
      <c r="H196" s="265"/>
      <c r="I196" s="97"/>
      <c r="J196" s="97"/>
      <c r="K196" s="97"/>
      <c r="L196" s="97"/>
      <c r="M196" s="201"/>
      <c r="N196" s="194"/>
      <c r="O196" s="265"/>
      <c r="P196" s="97"/>
      <c r="Q196" s="97"/>
      <c r="R196" s="97"/>
      <c r="S196" s="97"/>
      <c r="T196" s="201"/>
      <c r="U196" s="194"/>
      <c r="V196" s="265"/>
      <c r="W196" s="97"/>
      <c r="X196" s="97"/>
      <c r="Y196" s="97"/>
      <c r="Z196" s="97"/>
      <c r="AA196" s="201"/>
      <c r="AB196" s="194"/>
      <c r="AC196" s="265"/>
      <c r="AD196" s="97"/>
      <c r="AE196" s="97"/>
      <c r="AF196" s="97"/>
      <c r="AG196" s="97"/>
      <c r="AH196" s="201"/>
      <c r="AI196" s="194"/>
    </row>
    <row r="197" spans="2:35" ht="15.75" thickBot="1">
      <c r="B197" s="229"/>
      <c r="C197" s="230"/>
      <c r="D197" s="96"/>
      <c r="E197" s="96"/>
      <c r="F197" s="201"/>
      <c r="G197" s="231"/>
      <c r="H197" s="265"/>
      <c r="I197" s="250"/>
      <c r="J197" s="230"/>
      <c r="K197" s="96"/>
      <c r="L197" s="96"/>
      <c r="M197" s="201"/>
      <c r="N197" s="231"/>
      <c r="O197" s="265"/>
      <c r="P197" s="250"/>
      <c r="Q197" s="230"/>
      <c r="R197" s="96"/>
      <c r="S197" s="96"/>
      <c r="T197" s="201"/>
      <c r="U197" s="231"/>
      <c r="V197" s="265"/>
      <c r="W197" s="250"/>
      <c r="X197" s="230"/>
      <c r="Y197" s="96"/>
      <c r="Z197" s="96"/>
      <c r="AA197" s="201"/>
      <c r="AB197" s="231"/>
      <c r="AC197" s="265"/>
      <c r="AD197" s="250"/>
      <c r="AE197" s="230"/>
      <c r="AF197" s="96"/>
      <c r="AG197" s="96"/>
      <c r="AH197" s="201"/>
      <c r="AI197" s="231"/>
    </row>
    <row r="198" spans="2:35" ht="39" thickBot="1">
      <c r="B198" s="560" t="s">
        <v>96</v>
      </c>
      <c r="C198" s="511" t="s">
        <v>167</v>
      </c>
      <c r="D198" s="97"/>
      <c r="E198" s="621" t="s">
        <v>168</v>
      </c>
      <c r="F198" s="621" t="s">
        <v>169</v>
      </c>
      <c r="G198" s="194"/>
      <c r="H198" s="265"/>
      <c r="I198" s="597" t="s">
        <v>96</v>
      </c>
      <c r="J198" s="511" t="s">
        <v>167</v>
      </c>
      <c r="K198" s="97"/>
      <c r="L198" s="621" t="s">
        <v>168</v>
      </c>
      <c r="M198" s="621" t="s">
        <v>169</v>
      </c>
      <c r="N198" s="194"/>
      <c r="O198" s="265"/>
      <c r="P198" s="597" t="s">
        <v>96</v>
      </c>
      <c r="Q198" s="511" t="s">
        <v>167</v>
      </c>
      <c r="R198" s="97"/>
      <c r="S198" s="621" t="s">
        <v>168</v>
      </c>
      <c r="T198" s="621" t="s">
        <v>169</v>
      </c>
      <c r="U198" s="194"/>
      <c r="V198" s="265"/>
      <c r="W198" s="597" t="s">
        <v>96</v>
      </c>
      <c r="X198" s="511" t="s">
        <v>167</v>
      </c>
      <c r="Y198" s="97"/>
      <c r="Z198" s="621" t="s">
        <v>168</v>
      </c>
      <c r="AA198" s="621" t="s">
        <v>169</v>
      </c>
      <c r="AB198" s="194"/>
      <c r="AC198" s="265"/>
      <c r="AD198" s="597" t="s">
        <v>96</v>
      </c>
      <c r="AE198" s="511" t="s">
        <v>167</v>
      </c>
      <c r="AF198" s="97"/>
      <c r="AG198" s="621" t="s">
        <v>168</v>
      </c>
      <c r="AH198" s="621" t="s">
        <v>169</v>
      </c>
      <c r="AI198" s="194"/>
    </row>
    <row r="199" spans="2:35" ht="30.75" thickBot="1">
      <c r="B199" s="637" t="s">
        <v>170</v>
      </c>
      <c r="C199" s="638">
        <f>F193/(C193+0.000000001)</f>
        <v>68036.91007880938</v>
      </c>
      <c r="D199" s="97"/>
      <c r="E199" s="640">
        <v>0</v>
      </c>
      <c r="F199" s="640">
        <f>F193</f>
        <v>163288.5842571794</v>
      </c>
      <c r="G199" s="194"/>
      <c r="H199" s="265"/>
      <c r="I199" s="641" t="s">
        <v>170</v>
      </c>
      <c r="J199" s="638">
        <f>M193/(J193+0.000000001)</f>
        <v>69380.04348167308</v>
      </c>
      <c r="K199" s="97"/>
      <c r="L199" s="640">
        <v>0</v>
      </c>
      <c r="M199" s="640">
        <f>M193</f>
        <v>166512.10442539543</v>
      </c>
      <c r="N199" s="194"/>
      <c r="O199" s="265"/>
      <c r="P199" s="641" t="s">
        <v>170</v>
      </c>
      <c r="Q199" s="638">
        <f>T193/(Q193+0.000000001)</f>
        <v>70751.97350304713</v>
      </c>
      <c r="R199" s="97"/>
      <c r="S199" s="640">
        <v>0</v>
      </c>
      <c r="T199" s="640">
        <f>T193</f>
        <v>169804.7364780651</v>
      </c>
      <c r="U199" s="194"/>
      <c r="V199" s="265"/>
      <c r="W199" s="641" t="s">
        <v>170</v>
      </c>
      <c r="X199" s="638">
        <f>AA193/(X193+0.000000001)</f>
        <v>72167.01297310808</v>
      </c>
      <c r="Y199" s="97"/>
      <c r="Z199" s="640">
        <v>0</v>
      </c>
      <c r="AA199" s="640">
        <f>AA193</f>
        <v>173200.8312076264</v>
      </c>
      <c r="AB199" s="194"/>
      <c r="AC199" s="265"/>
      <c r="AD199" s="641" t="s">
        <v>170</v>
      </c>
      <c r="AE199" s="638">
        <f>AH193/(AE193+0.000000001)</f>
        <v>73610.35323257024</v>
      </c>
      <c r="AF199" s="97"/>
      <c r="AG199" s="640">
        <v>0</v>
      </c>
      <c r="AH199" s="640">
        <f>AH193</f>
        <v>176664.84783177893</v>
      </c>
      <c r="AI199" s="194"/>
    </row>
    <row r="200" spans="2:35" ht="15.75" thickBot="1">
      <c r="B200" s="637" t="s">
        <v>171</v>
      </c>
      <c r="C200" s="639">
        <f>VLOOKUP(C199,E199:F200,2,TRUE)</f>
        <v>163288.5842571794</v>
      </c>
      <c r="D200" s="97"/>
      <c r="E200" s="640">
        <v>90000</v>
      </c>
      <c r="F200" s="640">
        <f>C193*E200</f>
        <v>216000</v>
      </c>
      <c r="G200" s="194"/>
      <c r="H200" s="265"/>
      <c r="I200" s="641" t="s">
        <v>171</v>
      </c>
      <c r="J200" s="639">
        <f>VLOOKUP(J199,L199:M200,2,TRUE)</f>
        <v>166512.10442539543</v>
      </c>
      <c r="K200" s="97"/>
      <c r="L200" s="640">
        <v>90000</v>
      </c>
      <c r="M200" s="640">
        <f>J193*L200</f>
        <v>216000</v>
      </c>
      <c r="N200" s="194"/>
      <c r="O200" s="265"/>
      <c r="P200" s="641" t="s">
        <v>171</v>
      </c>
      <c r="Q200" s="639">
        <f>VLOOKUP(Q199,S199:T200,2,TRUE)</f>
        <v>169804.7364780651</v>
      </c>
      <c r="R200" s="97"/>
      <c r="S200" s="640">
        <v>90000</v>
      </c>
      <c r="T200" s="640">
        <f>Q193*S200</f>
        <v>216000</v>
      </c>
      <c r="U200" s="194"/>
      <c r="V200" s="265"/>
      <c r="W200" s="641" t="s">
        <v>171</v>
      </c>
      <c r="X200" s="639">
        <f>VLOOKUP(X199,Z199:AA200,2,TRUE)</f>
        <v>173200.8312076264</v>
      </c>
      <c r="Y200" s="97"/>
      <c r="Z200" s="640">
        <v>90000</v>
      </c>
      <c r="AA200" s="640">
        <f>X193*Z200</f>
        <v>216000</v>
      </c>
      <c r="AB200" s="194"/>
      <c r="AC200" s="265"/>
      <c r="AD200" s="641" t="s">
        <v>171</v>
      </c>
      <c r="AE200" s="639">
        <f>VLOOKUP(AE199,AG199:AH200,2,TRUE)</f>
        <v>176664.84783177893</v>
      </c>
      <c r="AF200" s="97"/>
      <c r="AG200" s="640">
        <v>90000</v>
      </c>
      <c r="AH200" s="640">
        <f>AE193*AG200</f>
        <v>216000</v>
      </c>
      <c r="AI200" s="194"/>
    </row>
    <row r="201" spans="2:35" ht="15.75" thickBot="1">
      <c r="B201" s="232"/>
      <c r="C201" s="233"/>
      <c r="D201" s="234"/>
      <c r="E201" s="234"/>
      <c r="F201" s="235"/>
      <c r="G201" s="236"/>
      <c r="H201" s="265"/>
      <c r="I201" s="251"/>
      <c r="J201" s="233"/>
      <c r="K201" s="234"/>
      <c r="L201" s="234"/>
      <c r="M201" s="235"/>
      <c r="N201" s="236"/>
      <c r="O201" s="265"/>
      <c r="P201" s="251"/>
      <c r="Q201" s="233"/>
      <c r="R201" s="234"/>
      <c r="S201" s="234"/>
      <c r="T201" s="235"/>
      <c r="U201" s="236"/>
      <c r="V201" s="265"/>
      <c r="W201" s="251"/>
      <c r="X201" s="233"/>
      <c r="Y201" s="234"/>
      <c r="Z201" s="234"/>
      <c r="AA201" s="235"/>
      <c r="AB201" s="236"/>
      <c r="AC201" s="265"/>
      <c r="AD201" s="251"/>
      <c r="AE201" s="233"/>
      <c r="AF201" s="234"/>
      <c r="AG201" s="234"/>
      <c r="AH201" s="235"/>
      <c r="AI201" s="236"/>
    </row>
    <row r="202" spans="2:35" ht="15">
      <c r="B202" s="229"/>
      <c r="C202" s="237"/>
      <c r="D202" s="238"/>
      <c r="E202" s="238"/>
      <c r="F202" s="201"/>
      <c r="G202" s="194"/>
      <c r="H202" s="265"/>
      <c r="I202" s="250"/>
      <c r="J202" s="237"/>
      <c r="K202" s="238"/>
      <c r="L202" s="238"/>
      <c r="M202" s="201"/>
      <c r="N202" s="239"/>
      <c r="O202" s="265"/>
      <c r="P202" s="250"/>
      <c r="Q202" s="237"/>
      <c r="R202" s="238"/>
      <c r="S202" s="238"/>
      <c r="T202" s="201"/>
      <c r="U202" s="239"/>
      <c r="V202" s="265"/>
      <c r="W202" s="250"/>
      <c r="X202" s="237"/>
      <c r="Y202" s="238"/>
      <c r="Z202" s="238"/>
      <c r="AA202" s="201"/>
      <c r="AB202" s="239"/>
      <c r="AC202" s="265"/>
      <c r="AD202" s="250"/>
      <c r="AE202" s="237"/>
      <c r="AF202" s="238"/>
      <c r="AG202" s="238"/>
      <c r="AH202" s="201"/>
      <c r="AI202" s="97"/>
    </row>
    <row r="203" spans="2:35" ht="15">
      <c r="B203" s="229"/>
      <c r="C203" s="237"/>
      <c r="D203" s="238"/>
      <c r="E203" s="238"/>
      <c r="F203" s="201"/>
      <c r="G203" s="194"/>
      <c r="H203" s="265"/>
      <c r="I203" s="250"/>
      <c r="J203" s="237"/>
      <c r="K203" s="238"/>
      <c r="L203" s="238"/>
      <c r="M203" s="201"/>
      <c r="N203" s="194"/>
      <c r="O203" s="265"/>
      <c r="P203" s="250"/>
      <c r="Q203" s="237"/>
      <c r="R203" s="238"/>
      <c r="S203" s="238"/>
      <c r="T203" s="201"/>
      <c r="U203" s="194"/>
      <c r="V203" s="265"/>
      <c r="W203" s="250"/>
      <c r="X203" s="237"/>
      <c r="Y203" s="238"/>
      <c r="Z203" s="238"/>
      <c r="AA203" s="201"/>
      <c r="AB203" s="194"/>
      <c r="AC203" s="265"/>
      <c r="AD203" s="250"/>
      <c r="AE203" s="237"/>
      <c r="AF203" s="238"/>
      <c r="AG203" s="238"/>
      <c r="AH203" s="201"/>
      <c r="AI203" s="97"/>
    </row>
    <row r="204" spans="2:35" ht="15.75" thickBot="1">
      <c r="B204" s="229"/>
      <c r="C204" s="237"/>
      <c r="D204" s="238"/>
      <c r="E204" s="238"/>
      <c r="F204" s="201"/>
      <c r="G204" s="194"/>
      <c r="H204" s="265"/>
      <c r="I204" s="250"/>
      <c r="J204" s="237"/>
      <c r="K204" s="238"/>
      <c r="L204" s="238"/>
      <c r="M204" s="223"/>
      <c r="N204" s="236"/>
      <c r="O204" s="265"/>
      <c r="P204" s="250"/>
      <c r="Q204" s="237"/>
      <c r="R204" s="238"/>
      <c r="S204" s="238"/>
      <c r="T204" s="223"/>
      <c r="U204" s="236"/>
      <c r="V204" s="265"/>
      <c r="W204" s="250"/>
      <c r="X204" s="237"/>
      <c r="Y204" s="238"/>
      <c r="Z204" s="238"/>
      <c r="AA204" s="223"/>
      <c r="AB204" s="236"/>
      <c r="AC204" s="265"/>
      <c r="AD204" s="250"/>
      <c r="AE204" s="237"/>
      <c r="AF204" s="238"/>
      <c r="AG204" s="238"/>
      <c r="AH204" s="223"/>
      <c r="AI204" s="97"/>
    </row>
    <row r="205" spans="2:35" ht="12.75">
      <c r="B205" s="1150" t="s">
        <v>172</v>
      </c>
      <c r="C205" s="1116"/>
      <c r="D205" s="1116"/>
      <c r="E205" s="1116"/>
      <c r="F205" s="1116"/>
      <c r="G205" s="1117"/>
      <c r="H205" s="265"/>
      <c r="I205" s="1116" t="s">
        <v>172</v>
      </c>
      <c r="J205" s="1116"/>
      <c r="K205" s="1116"/>
      <c r="L205" s="1116"/>
      <c r="M205" s="1116"/>
      <c r="N205" s="1117"/>
      <c r="O205" s="265"/>
      <c r="P205" s="1150" t="s">
        <v>172</v>
      </c>
      <c r="Q205" s="1116"/>
      <c r="R205" s="1116"/>
      <c r="S205" s="1116"/>
      <c r="T205" s="1116"/>
      <c r="U205" s="1117"/>
      <c r="V205" s="265"/>
      <c r="W205" s="1116" t="s">
        <v>172</v>
      </c>
      <c r="X205" s="1116"/>
      <c r="Y205" s="1116"/>
      <c r="Z205" s="1116"/>
      <c r="AA205" s="1116"/>
      <c r="AB205" s="1117"/>
      <c r="AC205" s="265"/>
      <c r="AD205" s="1116" t="s">
        <v>172</v>
      </c>
      <c r="AE205" s="1116"/>
      <c r="AF205" s="1116"/>
      <c r="AG205" s="1116"/>
      <c r="AH205" s="1116"/>
      <c r="AI205" s="1117"/>
    </row>
    <row r="206" spans="2:35" ht="13.5" thickBot="1">
      <c r="B206" s="1151"/>
      <c r="C206" s="1118"/>
      <c r="D206" s="1118"/>
      <c r="E206" s="1118"/>
      <c r="F206" s="1118"/>
      <c r="G206" s="1119"/>
      <c r="H206" s="265"/>
      <c r="I206" s="1118"/>
      <c r="J206" s="1118"/>
      <c r="K206" s="1118"/>
      <c r="L206" s="1118"/>
      <c r="M206" s="1118"/>
      <c r="N206" s="1119"/>
      <c r="O206" s="265"/>
      <c r="P206" s="1151"/>
      <c r="Q206" s="1118"/>
      <c r="R206" s="1118"/>
      <c r="S206" s="1118"/>
      <c r="T206" s="1118"/>
      <c r="U206" s="1119"/>
      <c r="V206" s="265"/>
      <c r="W206" s="1118"/>
      <c r="X206" s="1118"/>
      <c r="Y206" s="1118"/>
      <c r="Z206" s="1118"/>
      <c r="AA206" s="1118"/>
      <c r="AB206" s="1119"/>
      <c r="AC206" s="265"/>
      <c r="AD206" s="1118"/>
      <c r="AE206" s="1118"/>
      <c r="AF206" s="1118"/>
      <c r="AG206" s="1118"/>
      <c r="AH206" s="1118"/>
      <c r="AI206" s="1119"/>
    </row>
    <row r="207" spans="2:35" ht="12.75" customHeight="1">
      <c r="B207" s="1122" t="s">
        <v>96</v>
      </c>
      <c r="C207" s="1122" t="s">
        <v>158</v>
      </c>
      <c r="D207" s="1124" t="s">
        <v>159</v>
      </c>
      <c r="E207" s="1122" t="s">
        <v>160</v>
      </c>
      <c r="F207" s="1124" t="s">
        <v>161</v>
      </c>
      <c r="G207" s="239"/>
      <c r="H207" s="265"/>
      <c r="I207" s="1120" t="s">
        <v>96</v>
      </c>
      <c r="J207" s="1122" t="s">
        <v>158</v>
      </c>
      <c r="K207" s="1124" t="s">
        <v>159</v>
      </c>
      <c r="L207" s="1122" t="s">
        <v>160</v>
      </c>
      <c r="M207" s="1124" t="s">
        <v>161</v>
      </c>
      <c r="N207" s="239"/>
      <c r="O207" s="265"/>
      <c r="P207" s="1122" t="s">
        <v>96</v>
      </c>
      <c r="Q207" s="1122" t="s">
        <v>158</v>
      </c>
      <c r="R207" s="1124" t="s">
        <v>159</v>
      </c>
      <c r="S207" s="1122" t="s">
        <v>160</v>
      </c>
      <c r="T207" s="1124" t="s">
        <v>161</v>
      </c>
      <c r="U207" s="239"/>
      <c r="V207" s="265"/>
      <c r="W207" s="1120" t="s">
        <v>96</v>
      </c>
      <c r="X207" s="1122" t="s">
        <v>158</v>
      </c>
      <c r="Y207" s="1124" t="s">
        <v>159</v>
      </c>
      <c r="Z207" s="1122" t="s">
        <v>160</v>
      </c>
      <c r="AA207" s="1124" t="s">
        <v>161</v>
      </c>
      <c r="AB207" s="239"/>
      <c r="AC207" s="265"/>
      <c r="AD207" s="1120" t="s">
        <v>96</v>
      </c>
      <c r="AE207" s="1122" t="s">
        <v>158</v>
      </c>
      <c r="AF207" s="1124" t="s">
        <v>159</v>
      </c>
      <c r="AG207" s="1122" t="s">
        <v>160</v>
      </c>
      <c r="AH207" s="1124" t="s">
        <v>161</v>
      </c>
      <c r="AI207" s="239"/>
    </row>
    <row r="208" spans="2:35" ht="30.75" customHeight="1" thickBot="1">
      <c r="B208" s="1123"/>
      <c r="C208" s="1123"/>
      <c r="D208" s="1125"/>
      <c r="E208" s="1123"/>
      <c r="F208" s="1125"/>
      <c r="G208" s="194"/>
      <c r="H208" s="265"/>
      <c r="I208" s="1121"/>
      <c r="J208" s="1123"/>
      <c r="K208" s="1125"/>
      <c r="L208" s="1123"/>
      <c r="M208" s="1125"/>
      <c r="N208" s="194"/>
      <c r="O208" s="265"/>
      <c r="P208" s="1123"/>
      <c r="Q208" s="1123"/>
      <c r="R208" s="1125"/>
      <c r="S208" s="1123"/>
      <c r="T208" s="1125"/>
      <c r="U208" s="194"/>
      <c r="V208" s="265"/>
      <c r="W208" s="1121"/>
      <c r="X208" s="1123"/>
      <c r="Y208" s="1125"/>
      <c r="Z208" s="1123"/>
      <c r="AA208" s="1125"/>
      <c r="AB208" s="194"/>
      <c r="AC208" s="265"/>
      <c r="AD208" s="1121"/>
      <c r="AE208" s="1123"/>
      <c r="AF208" s="1125"/>
      <c r="AG208" s="1123"/>
      <c r="AH208" s="1125"/>
      <c r="AI208" s="194"/>
    </row>
    <row r="209" spans="2:35" ht="12.75">
      <c r="B209" s="642" t="s">
        <v>173</v>
      </c>
      <c r="C209" s="623">
        <f>Personnel!G9</f>
        <v>0</v>
      </c>
      <c r="D209" s="624">
        <f>Personnel!G121</f>
        <v>0</v>
      </c>
      <c r="E209" s="629">
        <f>100%+$D$184</f>
        <v>1.2300458324457957</v>
      </c>
      <c r="F209" s="646">
        <f>D209*E209</f>
        <v>0</v>
      </c>
      <c r="G209" s="194"/>
      <c r="H209" s="265"/>
      <c r="I209" s="647" t="s">
        <v>173</v>
      </c>
      <c r="J209" s="623">
        <f>Personnel!I9</f>
        <v>0</v>
      </c>
      <c r="K209" s="624">
        <f>Personnel!I121</f>
        <v>0</v>
      </c>
      <c r="L209" s="629">
        <f>100%+$K$184</f>
        <v>1.229733794360588</v>
      </c>
      <c r="M209" s="646">
        <f>K209*L209</f>
        <v>0</v>
      </c>
      <c r="N209" s="194"/>
      <c r="O209" s="265"/>
      <c r="P209" s="647" t="s">
        <v>173</v>
      </c>
      <c r="Q209" s="623">
        <f>Personnel!K9</f>
        <v>0</v>
      </c>
      <c r="R209" s="624">
        <f>Personnel!K121</f>
        <v>0</v>
      </c>
      <c r="S209" s="629">
        <f>100%+$R$184</f>
        <v>1.2294614810475264</v>
      </c>
      <c r="T209" s="646">
        <f>R209*S209</f>
        <v>0</v>
      </c>
      <c r="U209" s="194"/>
      <c r="V209" s="265"/>
      <c r="W209" s="647" t="s">
        <v>173</v>
      </c>
      <c r="X209" s="623">
        <f>Personnel!M9</f>
        <v>0</v>
      </c>
      <c r="Y209" s="624">
        <f>Personnel!M121</f>
        <v>0</v>
      </c>
      <c r="Z209" s="629">
        <f>100%+$Y$184</f>
        <v>1.2294614810475262</v>
      </c>
      <c r="AA209" s="646">
        <f>Y209*Z209</f>
        <v>0</v>
      </c>
      <c r="AB209" s="194"/>
      <c r="AC209" s="265"/>
      <c r="AD209" s="647" t="s">
        <v>173</v>
      </c>
      <c r="AE209" s="623">
        <f>Personnel!O9</f>
        <v>0</v>
      </c>
      <c r="AF209" s="624">
        <f>Personnel!O121</f>
        <v>0</v>
      </c>
      <c r="AG209" s="629">
        <f>100%+$AF$184</f>
        <v>1.2294614810475262</v>
      </c>
      <c r="AH209" s="646">
        <f>AF209*AG209</f>
        <v>0</v>
      </c>
      <c r="AI209" s="194"/>
    </row>
    <row r="210" spans="2:35" ht="13.5" thickBot="1">
      <c r="B210" s="625" t="s">
        <v>174</v>
      </c>
      <c r="C210" s="645">
        <f>Personnel!G33</f>
        <v>0</v>
      </c>
      <c r="D210" s="400">
        <f>Personnel!G152</f>
        <v>0</v>
      </c>
      <c r="E210" s="630">
        <f>100%+$D$184</f>
        <v>1.2300458324457957</v>
      </c>
      <c r="F210" s="646">
        <f>D210*E210</f>
        <v>0</v>
      </c>
      <c r="G210" s="194"/>
      <c r="H210" s="265"/>
      <c r="I210" s="635" t="s">
        <v>174</v>
      </c>
      <c r="J210" s="645">
        <f>Personnel!I33</f>
        <v>0</v>
      </c>
      <c r="K210" s="400">
        <f>Personnel!I152</f>
        <v>0</v>
      </c>
      <c r="L210" s="629">
        <f>100%+$K$184</f>
        <v>1.229733794360588</v>
      </c>
      <c r="M210" s="646">
        <f>K210*L210</f>
        <v>0</v>
      </c>
      <c r="N210" s="194"/>
      <c r="O210" s="265"/>
      <c r="P210" s="635" t="s">
        <v>174</v>
      </c>
      <c r="Q210" s="645">
        <f>Personnel!K33</f>
        <v>0</v>
      </c>
      <c r="R210" s="400">
        <f>Personnel!K152</f>
        <v>0</v>
      </c>
      <c r="S210" s="629">
        <f>100%+$R$184</f>
        <v>1.2294614810475264</v>
      </c>
      <c r="T210" s="646">
        <f>R210*S210</f>
        <v>0</v>
      </c>
      <c r="U210" s="194"/>
      <c r="V210" s="265"/>
      <c r="W210" s="635" t="s">
        <v>174</v>
      </c>
      <c r="X210" s="645">
        <f>Personnel!M33</f>
        <v>0</v>
      </c>
      <c r="Y210" s="400">
        <f>Personnel!M152</f>
        <v>0</v>
      </c>
      <c r="Z210" s="629">
        <f>100%+$Y$184</f>
        <v>1.2294614810475262</v>
      </c>
      <c r="AA210" s="646">
        <f>Y210*Z210</f>
        <v>0</v>
      </c>
      <c r="AB210" s="194"/>
      <c r="AC210" s="265"/>
      <c r="AD210" s="635" t="s">
        <v>174</v>
      </c>
      <c r="AE210" s="645">
        <f>Personnel!O33</f>
        <v>0</v>
      </c>
      <c r="AF210" s="400">
        <f>Personnel!O152</f>
        <v>0</v>
      </c>
      <c r="AG210" s="629">
        <f>100%+$AF$184</f>
        <v>1.2294614810475262</v>
      </c>
      <c r="AH210" s="646">
        <f>AF210*AG210</f>
        <v>0</v>
      </c>
      <c r="AI210" s="194"/>
    </row>
    <row r="211" spans="2:35" ht="13.5" thickBot="1">
      <c r="B211" s="626" t="s">
        <v>166</v>
      </c>
      <c r="C211" s="627">
        <f>SUM(C209:C210)</f>
        <v>0</v>
      </c>
      <c r="D211" s="628">
        <f>SUM(D209:D210)</f>
        <v>0</v>
      </c>
      <c r="E211" s="97"/>
      <c r="F211" s="577">
        <f>SUM(F209:F210)</f>
        <v>0</v>
      </c>
      <c r="G211" s="194"/>
      <c r="H211" s="265"/>
      <c r="I211" s="636" t="s">
        <v>166</v>
      </c>
      <c r="J211" s="627">
        <f>SUM(J209:J210)</f>
        <v>0</v>
      </c>
      <c r="K211" s="628">
        <f>SUM(K209:K210)</f>
        <v>0</v>
      </c>
      <c r="L211" s="97"/>
      <c r="M211" s="577">
        <f>SUM(M209:M210)</f>
        <v>0</v>
      </c>
      <c r="N211" s="194"/>
      <c r="O211" s="265"/>
      <c r="P211" s="636" t="s">
        <v>166</v>
      </c>
      <c r="Q211" s="627">
        <f>SUM(Q209:Q210)</f>
        <v>0</v>
      </c>
      <c r="R211" s="628">
        <f>SUM(R209:R210)</f>
        <v>0</v>
      </c>
      <c r="S211" s="97"/>
      <c r="T211" s="577">
        <f>SUM(T209:T210)</f>
        <v>0</v>
      </c>
      <c r="U211" s="194"/>
      <c r="V211" s="265"/>
      <c r="W211" s="636" t="s">
        <v>166</v>
      </c>
      <c r="X211" s="627">
        <f>SUM(X209:X210)</f>
        <v>0</v>
      </c>
      <c r="Y211" s="628">
        <f>SUM(Y209:Y210)</f>
        <v>0</v>
      </c>
      <c r="Z211" s="97"/>
      <c r="AA211" s="577">
        <f>SUM(AA209:AA210)</f>
        <v>0</v>
      </c>
      <c r="AB211" s="194"/>
      <c r="AC211" s="265"/>
      <c r="AD211" s="636" t="s">
        <v>166</v>
      </c>
      <c r="AE211" s="627">
        <f>SUM(AE209:AE210)</f>
        <v>0</v>
      </c>
      <c r="AF211" s="628">
        <f>SUM(AF209:AF210)</f>
        <v>0</v>
      </c>
      <c r="AG211" s="97"/>
      <c r="AH211" s="577">
        <f>SUM(AH209:AH210)</f>
        <v>0</v>
      </c>
      <c r="AI211" s="194"/>
    </row>
    <row r="212" spans="2:35" ht="12.75">
      <c r="B212" s="208"/>
      <c r="C212" s="97"/>
      <c r="D212" s="97"/>
      <c r="E212" s="97"/>
      <c r="F212" s="201"/>
      <c r="G212" s="194"/>
      <c r="H212" s="265"/>
      <c r="I212" s="97"/>
      <c r="J212" s="97"/>
      <c r="K212" s="97"/>
      <c r="L212" s="97"/>
      <c r="M212" s="201"/>
      <c r="N212" s="194"/>
      <c r="O212" s="265"/>
      <c r="P212" s="97"/>
      <c r="Q212" s="97"/>
      <c r="R212" s="97"/>
      <c r="S212" s="97"/>
      <c r="T212" s="201"/>
      <c r="U212" s="194"/>
      <c r="V212" s="265"/>
      <c r="W212" s="97"/>
      <c r="X212" s="97"/>
      <c r="Y212" s="97"/>
      <c r="Z212" s="97"/>
      <c r="AA212" s="201"/>
      <c r="AB212" s="194"/>
      <c r="AC212" s="265"/>
      <c r="AD212" s="97"/>
      <c r="AE212" s="97"/>
      <c r="AF212" s="97"/>
      <c r="AG212" s="97"/>
      <c r="AH212" s="201"/>
      <c r="AI212" s="194"/>
    </row>
    <row r="213" spans="2:35" ht="13.5" thickBot="1">
      <c r="B213" s="208"/>
      <c r="C213" s="97"/>
      <c r="D213" s="97"/>
      <c r="E213" s="97"/>
      <c r="F213" s="201"/>
      <c r="G213" s="194"/>
      <c r="H213" s="265"/>
      <c r="I213" s="97"/>
      <c r="J213" s="97"/>
      <c r="K213" s="97"/>
      <c r="L213" s="97"/>
      <c r="M213" s="201"/>
      <c r="N213" s="194"/>
      <c r="O213" s="265"/>
      <c r="P213" s="97"/>
      <c r="Q213" s="97"/>
      <c r="R213" s="97"/>
      <c r="S213" s="97"/>
      <c r="T213" s="201"/>
      <c r="U213" s="194"/>
      <c r="V213" s="265"/>
      <c r="W213" s="97"/>
      <c r="X213" s="97"/>
      <c r="Y213" s="97"/>
      <c r="Z213" s="97"/>
      <c r="AA213" s="201"/>
      <c r="AB213" s="194"/>
      <c r="AC213" s="265"/>
      <c r="AD213" s="97"/>
      <c r="AE213" s="97"/>
      <c r="AF213" s="97"/>
      <c r="AG213" s="97"/>
      <c r="AH213" s="201"/>
      <c r="AI213" s="194"/>
    </row>
    <row r="214" spans="2:35" ht="39" thickBot="1">
      <c r="B214" s="560" t="s">
        <v>96</v>
      </c>
      <c r="C214" s="511" t="s">
        <v>167</v>
      </c>
      <c r="D214" s="97"/>
      <c r="E214" s="621" t="s">
        <v>168</v>
      </c>
      <c r="F214" s="621" t="s">
        <v>169</v>
      </c>
      <c r="G214" s="194"/>
      <c r="H214" s="265"/>
      <c r="I214" s="597" t="s">
        <v>96</v>
      </c>
      <c r="J214" s="511" t="s">
        <v>167</v>
      </c>
      <c r="K214" s="97"/>
      <c r="L214" s="621" t="s">
        <v>168</v>
      </c>
      <c r="M214" s="621" t="s">
        <v>169</v>
      </c>
      <c r="N214" s="194"/>
      <c r="O214" s="265"/>
      <c r="P214" s="597" t="s">
        <v>96</v>
      </c>
      <c r="Q214" s="511" t="s">
        <v>167</v>
      </c>
      <c r="R214" s="97"/>
      <c r="S214" s="621" t="s">
        <v>168</v>
      </c>
      <c r="T214" s="621" t="s">
        <v>169</v>
      </c>
      <c r="U214" s="194"/>
      <c r="V214" s="265"/>
      <c r="W214" s="597" t="s">
        <v>96</v>
      </c>
      <c r="X214" s="511" t="s">
        <v>167</v>
      </c>
      <c r="Y214" s="97"/>
      <c r="Z214" s="621" t="s">
        <v>168</v>
      </c>
      <c r="AA214" s="621" t="s">
        <v>169</v>
      </c>
      <c r="AB214" s="194"/>
      <c r="AC214" s="265"/>
      <c r="AD214" s="597" t="s">
        <v>96</v>
      </c>
      <c r="AE214" s="511" t="s">
        <v>167</v>
      </c>
      <c r="AF214" s="97"/>
      <c r="AG214" s="621" t="s">
        <v>168</v>
      </c>
      <c r="AH214" s="621" t="s">
        <v>169</v>
      </c>
      <c r="AI214" s="194"/>
    </row>
    <row r="215" spans="2:35" ht="15.75" thickBot="1">
      <c r="B215" s="643" t="s">
        <v>175</v>
      </c>
      <c r="C215" s="638">
        <f>F211/(C211+0.00000000001)</f>
        <v>0</v>
      </c>
      <c r="D215" s="97"/>
      <c r="E215" s="640">
        <v>0</v>
      </c>
      <c r="F215" s="640">
        <f>F211</f>
        <v>0</v>
      </c>
      <c r="G215" s="194"/>
      <c r="H215" s="265"/>
      <c r="I215" s="648" t="s">
        <v>175</v>
      </c>
      <c r="J215" s="638">
        <f>M211/(J211+0.00000000001)</f>
        <v>0</v>
      </c>
      <c r="K215" s="97"/>
      <c r="L215" s="640">
        <v>0</v>
      </c>
      <c r="M215" s="640">
        <f>M211</f>
        <v>0</v>
      </c>
      <c r="N215" s="194"/>
      <c r="O215" s="265"/>
      <c r="P215" s="648" t="s">
        <v>175</v>
      </c>
      <c r="Q215" s="638">
        <f>T211/(Q211+0.00000000001)</f>
        <v>0</v>
      </c>
      <c r="R215" s="97"/>
      <c r="S215" s="640">
        <v>0</v>
      </c>
      <c r="T215" s="640">
        <f>T211</f>
        <v>0</v>
      </c>
      <c r="U215" s="194"/>
      <c r="V215" s="265"/>
      <c r="W215" s="648" t="s">
        <v>175</v>
      </c>
      <c r="X215" s="638">
        <f>AA211/(X211+0.00000000001)</f>
        <v>0</v>
      </c>
      <c r="Y215" s="97"/>
      <c r="Z215" s="640">
        <v>0</v>
      </c>
      <c r="AA215" s="640">
        <f>AA211</f>
        <v>0</v>
      </c>
      <c r="AB215" s="194"/>
      <c r="AC215" s="265"/>
      <c r="AD215" s="648" t="s">
        <v>175</v>
      </c>
      <c r="AE215" s="638">
        <f>AH211/(AE211+0.00000000001)</f>
        <v>0</v>
      </c>
      <c r="AF215" s="97"/>
      <c r="AG215" s="640">
        <v>0</v>
      </c>
      <c r="AH215" s="640">
        <f>AH211</f>
        <v>0</v>
      </c>
      <c r="AI215" s="194"/>
    </row>
    <row r="216" spans="2:35" ht="15.75" thickBot="1">
      <c r="B216" s="644" t="s">
        <v>171</v>
      </c>
      <c r="C216" s="639">
        <f>VLOOKUP(C215,E215:F216,2,TRUE)</f>
        <v>0</v>
      </c>
      <c r="D216" s="97"/>
      <c r="E216" s="640">
        <v>40000</v>
      </c>
      <c r="F216" s="640">
        <f>C211*E216</f>
        <v>0</v>
      </c>
      <c r="G216" s="194"/>
      <c r="H216" s="265"/>
      <c r="I216" s="649" t="s">
        <v>171</v>
      </c>
      <c r="J216" s="639">
        <f>VLOOKUP(J215,L215:M216,2,TRUE)</f>
        <v>0</v>
      </c>
      <c r="K216" s="97"/>
      <c r="L216" s="640">
        <v>40000</v>
      </c>
      <c r="M216" s="640">
        <f>J211*L216</f>
        <v>0</v>
      </c>
      <c r="N216" s="194"/>
      <c r="O216" s="265"/>
      <c r="P216" s="649" t="s">
        <v>171</v>
      </c>
      <c r="Q216" s="639">
        <f>VLOOKUP(Q215,S215:T216,2,TRUE)</f>
        <v>0</v>
      </c>
      <c r="R216" s="97"/>
      <c r="S216" s="640">
        <v>40000</v>
      </c>
      <c r="T216" s="640">
        <f>Q211*S216</f>
        <v>0</v>
      </c>
      <c r="U216" s="194"/>
      <c r="V216" s="265"/>
      <c r="W216" s="649" t="s">
        <v>171</v>
      </c>
      <c r="X216" s="639">
        <f>VLOOKUP(X215,Z215:AA216,2,TRUE)</f>
        <v>0</v>
      </c>
      <c r="Y216" s="97"/>
      <c r="Z216" s="640">
        <v>40000</v>
      </c>
      <c r="AA216" s="640">
        <f>X211*Z216</f>
        <v>0</v>
      </c>
      <c r="AB216" s="194"/>
      <c r="AC216" s="265"/>
      <c r="AD216" s="649" t="s">
        <v>171</v>
      </c>
      <c r="AE216" s="639">
        <f>VLOOKUP(AE215,AG215:AH216,2,TRUE)</f>
        <v>0</v>
      </c>
      <c r="AF216" s="97"/>
      <c r="AG216" s="640">
        <v>40000</v>
      </c>
      <c r="AH216" s="640">
        <f>AE211*AG216</f>
        <v>0</v>
      </c>
      <c r="AI216" s="194"/>
    </row>
    <row r="217" spans="2:35" ht="12.75">
      <c r="B217" s="208"/>
      <c r="C217" s="97"/>
      <c r="D217" s="97"/>
      <c r="E217" s="97"/>
      <c r="F217" s="201"/>
      <c r="G217" s="194"/>
      <c r="H217" s="265"/>
      <c r="I217" s="97"/>
      <c r="J217" s="97"/>
      <c r="K217" s="97"/>
      <c r="L217" s="97"/>
      <c r="M217" s="201"/>
      <c r="N217" s="194"/>
      <c r="O217" s="265"/>
      <c r="P217" s="97"/>
      <c r="Q217" s="97"/>
      <c r="R217" s="97"/>
      <c r="S217" s="97"/>
      <c r="T217" s="201"/>
      <c r="U217" s="194"/>
      <c r="V217" s="265"/>
      <c r="W217" s="97"/>
      <c r="X217" s="97"/>
      <c r="Y217" s="97"/>
      <c r="Z217" s="97"/>
      <c r="AA217" s="201"/>
      <c r="AB217" s="194"/>
      <c r="AC217" s="265"/>
      <c r="AD217" s="97"/>
      <c r="AE217" s="97"/>
      <c r="AF217" s="97"/>
      <c r="AG217" s="97"/>
      <c r="AH217" s="201"/>
      <c r="AI217" s="194"/>
    </row>
    <row r="218" spans="2:35" ht="12.75">
      <c r="B218" s="208"/>
      <c r="C218" s="97"/>
      <c r="D218" s="97"/>
      <c r="E218" s="97"/>
      <c r="F218" s="201"/>
      <c r="G218" s="194"/>
      <c r="H218" s="265"/>
      <c r="I218" s="97"/>
      <c r="J218" s="97"/>
      <c r="K218" s="97"/>
      <c r="L218" s="97"/>
      <c r="M218" s="201"/>
      <c r="N218" s="194"/>
      <c r="O218" s="265"/>
      <c r="P218" s="97"/>
      <c r="Q218" s="97"/>
      <c r="R218" s="97"/>
      <c r="S218" s="97"/>
      <c r="T218" s="201"/>
      <c r="U218" s="194"/>
      <c r="V218" s="265"/>
      <c r="W218" s="97"/>
      <c r="X218" s="97"/>
      <c r="Y218" s="97"/>
      <c r="Z218" s="97"/>
      <c r="AA218" s="201"/>
      <c r="AB218" s="194"/>
      <c r="AC218" s="265"/>
      <c r="AD218" s="97"/>
      <c r="AE218" s="97"/>
      <c r="AF218" s="97"/>
      <c r="AG218" s="97"/>
      <c r="AH218" s="201"/>
      <c r="AI218" s="194"/>
    </row>
    <row r="219" spans="2:35" ht="13.5" thickBot="1">
      <c r="B219" s="215"/>
      <c r="C219" s="216"/>
      <c r="D219" s="216"/>
      <c r="E219" s="216"/>
      <c r="F219" s="235"/>
      <c r="G219" s="236"/>
      <c r="H219" s="265"/>
      <c r="I219" s="216"/>
      <c r="J219" s="216"/>
      <c r="K219" s="216"/>
      <c r="L219" s="216"/>
      <c r="M219" s="235"/>
      <c r="N219" s="236"/>
      <c r="O219" s="265"/>
      <c r="P219" s="216"/>
      <c r="Q219" s="216"/>
      <c r="R219" s="216"/>
      <c r="S219" s="216"/>
      <c r="T219" s="235"/>
      <c r="U219" s="236"/>
      <c r="V219" s="265"/>
      <c r="W219" s="216"/>
      <c r="X219" s="216"/>
      <c r="Y219" s="216"/>
      <c r="Z219" s="216"/>
      <c r="AA219" s="235"/>
      <c r="AB219" s="236"/>
      <c r="AC219" s="265"/>
      <c r="AD219" s="216"/>
      <c r="AE219" s="216"/>
      <c r="AF219" s="216"/>
      <c r="AG219" s="216"/>
      <c r="AH219" s="235"/>
      <c r="AI219" s="236"/>
    </row>
    <row r="220" spans="2:34" ht="12.75">
      <c r="B220" s="208"/>
      <c r="C220" s="97"/>
      <c r="D220" s="97"/>
      <c r="E220" s="97"/>
      <c r="F220" s="201"/>
      <c r="G220" s="194"/>
      <c r="H220" s="265"/>
      <c r="M220" s="223"/>
      <c r="N220" s="239"/>
      <c r="O220" s="265"/>
      <c r="T220" s="223"/>
      <c r="U220" s="239"/>
      <c r="V220" s="265"/>
      <c r="AA220" s="223"/>
      <c r="AB220" s="239"/>
      <c r="AC220" s="265"/>
      <c r="AH220" s="223"/>
    </row>
    <row r="221" spans="2:34" ht="13.5" thickBot="1">
      <c r="B221" s="208"/>
      <c r="C221" s="97"/>
      <c r="D221" s="97"/>
      <c r="E221" s="97"/>
      <c r="F221" s="201"/>
      <c r="G221" s="194"/>
      <c r="H221" s="265"/>
      <c r="M221" s="223"/>
      <c r="N221" s="236"/>
      <c r="O221" s="265"/>
      <c r="T221" s="223"/>
      <c r="U221" s="236"/>
      <c r="V221" s="265"/>
      <c r="AA221" s="223"/>
      <c r="AB221" s="236"/>
      <c r="AC221" s="265"/>
      <c r="AH221" s="223"/>
    </row>
    <row r="222" spans="2:35" ht="27.75" customHeight="1" thickBot="1">
      <c r="B222" s="1154" t="s">
        <v>176</v>
      </c>
      <c r="C222" s="1107"/>
      <c r="D222" s="1107"/>
      <c r="E222" s="1107"/>
      <c r="F222" s="1107"/>
      <c r="G222" s="1108"/>
      <c r="H222" s="265"/>
      <c r="I222" s="1107" t="s">
        <v>176</v>
      </c>
      <c r="J222" s="1107"/>
      <c r="K222" s="1107"/>
      <c r="L222" s="1107"/>
      <c r="M222" s="1107"/>
      <c r="N222" s="1108"/>
      <c r="O222" s="265"/>
      <c r="P222" s="1107" t="s">
        <v>176</v>
      </c>
      <c r="Q222" s="1107"/>
      <c r="R222" s="1107"/>
      <c r="S222" s="1107"/>
      <c r="T222" s="1107"/>
      <c r="U222" s="1108"/>
      <c r="V222" s="265"/>
      <c r="W222" s="1107" t="s">
        <v>176</v>
      </c>
      <c r="X222" s="1107"/>
      <c r="Y222" s="1107"/>
      <c r="Z222" s="1107"/>
      <c r="AA222" s="1107"/>
      <c r="AB222" s="1108"/>
      <c r="AC222" s="265"/>
      <c r="AD222" s="1107" t="s">
        <v>176</v>
      </c>
      <c r="AE222" s="1107"/>
      <c r="AF222" s="1107"/>
      <c r="AG222" s="1107"/>
      <c r="AH222" s="1107"/>
      <c r="AI222" s="1108"/>
    </row>
    <row r="223" spans="2:35" ht="27" customHeight="1" thickBot="1">
      <c r="B223" s="1159" t="s">
        <v>533</v>
      </c>
      <c r="C223" s="1110"/>
      <c r="D223" s="1110"/>
      <c r="E223" s="1110"/>
      <c r="F223" s="1110"/>
      <c r="G223" s="1111"/>
      <c r="H223" s="265"/>
      <c r="I223" s="1109" t="s">
        <v>533</v>
      </c>
      <c r="J223" s="1110"/>
      <c r="K223" s="1110"/>
      <c r="L223" s="1110"/>
      <c r="M223" s="1110"/>
      <c r="N223" s="1111"/>
      <c r="O223" s="265"/>
      <c r="P223" s="1109" t="s">
        <v>533</v>
      </c>
      <c r="Q223" s="1110"/>
      <c r="R223" s="1110"/>
      <c r="S223" s="1110"/>
      <c r="T223" s="1110"/>
      <c r="U223" s="1111"/>
      <c r="V223" s="265"/>
      <c r="W223" s="1109" t="s">
        <v>533</v>
      </c>
      <c r="X223" s="1110"/>
      <c r="Y223" s="1110"/>
      <c r="Z223" s="1110"/>
      <c r="AA223" s="1110"/>
      <c r="AB223" s="1111"/>
      <c r="AC223" s="265"/>
      <c r="AD223" s="1109" t="s">
        <v>533</v>
      </c>
      <c r="AE223" s="1110"/>
      <c r="AF223" s="1110"/>
      <c r="AG223" s="1110"/>
      <c r="AH223" s="1110"/>
      <c r="AI223" s="1111"/>
    </row>
    <row r="224" spans="2:35" ht="12.75">
      <c r="B224" s="208"/>
      <c r="C224" s="97"/>
      <c r="D224" s="97"/>
      <c r="E224" s="97"/>
      <c r="F224" s="201"/>
      <c r="G224" s="194"/>
      <c r="H224" s="265"/>
      <c r="I224" s="97"/>
      <c r="J224" s="97"/>
      <c r="K224" s="97"/>
      <c r="L224" s="97"/>
      <c r="M224" s="201"/>
      <c r="N224" s="194"/>
      <c r="O224" s="265"/>
      <c r="P224" s="97"/>
      <c r="Q224" s="97"/>
      <c r="R224" s="97"/>
      <c r="S224" s="97"/>
      <c r="T224" s="201"/>
      <c r="U224" s="194"/>
      <c r="V224" s="265"/>
      <c r="W224" s="97"/>
      <c r="X224" s="97"/>
      <c r="Y224" s="97"/>
      <c r="Z224" s="97"/>
      <c r="AA224" s="201"/>
      <c r="AB224" s="194"/>
      <c r="AC224" s="265"/>
      <c r="AD224" s="97"/>
      <c r="AE224" s="97"/>
      <c r="AF224" s="97"/>
      <c r="AG224" s="97"/>
      <c r="AH224" s="201"/>
      <c r="AI224" s="194"/>
    </row>
    <row r="225" spans="2:35" ht="13.5" thickBot="1">
      <c r="B225" s="208"/>
      <c r="C225" s="97"/>
      <c r="D225" s="97"/>
      <c r="E225" s="97"/>
      <c r="F225" s="201"/>
      <c r="G225" s="194"/>
      <c r="H225" s="265"/>
      <c r="I225" s="97"/>
      <c r="J225" s="97"/>
      <c r="K225" s="97"/>
      <c r="L225" s="97"/>
      <c r="M225" s="201"/>
      <c r="N225" s="194"/>
      <c r="O225" s="265"/>
      <c r="P225" s="97"/>
      <c r="Q225" s="97"/>
      <c r="R225" s="97"/>
      <c r="S225" s="97"/>
      <c r="T225" s="201"/>
      <c r="U225" s="194"/>
      <c r="V225" s="265"/>
      <c r="W225" s="97"/>
      <c r="X225" s="97"/>
      <c r="Y225" s="97"/>
      <c r="Z225" s="97"/>
      <c r="AA225" s="201"/>
      <c r="AB225" s="194"/>
      <c r="AC225" s="265"/>
      <c r="AD225" s="97"/>
      <c r="AE225" s="97"/>
      <c r="AF225" s="97"/>
      <c r="AG225" s="97"/>
      <c r="AH225" s="201"/>
      <c r="AI225" s="194"/>
    </row>
    <row r="226" spans="2:35" ht="13.5" thickBot="1">
      <c r="B226" s="1160" t="s">
        <v>534</v>
      </c>
      <c r="C226" s="1113"/>
      <c r="D226" s="650">
        <f>'Budget with Assumptions'!L51</f>
        <v>0</v>
      </c>
      <c r="E226" s="97"/>
      <c r="F226" s="201"/>
      <c r="G226" s="194"/>
      <c r="H226" s="265"/>
      <c r="I226" s="1112" t="s">
        <v>535</v>
      </c>
      <c r="J226" s="1113"/>
      <c r="K226" s="650">
        <f>'Budget with Assumptions'!N51</f>
        <v>0</v>
      </c>
      <c r="L226" s="97"/>
      <c r="M226" s="201"/>
      <c r="N226" s="194"/>
      <c r="O226" s="265"/>
      <c r="P226" s="1112" t="s">
        <v>536</v>
      </c>
      <c r="Q226" s="1113"/>
      <c r="R226" s="650">
        <f>'Budget with Assumptions'!P51</f>
        <v>0</v>
      </c>
      <c r="S226" s="97"/>
      <c r="T226" s="201"/>
      <c r="U226" s="194"/>
      <c r="V226" s="265"/>
      <c r="W226" s="1112" t="s">
        <v>537</v>
      </c>
      <c r="X226" s="1113"/>
      <c r="Y226" s="650">
        <f>'Budget with Assumptions'!R51</f>
        <v>0</v>
      </c>
      <c r="Z226" s="97"/>
      <c r="AA226" s="201"/>
      <c r="AB226" s="194"/>
      <c r="AC226" s="265"/>
      <c r="AD226" s="1112" t="s">
        <v>538</v>
      </c>
      <c r="AE226" s="1113"/>
      <c r="AF226" s="650">
        <f>'Budget with Assumptions'!T51</f>
        <v>0</v>
      </c>
      <c r="AG226" s="97"/>
      <c r="AH226" s="201"/>
      <c r="AI226" s="194"/>
    </row>
    <row r="227" spans="2:35" ht="13.5" thickBot="1">
      <c r="B227" s="241"/>
      <c r="C227" s="242"/>
      <c r="D227" s="243"/>
      <c r="E227" s="216"/>
      <c r="F227" s="235"/>
      <c r="G227" s="236"/>
      <c r="H227" s="265"/>
      <c r="I227" s="242"/>
      <c r="J227" s="242"/>
      <c r="K227" s="243"/>
      <c r="L227" s="216"/>
      <c r="M227" s="235"/>
      <c r="N227" s="236"/>
      <c r="O227" s="265"/>
      <c r="P227" s="242"/>
      <c r="Q227" s="242"/>
      <c r="R227" s="243"/>
      <c r="S227" s="216"/>
      <c r="T227" s="235"/>
      <c r="U227" s="236"/>
      <c r="V227" s="265"/>
      <c r="W227" s="242"/>
      <c r="X227" s="242"/>
      <c r="Y227" s="243"/>
      <c r="Z227" s="216"/>
      <c r="AA227" s="235"/>
      <c r="AB227" s="236"/>
      <c r="AC227" s="265"/>
      <c r="AD227" s="242"/>
      <c r="AE227" s="242"/>
      <c r="AF227" s="243"/>
      <c r="AG227" s="216"/>
      <c r="AH227" s="235"/>
      <c r="AI227" s="236"/>
    </row>
    <row r="228" spans="2:34" ht="12.75">
      <c r="B228" s="276"/>
      <c r="C228" s="244"/>
      <c r="D228" s="7"/>
      <c r="E228" s="97"/>
      <c r="F228" s="201"/>
      <c r="G228" s="194"/>
      <c r="H228" s="265"/>
      <c r="I228" s="244"/>
      <c r="J228" s="244"/>
      <c r="K228" s="7"/>
      <c r="M228" s="223"/>
      <c r="N228" s="239"/>
      <c r="O228" s="265"/>
      <c r="P228" s="244"/>
      <c r="Q228" s="244"/>
      <c r="R228" s="7"/>
      <c r="T228" s="223"/>
      <c r="U228" s="239"/>
      <c r="V228" s="265"/>
      <c r="W228" s="244"/>
      <c r="X228" s="244"/>
      <c r="Y228" s="7"/>
      <c r="AA228" s="223"/>
      <c r="AB228" s="239"/>
      <c r="AC228" s="265"/>
      <c r="AD228" s="244"/>
      <c r="AE228" s="244"/>
      <c r="AF228" s="7"/>
      <c r="AH228" s="223"/>
    </row>
    <row r="229" spans="2:34" ht="12.75">
      <c r="B229" s="208"/>
      <c r="C229" s="97"/>
      <c r="D229" s="97"/>
      <c r="E229" s="97"/>
      <c r="F229" s="201"/>
      <c r="G229" s="194"/>
      <c r="H229" s="265"/>
      <c r="M229" s="223"/>
      <c r="N229" s="194"/>
      <c r="O229" s="265"/>
      <c r="T229" s="223"/>
      <c r="U229" s="194"/>
      <c r="V229" s="265"/>
      <c r="AA229" s="223"/>
      <c r="AB229" s="194"/>
      <c r="AC229" s="265"/>
      <c r="AH229" s="223"/>
    </row>
    <row r="230" spans="2:34" ht="13.5" thickBot="1">
      <c r="B230" s="208"/>
      <c r="C230" s="97"/>
      <c r="D230" s="97"/>
      <c r="E230" s="97"/>
      <c r="F230" s="201"/>
      <c r="G230" s="194"/>
      <c r="H230" s="265"/>
      <c r="M230" s="223"/>
      <c r="N230" s="236"/>
      <c r="O230" s="265"/>
      <c r="T230" s="223"/>
      <c r="U230" s="236"/>
      <c r="V230" s="265"/>
      <c r="AA230" s="223"/>
      <c r="AB230" s="236"/>
      <c r="AC230" s="265"/>
      <c r="AH230" s="223"/>
    </row>
    <row r="231" spans="2:35" ht="13.5" thickBot="1">
      <c r="B231" s="1154" t="s">
        <v>177</v>
      </c>
      <c r="C231" s="1107"/>
      <c r="D231" s="1107"/>
      <c r="E231" s="1107"/>
      <c r="F231" s="1107"/>
      <c r="G231" s="1108"/>
      <c r="H231" s="265"/>
      <c r="I231" s="1107" t="s">
        <v>177</v>
      </c>
      <c r="J231" s="1107"/>
      <c r="K231" s="1107"/>
      <c r="L231" s="1107"/>
      <c r="M231" s="1107"/>
      <c r="N231" s="1108"/>
      <c r="O231" s="265"/>
      <c r="P231" s="1107" t="s">
        <v>177</v>
      </c>
      <c r="Q231" s="1107"/>
      <c r="R231" s="1107"/>
      <c r="S231" s="1107"/>
      <c r="T231" s="1107"/>
      <c r="U231" s="1108"/>
      <c r="V231" s="265"/>
      <c r="W231" s="1107" t="s">
        <v>177</v>
      </c>
      <c r="X231" s="1107"/>
      <c r="Y231" s="1107"/>
      <c r="Z231" s="1107"/>
      <c r="AA231" s="1107"/>
      <c r="AB231" s="1108"/>
      <c r="AC231" s="265"/>
      <c r="AD231" s="1107" t="s">
        <v>177</v>
      </c>
      <c r="AE231" s="1107"/>
      <c r="AF231" s="1107"/>
      <c r="AG231" s="1107"/>
      <c r="AH231" s="1107"/>
      <c r="AI231" s="1108"/>
    </row>
    <row r="232" spans="2:35" ht="13.5" thickBot="1">
      <c r="B232" s="208"/>
      <c r="C232" s="97"/>
      <c r="D232" s="97"/>
      <c r="E232" s="97"/>
      <c r="F232" s="201"/>
      <c r="G232" s="194"/>
      <c r="H232" s="265"/>
      <c r="I232" s="97"/>
      <c r="J232" s="97"/>
      <c r="K232" s="97"/>
      <c r="L232" s="97"/>
      <c r="M232" s="201"/>
      <c r="N232" s="194"/>
      <c r="O232" s="265"/>
      <c r="P232" s="97"/>
      <c r="Q232" s="97"/>
      <c r="R232" s="97"/>
      <c r="S232" s="97"/>
      <c r="T232" s="201"/>
      <c r="U232" s="194"/>
      <c r="V232" s="265"/>
      <c r="W232" s="97"/>
      <c r="X232" s="97"/>
      <c r="Y232" s="97"/>
      <c r="Z232" s="97"/>
      <c r="AA232" s="201"/>
      <c r="AB232" s="194"/>
      <c r="AC232" s="265"/>
      <c r="AD232" s="97"/>
      <c r="AE232" s="97"/>
      <c r="AF232" s="97"/>
      <c r="AG232" s="97"/>
      <c r="AH232" s="201"/>
      <c r="AI232" s="194"/>
    </row>
    <row r="233" spans="2:35" ht="13.5" thickBot="1">
      <c r="B233" s="1158" t="s">
        <v>178</v>
      </c>
      <c r="C233" s="1115"/>
      <c r="D233" s="651">
        <f>C200</f>
        <v>163288.5842571794</v>
      </c>
      <c r="E233" s="97"/>
      <c r="F233" s="201"/>
      <c r="G233" s="194"/>
      <c r="H233" s="265"/>
      <c r="I233" s="1114" t="s">
        <v>178</v>
      </c>
      <c r="J233" s="1115"/>
      <c r="K233" s="651">
        <f>J200</f>
        <v>166512.10442539543</v>
      </c>
      <c r="L233" s="97"/>
      <c r="M233" s="201"/>
      <c r="N233" s="194"/>
      <c r="O233" s="265"/>
      <c r="P233" s="1114" t="s">
        <v>178</v>
      </c>
      <c r="Q233" s="1115"/>
      <c r="R233" s="651">
        <f>Q200</f>
        <v>169804.7364780651</v>
      </c>
      <c r="S233" s="97"/>
      <c r="T233" s="201"/>
      <c r="U233" s="194"/>
      <c r="V233" s="265"/>
      <c r="W233" s="1114" t="s">
        <v>178</v>
      </c>
      <c r="X233" s="1115"/>
      <c r="Y233" s="651">
        <f>X200</f>
        <v>173200.8312076264</v>
      </c>
      <c r="Z233" s="97"/>
      <c r="AA233" s="201"/>
      <c r="AB233" s="194"/>
      <c r="AC233" s="265"/>
      <c r="AD233" s="1114" t="s">
        <v>178</v>
      </c>
      <c r="AE233" s="1115"/>
      <c r="AF233" s="651">
        <f>AE200</f>
        <v>176664.84783177893</v>
      </c>
      <c r="AG233" s="97"/>
      <c r="AH233" s="201"/>
      <c r="AI233" s="194"/>
    </row>
    <row r="234" spans="2:35" ht="13.5" thickBot="1">
      <c r="B234" s="1158" t="s">
        <v>179</v>
      </c>
      <c r="C234" s="1115"/>
      <c r="D234" s="651">
        <f>C216</f>
        <v>0</v>
      </c>
      <c r="E234" s="97"/>
      <c r="F234" s="201"/>
      <c r="G234" s="194"/>
      <c r="H234" s="265"/>
      <c r="I234" s="1114" t="s">
        <v>179</v>
      </c>
      <c r="J234" s="1115"/>
      <c r="K234" s="651">
        <f>J216</f>
        <v>0</v>
      </c>
      <c r="L234" s="97"/>
      <c r="M234" s="201"/>
      <c r="N234" s="194"/>
      <c r="O234" s="265"/>
      <c r="P234" s="1114" t="s">
        <v>179</v>
      </c>
      <c r="Q234" s="1115"/>
      <c r="R234" s="651">
        <f>Q216</f>
        <v>0</v>
      </c>
      <c r="S234" s="97"/>
      <c r="T234" s="201"/>
      <c r="U234" s="194"/>
      <c r="V234" s="265"/>
      <c r="W234" s="1114" t="s">
        <v>179</v>
      </c>
      <c r="X234" s="1115"/>
      <c r="Y234" s="651">
        <f>X216</f>
        <v>0</v>
      </c>
      <c r="Z234" s="97"/>
      <c r="AA234" s="201"/>
      <c r="AB234" s="194"/>
      <c r="AC234" s="265"/>
      <c r="AD234" s="1114" t="s">
        <v>179</v>
      </c>
      <c r="AE234" s="1115"/>
      <c r="AF234" s="651">
        <f>AE216</f>
        <v>0</v>
      </c>
      <c r="AG234" s="97"/>
      <c r="AH234" s="201"/>
      <c r="AI234" s="194"/>
    </row>
    <row r="235" spans="2:35" ht="13.5" thickBot="1">
      <c r="B235" s="1155" t="s">
        <v>180</v>
      </c>
      <c r="C235" s="1103"/>
      <c r="D235" s="577">
        <f>D226</f>
        <v>0</v>
      </c>
      <c r="E235" s="97"/>
      <c r="F235" s="201"/>
      <c r="G235" s="194"/>
      <c r="H235" s="265"/>
      <c r="I235" s="1102" t="s">
        <v>180</v>
      </c>
      <c r="J235" s="1103"/>
      <c r="K235" s="577">
        <f>K226</f>
        <v>0</v>
      </c>
      <c r="L235" s="97"/>
      <c r="M235" s="201"/>
      <c r="N235" s="194"/>
      <c r="O235" s="265"/>
      <c r="P235" s="1102" t="s">
        <v>180</v>
      </c>
      <c r="Q235" s="1103"/>
      <c r="R235" s="577">
        <f>R226</f>
        <v>0</v>
      </c>
      <c r="S235" s="97"/>
      <c r="T235" s="201"/>
      <c r="U235" s="194"/>
      <c r="V235" s="265"/>
      <c r="W235" s="1102" t="s">
        <v>180</v>
      </c>
      <c r="X235" s="1103"/>
      <c r="Y235" s="577">
        <f>Y226</f>
        <v>0</v>
      </c>
      <c r="Z235" s="97"/>
      <c r="AA235" s="201"/>
      <c r="AB235" s="194"/>
      <c r="AC235" s="265"/>
      <c r="AD235" s="1102" t="s">
        <v>180</v>
      </c>
      <c r="AE235" s="1103"/>
      <c r="AF235" s="577">
        <f>AF226</f>
        <v>0</v>
      </c>
      <c r="AG235" s="97"/>
      <c r="AH235" s="201"/>
      <c r="AI235" s="194"/>
    </row>
    <row r="236" spans="2:35" ht="13.5" thickBot="1">
      <c r="B236" s="572" t="s">
        <v>181</v>
      </c>
      <c r="C236" s="652"/>
      <c r="D236" s="651">
        <f>SUM(D233:D235)</f>
        <v>163288.5842571794</v>
      </c>
      <c r="E236" s="97"/>
      <c r="F236" s="201"/>
      <c r="G236" s="194"/>
      <c r="H236" s="265"/>
      <c r="I236" s="619" t="s">
        <v>181</v>
      </c>
      <c r="J236" s="652"/>
      <c r="K236" s="651">
        <f>SUM(K233:K235)</f>
        <v>166512.10442539543</v>
      </c>
      <c r="L236" s="97"/>
      <c r="M236" s="201"/>
      <c r="N236" s="194"/>
      <c r="O236" s="265"/>
      <c r="P236" s="619" t="s">
        <v>181</v>
      </c>
      <c r="Q236" s="652"/>
      <c r="R236" s="651">
        <f>SUM(R233:R235)</f>
        <v>169804.7364780651</v>
      </c>
      <c r="S236" s="97"/>
      <c r="T236" s="201"/>
      <c r="U236" s="194"/>
      <c r="V236" s="265"/>
      <c r="W236" s="619" t="s">
        <v>181</v>
      </c>
      <c r="X236" s="652"/>
      <c r="Y236" s="651">
        <f>SUM(Y233:Y235)</f>
        <v>173200.8312076264</v>
      </c>
      <c r="Z236" s="97"/>
      <c r="AA236" s="201"/>
      <c r="AB236" s="194"/>
      <c r="AC236" s="265"/>
      <c r="AD236" s="619" t="s">
        <v>181</v>
      </c>
      <c r="AE236" s="652"/>
      <c r="AF236" s="651">
        <f>SUM(AF233:AF235)</f>
        <v>176664.84783177893</v>
      </c>
      <c r="AG236" s="97"/>
      <c r="AH236" s="201"/>
      <c r="AI236" s="194"/>
    </row>
    <row r="237" spans="2:35" ht="12.75">
      <c r="B237" s="208"/>
      <c r="C237" s="97"/>
      <c r="D237" s="97"/>
      <c r="E237" s="97"/>
      <c r="F237" s="201"/>
      <c r="G237" s="194"/>
      <c r="H237" s="265"/>
      <c r="I237" s="97"/>
      <c r="J237" s="97"/>
      <c r="K237" s="97"/>
      <c r="L237" s="97"/>
      <c r="M237" s="201"/>
      <c r="N237" s="194"/>
      <c r="O237" s="265"/>
      <c r="P237" s="97"/>
      <c r="Q237" s="97"/>
      <c r="R237" s="97"/>
      <c r="S237" s="97"/>
      <c r="T237" s="201"/>
      <c r="U237" s="194"/>
      <c r="V237" s="265"/>
      <c r="W237" s="97"/>
      <c r="X237" s="97"/>
      <c r="Y237" s="97"/>
      <c r="Z237" s="97"/>
      <c r="AA237" s="201"/>
      <c r="AB237" s="194"/>
      <c r="AC237" s="265"/>
      <c r="AD237" s="97"/>
      <c r="AE237" s="97"/>
      <c r="AF237" s="97"/>
      <c r="AG237" s="97"/>
      <c r="AH237" s="201"/>
      <c r="AI237" s="194"/>
    </row>
    <row r="238" spans="2:35" ht="12.75">
      <c r="B238" s="208"/>
      <c r="C238" s="97"/>
      <c r="D238" s="97"/>
      <c r="E238" s="97"/>
      <c r="F238" s="201"/>
      <c r="G238" s="194"/>
      <c r="H238" s="265"/>
      <c r="I238" s="97"/>
      <c r="J238" s="97"/>
      <c r="K238" s="97"/>
      <c r="L238" s="97"/>
      <c r="M238" s="201"/>
      <c r="N238" s="194"/>
      <c r="O238" s="265"/>
      <c r="P238" s="97"/>
      <c r="Q238" s="97"/>
      <c r="R238" s="97"/>
      <c r="S238" s="97"/>
      <c r="T238" s="201"/>
      <c r="U238" s="194"/>
      <c r="V238" s="265"/>
      <c r="W238" s="97"/>
      <c r="X238" s="97"/>
      <c r="Y238" s="97"/>
      <c r="Z238" s="97"/>
      <c r="AA238" s="201"/>
      <c r="AB238" s="194"/>
      <c r="AC238" s="265"/>
      <c r="AD238" s="97"/>
      <c r="AE238" s="97"/>
      <c r="AF238" s="97"/>
      <c r="AG238" s="97"/>
      <c r="AH238" s="201"/>
      <c r="AI238" s="194"/>
    </row>
    <row r="239" spans="2:35" ht="13.5" thickBot="1">
      <c r="B239" s="215"/>
      <c r="C239" s="216"/>
      <c r="D239" s="216"/>
      <c r="E239" s="216"/>
      <c r="F239" s="235"/>
      <c r="G239" s="236"/>
      <c r="H239" s="266"/>
      <c r="I239" s="216"/>
      <c r="J239" s="216"/>
      <c r="K239" s="216"/>
      <c r="L239" s="216"/>
      <c r="M239" s="235"/>
      <c r="N239" s="236"/>
      <c r="O239" s="266"/>
      <c r="P239" s="216"/>
      <c r="Q239" s="216"/>
      <c r="R239" s="216"/>
      <c r="S239" s="216"/>
      <c r="T239" s="235"/>
      <c r="U239" s="236"/>
      <c r="V239" s="266"/>
      <c r="W239" s="216"/>
      <c r="X239" s="216"/>
      <c r="Y239" s="216"/>
      <c r="Z239" s="216"/>
      <c r="AA239" s="235"/>
      <c r="AB239" s="236"/>
      <c r="AC239" s="266"/>
      <c r="AD239" s="216"/>
      <c r="AE239" s="216"/>
      <c r="AF239" s="216"/>
      <c r="AG239" s="216"/>
      <c r="AH239" s="235"/>
      <c r="AI239" s="236"/>
    </row>
  </sheetData>
  <sheetProtection password="C9A0" sheet="1"/>
  <mergeCells count="214">
    <mergeCell ref="G115:H115"/>
    <mergeCell ref="AD154:AH154"/>
    <mergeCell ref="B233:C233"/>
    <mergeCell ref="B184:C184"/>
    <mergeCell ref="B185:G185"/>
    <mergeCell ref="B186:G187"/>
    <mergeCell ref="B205:G206"/>
    <mergeCell ref="F207:F208"/>
    <mergeCell ref="B158:F158"/>
    <mergeCell ref="B164:F165"/>
    <mergeCell ref="B123:F123"/>
    <mergeCell ref="B135:C135"/>
    <mergeCell ref="B154:F154"/>
    <mergeCell ref="B41:C41"/>
    <mergeCell ref="B57:F57"/>
    <mergeCell ref="B58:F58"/>
    <mergeCell ref="B71:C71"/>
    <mergeCell ref="C207:C208"/>
    <mergeCell ref="B141:C141"/>
    <mergeCell ref="B147:C147"/>
    <mergeCell ref="B222:G222"/>
    <mergeCell ref="B223:G223"/>
    <mergeCell ref="B226:C226"/>
    <mergeCell ref="B181:G182"/>
    <mergeCell ref="B179:G180"/>
    <mergeCell ref="B231:G231"/>
    <mergeCell ref="D207:D208"/>
    <mergeCell ref="E207:E208"/>
    <mergeCell ref="B235:C235"/>
    <mergeCell ref="B21:F22"/>
    <mergeCell ref="B9:C9"/>
    <mergeCell ref="B77:C77"/>
    <mergeCell ref="B83:C83"/>
    <mergeCell ref="B234:C234"/>
    <mergeCell ref="B207:B208"/>
    <mergeCell ref="I147:J147"/>
    <mergeCell ref="I154:M154"/>
    <mergeCell ref="I9:J9"/>
    <mergeCell ref="I21:M22"/>
    <mergeCell ref="I23:M23"/>
    <mergeCell ref="I35:J35"/>
    <mergeCell ref="I41:J41"/>
    <mergeCell ref="I71:J71"/>
    <mergeCell ref="I77:J77"/>
    <mergeCell ref="I83:J83"/>
    <mergeCell ref="I234:J234"/>
    <mergeCell ref="I181:N182"/>
    <mergeCell ref="I184:J184"/>
    <mergeCell ref="I185:N185"/>
    <mergeCell ref="I186:N187"/>
    <mergeCell ref="I205:N206"/>
    <mergeCell ref="I207:I208"/>
    <mergeCell ref="I233:J233"/>
    <mergeCell ref="M207:M208"/>
    <mergeCell ref="J207:J208"/>
    <mergeCell ref="P71:Q71"/>
    <mergeCell ref="P77:Q77"/>
    <mergeCell ref="I231:N231"/>
    <mergeCell ref="P184:Q184"/>
    <mergeCell ref="P154:T154"/>
    <mergeCell ref="P186:U187"/>
    <mergeCell ref="P205:U206"/>
    <mergeCell ref="I123:M123"/>
    <mergeCell ref="I135:J135"/>
    <mergeCell ref="I141:J141"/>
    <mergeCell ref="K207:K208"/>
    <mergeCell ref="L207:L208"/>
    <mergeCell ref="I164:M165"/>
    <mergeCell ref="I179:N180"/>
    <mergeCell ref="I222:N222"/>
    <mergeCell ref="I223:N223"/>
    <mergeCell ref="I226:J226"/>
    <mergeCell ref="I235:J235"/>
    <mergeCell ref="P9:Q9"/>
    <mergeCell ref="P21:T22"/>
    <mergeCell ref="P23:T23"/>
    <mergeCell ref="P35:Q35"/>
    <mergeCell ref="P41:Q41"/>
    <mergeCell ref="P57:T57"/>
    <mergeCell ref="P58:T58"/>
    <mergeCell ref="P234:Q234"/>
    <mergeCell ref="P185:U185"/>
    <mergeCell ref="Q207:Q208"/>
    <mergeCell ref="R207:R208"/>
    <mergeCell ref="S207:S208"/>
    <mergeCell ref="T207:T208"/>
    <mergeCell ref="W77:X77"/>
    <mergeCell ref="W91:AA91"/>
    <mergeCell ref="W123:AA123"/>
    <mergeCell ref="W135:X135"/>
    <mergeCell ref="W141:X141"/>
    <mergeCell ref="P222:U222"/>
    <mergeCell ref="P223:U223"/>
    <mergeCell ref="P226:Q226"/>
    <mergeCell ref="P231:U231"/>
    <mergeCell ref="P233:Q233"/>
    <mergeCell ref="P158:T158"/>
    <mergeCell ref="P164:T165"/>
    <mergeCell ref="P179:U180"/>
    <mergeCell ref="P181:U182"/>
    <mergeCell ref="P207:P208"/>
    <mergeCell ref="P235:Q235"/>
    <mergeCell ref="W9:X9"/>
    <mergeCell ref="W21:AA22"/>
    <mergeCell ref="W23:AA23"/>
    <mergeCell ref="W35:X35"/>
    <mergeCell ref="W41:X41"/>
    <mergeCell ref="W57:AA57"/>
    <mergeCell ref="W58:AA58"/>
    <mergeCell ref="W71:X71"/>
    <mergeCell ref="W154:AA154"/>
    <mergeCell ref="W147:X147"/>
    <mergeCell ref="AD91:AH91"/>
    <mergeCell ref="AD92:AH92"/>
    <mergeCell ref="AD103:AE103"/>
    <mergeCell ref="AD109:AE109"/>
    <mergeCell ref="AD115:AE115"/>
    <mergeCell ref="Y207:Y208"/>
    <mergeCell ref="Z207:Z208"/>
    <mergeCell ref="AA207:AA208"/>
    <mergeCell ref="W158:AA158"/>
    <mergeCell ref="W164:AA165"/>
    <mergeCell ref="W179:AB180"/>
    <mergeCell ref="W181:AB182"/>
    <mergeCell ref="W184:X184"/>
    <mergeCell ref="AD58:AH58"/>
    <mergeCell ref="AD71:AE71"/>
    <mergeCell ref="AD77:AE77"/>
    <mergeCell ref="W222:AB222"/>
    <mergeCell ref="W223:AB223"/>
    <mergeCell ref="W226:X226"/>
    <mergeCell ref="W185:AB185"/>
    <mergeCell ref="W186:AB187"/>
    <mergeCell ref="W205:AB206"/>
    <mergeCell ref="W207:W208"/>
    <mergeCell ref="AD9:AE9"/>
    <mergeCell ref="AD21:AH22"/>
    <mergeCell ref="AD23:AH23"/>
    <mergeCell ref="AD35:AE35"/>
    <mergeCell ref="AD41:AE41"/>
    <mergeCell ref="AD57:AH57"/>
    <mergeCell ref="I91:M91"/>
    <mergeCell ref="I92:M92"/>
    <mergeCell ref="I103:J103"/>
    <mergeCell ref="I109:J109"/>
    <mergeCell ref="I115:J115"/>
    <mergeCell ref="W235:X235"/>
    <mergeCell ref="W231:AB231"/>
    <mergeCell ref="W233:X233"/>
    <mergeCell ref="W234:X234"/>
    <mergeCell ref="X207:X208"/>
    <mergeCell ref="AD83:AE83"/>
    <mergeCell ref="AD123:AH123"/>
    <mergeCell ref="AD135:AE135"/>
    <mergeCell ref="AD141:AE141"/>
    <mergeCell ref="AD147:AE147"/>
    <mergeCell ref="AD158:AH158"/>
    <mergeCell ref="AF207:AF208"/>
    <mergeCell ref="AG207:AG208"/>
    <mergeCell ref="AH207:AH208"/>
    <mergeCell ref="AD164:AH165"/>
    <mergeCell ref="AD179:AI180"/>
    <mergeCell ref="AD181:AI182"/>
    <mergeCell ref="AD184:AE184"/>
    <mergeCell ref="AD223:AI223"/>
    <mergeCell ref="AD226:AE226"/>
    <mergeCell ref="AD231:AI231"/>
    <mergeCell ref="AD233:AE233"/>
    <mergeCell ref="AD234:AE234"/>
    <mergeCell ref="AD185:AI185"/>
    <mergeCell ref="AD186:AI187"/>
    <mergeCell ref="AD205:AI206"/>
    <mergeCell ref="AD207:AD208"/>
    <mergeCell ref="AE207:AE208"/>
    <mergeCell ref="I58:M58"/>
    <mergeCell ref="AD6:AI6"/>
    <mergeCell ref="B1:C1"/>
    <mergeCell ref="AD235:AE235"/>
    <mergeCell ref="B7:G7"/>
    <mergeCell ref="I7:N7"/>
    <mergeCell ref="P7:U7"/>
    <mergeCell ref="W7:AB7"/>
    <mergeCell ref="AD7:AI7"/>
    <mergeCell ref="AD222:AI222"/>
    <mergeCell ref="G109:H109"/>
    <mergeCell ref="B6:G6"/>
    <mergeCell ref="I6:N6"/>
    <mergeCell ref="P6:U6"/>
    <mergeCell ref="W6:AB6"/>
    <mergeCell ref="W83:X83"/>
    <mergeCell ref="P83:Q83"/>
    <mergeCell ref="B23:F23"/>
    <mergeCell ref="B35:C35"/>
    <mergeCell ref="I57:M57"/>
    <mergeCell ref="P103:Q103"/>
    <mergeCell ref="P109:Q109"/>
    <mergeCell ref="P115:Q115"/>
    <mergeCell ref="B91:F91"/>
    <mergeCell ref="B92:F92"/>
    <mergeCell ref="B103:C103"/>
    <mergeCell ref="B109:C109"/>
    <mergeCell ref="B115:C115"/>
    <mergeCell ref="G103:H103"/>
    <mergeCell ref="P91:T91"/>
    <mergeCell ref="I158:M158"/>
    <mergeCell ref="W92:AA92"/>
    <mergeCell ref="W103:X103"/>
    <mergeCell ref="W109:X109"/>
    <mergeCell ref="W115:X115"/>
    <mergeCell ref="P147:Q147"/>
    <mergeCell ref="P141:Q141"/>
    <mergeCell ref="P135:Q135"/>
    <mergeCell ref="P123:T123"/>
    <mergeCell ref="P92:T92"/>
  </mergeCells>
  <printOptions/>
  <pageMargins left="0.7" right="0.7"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R306"/>
  <sheetViews>
    <sheetView zoomScale="85" zoomScaleNormal="85" zoomScalePageLayoutView="0" workbookViewId="0" topLeftCell="A1">
      <selection activeCell="G3" sqref="G3"/>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3" customWidth="1"/>
    <col min="6" max="6" width="1.421875" style="223" customWidth="1"/>
    <col min="7" max="7" width="13.57421875" style="223" customWidth="1"/>
    <col min="8" max="8" width="1.421875" style="223" customWidth="1"/>
    <col min="9" max="9" width="13.7109375" style="223" customWidth="1"/>
    <col min="10" max="10" width="1.421875" style="223" customWidth="1"/>
    <col min="11" max="11" width="13.8515625" style="223" customWidth="1"/>
    <col min="12" max="12" width="1.421875" style="223" customWidth="1"/>
    <col min="13" max="13" width="13.57421875" style="223" customWidth="1"/>
    <col min="17" max="17" width="22.421875" style="0" hidden="1" customWidth="1"/>
    <col min="18" max="18" width="0" style="0" hidden="1" customWidth="1"/>
  </cols>
  <sheetData>
    <row r="1" spans="2:13" ht="18.75" thickBot="1">
      <c r="B1" s="987" t="str">
        <f>'Budget with Assumptions'!A2</f>
        <v>Connected Futures Academy- Campus 5</v>
      </c>
      <c r="D1" s="4"/>
      <c r="E1" s="222"/>
      <c r="F1" s="222"/>
      <c r="G1" s="222"/>
      <c r="H1" s="222"/>
      <c r="I1" s="222"/>
      <c r="J1" s="222"/>
      <c r="K1" s="222"/>
      <c r="L1" s="222"/>
      <c r="M1" s="222"/>
    </row>
    <row r="2" spans="2:13" ht="13.5" thickBot="1">
      <c r="B2" s="7"/>
      <c r="D2" s="4"/>
      <c r="E2" s="222"/>
      <c r="F2" s="222"/>
      <c r="G2" s="222"/>
      <c r="H2" s="222"/>
      <c r="I2" s="222"/>
      <c r="J2" s="222"/>
      <c r="K2" s="222"/>
      <c r="L2" s="222"/>
      <c r="M2" s="222"/>
    </row>
    <row r="3" spans="1:13" s="494" customFormat="1" ht="16.5" thickTop="1">
      <c r="A3" s="492"/>
      <c r="B3" s="1164" t="s">
        <v>541</v>
      </c>
      <c r="C3" s="492"/>
      <c r="D3" s="492"/>
      <c r="E3" s="1166" t="s">
        <v>381</v>
      </c>
      <c r="F3" s="493"/>
      <c r="G3" s="493"/>
      <c r="H3" s="493"/>
      <c r="I3" s="493"/>
      <c r="J3" s="493"/>
      <c r="K3" s="493"/>
      <c r="L3" s="493"/>
      <c r="M3" s="493"/>
    </row>
    <row r="4" spans="2:13" ht="13.5" thickBot="1">
      <c r="B4" s="1165"/>
      <c r="C4" s="4"/>
      <c r="D4" s="4"/>
      <c r="E4" s="1167"/>
      <c r="F4" s="222"/>
      <c r="G4" s="222"/>
      <c r="H4" s="222"/>
      <c r="I4" s="222"/>
      <c r="J4" s="222"/>
      <c r="K4" s="222"/>
      <c r="L4" s="222"/>
      <c r="M4" s="222"/>
    </row>
    <row r="5" spans="2:13" ht="12.75">
      <c r="B5" s="4"/>
      <c r="C5" s="4"/>
      <c r="D5" s="4"/>
      <c r="E5" s="222"/>
      <c r="F5" s="222"/>
      <c r="G5" s="222"/>
      <c r="H5" s="222"/>
      <c r="I5" s="222"/>
      <c r="J5" s="222"/>
      <c r="K5" s="222"/>
      <c r="L5" s="222"/>
      <c r="M5" s="222"/>
    </row>
    <row r="6" spans="2:13" ht="13.5" thickBot="1">
      <c r="B6" s="4"/>
      <c r="C6" s="109"/>
      <c r="D6" s="109"/>
      <c r="E6" s="109"/>
      <c r="F6" s="109"/>
      <c r="G6" s="109"/>
      <c r="H6" s="109"/>
      <c r="I6" s="109"/>
      <c r="J6" s="109"/>
      <c r="K6" s="109"/>
      <c r="L6" s="109"/>
      <c r="M6" s="109"/>
    </row>
    <row r="7" spans="2:13" ht="13.5" thickBot="1">
      <c r="B7" s="8"/>
      <c r="C7" s="4"/>
      <c r="D7" s="4"/>
      <c r="E7" s="1161" t="s">
        <v>193</v>
      </c>
      <c r="F7" s="1162"/>
      <c r="G7" s="1162"/>
      <c r="H7" s="1162"/>
      <c r="I7" s="1162"/>
      <c r="J7" s="1162"/>
      <c r="K7" s="1162"/>
      <c r="L7" s="1162"/>
      <c r="M7" s="1163"/>
    </row>
    <row r="8" spans="2:13" ht="16.5" thickBot="1">
      <c r="B8" s="397" t="s">
        <v>555</v>
      </c>
      <c r="C8" s="85" t="s">
        <v>40</v>
      </c>
      <c r="D8" s="103"/>
      <c r="E8" s="328">
        <f>'Budget with Assumptions'!L9</f>
        <v>2016</v>
      </c>
      <c r="F8" s="328"/>
      <c r="G8" s="328">
        <f>'Budget with Assumptions'!N9</f>
        <v>2017</v>
      </c>
      <c r="H8" s="328"/>
      <c r="I8" s="328">
        <f>'Budget with Assumptions'!P9</f>
        <v>2018</v>
      </c>
      <c r="J8" s="328"/>
      <c r="K8" s="328">
        <f>'Budget with Assumptions'!R9</f>
        <v>2019</v>
      </c>
      <c r="L8" s="328"/>
      <c r="M8" s="328">
        <f>'Budget with Assumptions'!T9</f>
        <v>2020</v>
      </c>
    </row>
    <row r="9" spans="2:13" ht="12.75">
      <c r="B9" s="405" t="s">
        <v>267</v>
      </c>
      <c r="C9" s="86"/>
      <c r="D9" s="389"/>
      <c r="E9" s="402">
        <f>E97</f>
        <v>125</v>
      </c>
      <c r="F9" s="391"/>
      <c r="G9" s="402">
        <f>G97</f>
        <v>145</v>
      </c>
      <c r="H9" s="390"/>
      <c r="I9" s="402">
        <f>I97</f>
        <v>165</v>
      </c>
      <c r="J9" s="390"/>
      <c r="K9" s="402">
        <f>K97</f>
        <v>165</v>
      </c>
      <c r="L9" s="390"/>
      <c r="M9" s="402">
        <f>M97</f>
        <v>165</v>
      </c>
    </row>
    <row r="10" spans="2:13" ht="12.75">
      <c r="B10" s="405" t="s">
        <v>268</v>
      </c>
      <c r="C10" s="86"/>
      <c r="D10" s="389"/>
      <c r="E10" s="902">
        <f>IF(ISERROR(VLOOKUP($E$3,FRL1!$A$1:$B$19,2,0)),0.83,VLOOKUP($E$3,FRL1!$A$1:$B$19,2,0))</f>
        <v>0.83</v>
      </c>
      <c r="F10" s="403"/>
      <c r="G10" s="902">
        <f>IF(ISERROR(VLOOKUP($E$3,FRL1!$A$1:$B$19,2,0)),0.83,VLOOKUP($E$3,FRL1!$A$1:$B$19,2,0))</f>
        <v>0.83</v>
      </c>
      <c r="H10" s="403"/>
      <c r="I10" s="902">
        <f>IF(ISERROR(VLOOKUP($E$3,FRL1!$A$1:$B$19,2,0)),0.83,VLOOKUP($E$3,FRL1!$A$1:$B$19,2,0))</f>
        <v>0.83</v>
      </c>
      <c r="J10" s="403"/>
      <c r="K10" s="902">
        <f>IF(ISERROR(VLOOKUP($E$3,FRL1!$A$1:$B$19,2,0)),0.83,VLOOKUP($E$3,FRL1!$A$1:$B$19,2,0))</f>
        <v>0.83</v>
      </c>
      <c r="L10" s="403"/>
      <c r="M10" s="902">
        <f>IF(ISERROR(VLOOKUP($E$3,FRL1!$A$1:$B$19,2,0)),0.83,VLOOKUP($E$3,FRL1!$A$1:$B$19,2,0))</f>
        <v>0.83</v>
      </c>
    </row>
    <row r="11" spans="2:13" ht="12.75">
      <c r="B11" s="405" t="s">
        <v>42</v>
      </c>
      <c r="C11" s="86"/>
      <c r="D11" s="86"/>
      <c r="E11" s="401">
        <f>ROUND(E9*E10,0)</f>
        <v>104</v>
      </c>
      <c r="F11" s="390"/>
      <c r="G11" s="401">
        <f>ROUND(G9*G10,0)</f>
        <v>120</v>
      </c>
      <c r="H11" s="390"/>
      <c r="I11" s="401">
        <f>ROUND(I9*I10,0)</f>
        <v>137</v>
      </c>
      <c r="J11" s="390"/>
      <c r="K11" s="401">
        <f>ROUND(K9*K10,0)</f>
        <v>137</v>
      </c>
      <c r="L11" s="390"/>
      <c r="M11" s="401">
        <f>ROUND(M9*M10,0)</f>
        <v>137</v>
      </c>
    </row>
    <row r="12" spans="2:13" ht="13.5" thickBot="1">
      <c r="B12" s="436" t="s">
        <v>43</v>
      </c>
      <c r="C12" s="88">
        <v>740</v>
      </c>
      <c r="D12" s="88"/>
      <c r="E12" s="399">
        <v>790</v>
      </c>
      <c r="F12" s="240"/>
      <c r="G12" s="399">
        <f>$E$12</f>
        <v>790</v>
      </c>
      <c r="H12" s="394"/>
      <c r="I12" s="399">
        <f>$E$12</f>
        <v>790</v>
      </c>
      <c r="J12" s="394"/>
      <c r="K12" s="399">
        <f>$E$12</f>
        <v>790</v>
      </c>
      <c r="L12" s="394"/>
      <c r="M12" s="399">
        <f>$E$12</f>
        <v>790</v>
      </c>
    </row>
    <row r="13" spans="2:13" ht="16.5" thickBot="1">
      <c r="B13" s="397" t="s">
        <v>44</v>
      </c>
      <c r="C13" s="89" t="e">
        <f>#REF!*C12</f>
        <v>#REF!</v>
      </c>
      <c r="D13" s="89"/>
      <c r="E13" s="404">
        <f>E11*E12</f>
        <v>82160</v>
      </c>
      <c r="F13" s="329"/>
      <c r="G13" s="404">
        <f>G11*G12</f>
        <v>94800</v>
      </c>
      <c r="H13" s="329"/>
      <c r="I13" s="404">
        <f>I11*I12</f>
        <v>108230</v>
      </c>
      <c r="J13" s="329"/>
      <c r="K13" s="404">
        <f>K11*K12</f>
        <v>108230</v>
      </c>
      <c r="L13" s="329"/>
      <c r="M13" s="404">
        <f>M11*M12</f>
        <v>108230</v>
      </c>
    </row>
    <row r="14" spans="1:13" s="350" customFormat="1" ht="15.75">
      <c r="A14" s="142"/>
      <c r="B14" s="728"/>
      <c r="C14" s="729"/>
      <c r="D14" s="729"/>
      <c r="E14" s="730"/>
      <c r="F14" s="730"/>
      <c r="G14" s="730"/>
      <c r="H14" s="730"/>
      <c r="I14" s="730"/>
      <c r="J14" s="730"/>
      <c r="K14" s="730"/>
      <c r="L14" s="730"/>
      <c r="M14" s="730"/>
    </row>
    <row r="15" spans="1:13" s="350" customFormat="1" ht="16.5" thickBot="1">
      <c r="A15" s="142"/>
      <c r="B15" s="728"/>
      <c r="C15" s="729"/>
      <c r="D15" s="729"/>
      <c r="E15" s="730"/>
      <c r="F15" s="730"/>
      <c r="G15" s="730"/>
      <c r="H15" s="730"/>
      <c r="I15" s="730"/>
      <c r="J15" s="730"/>
      <c r="K15" s="730"/>
      <c r="L15" s="730"/>
      <c r="M15" s="730"/>
    </row>
    <row r="16" spans="1:13" s="350" customFormat="1" ht="16.5" customHeight="1" thickBot="1">
      <c r="A16" s="142"/>
      <c r="B16" s="397" t="s">
        <v>556</v>
      </c>
      <c r="C16" s="729"/>
      <c r="D16" s="729"/>
      <c r="E16" s="731">
        <f>E8</f>
        <v>2016</v>
      </c>
      <c r="F16" s="732"/>
      <c r="G16" s="731">
        <f>G8</f>
        <v>2017</v>
      </c>
      <c r="H16" s="732"/>
      <c r="I16" s="731">
        <f>I8</f>
        <v>2018</v>
      </c>
      <c r="J16" s="732"/>
      <c r="K16" s="731">
        <f>K8</f>
        <v>2019</v>
      </c>
      <c r="L16" s="732"/>
      <c r="M16" s="731">
        <f>M8</f>
        <v>2020</v>
      </c>
    </row>
    <row r="17" spans="1:13" s="350" customFormat="1" ht="13.5" thickBot="1">
      <c r="A17" s="142"/>
      <c r="B17" s="668" t="s">
        <v>269</v>
      </c>
      <c r="C17" s="729"/>
      <c r="D17" s="729"/>
      <c r="E17" s="670">
        <f>E97</f>
        <v>125</v>
      </c>
      <c r="F17" s="903"/>
      <c r="G17" s="670">
        <f>G97</f>
        <v>145</v>
      </c>
      <c r="H17" s="903"/>
      <c r="I17" s="670">
        <f>I97</f>
        <v>165</v>
      </c>
      <c r="J17" s="903"/>
      <c r="K17" s="670">
        <f>K97</f>
        <v>165</v>
      </c>
      <c r="L17" s="903"/>
      <c r="M17" s="670">
        <f>M97</f>
        <v>165</v>
      </c>
    </row>
    <row r="18" spans="1:13" s="350" customFormat="1" ht="13.5" thickBot="1">
      <c r="A18" s="142"/>
      <c r="B18" s="669" t="s">
        <v>360</v>
      </c>
      <c r="C18" s="729"/>
      <c r="D18" s="729"/>
      <c r="E18" s="671">
        <f>E10</f>
        <v>0.83</v>
      </c>
      <c r="F18" s="903"/>
      <c r="G18" s="671">
        <f>G10</f>
        <v>0.83</v>
      </c>
      <c r="H18" s="903"/>
      <c r="I18" s="671">
        <f>I10</f>
        <v>0.83</v>
      </c>
      <c r="J18" s="903"/>
      <c r="K18" s="671">
        <f>K10</f>
        <v>0.83</v>
      </c>
      <c r="L18" s="903"/>
      <c r="M18" s="671">
        <f>M10</f>
        <v>0.83</v>
      </c>
    </row>
    <row r="19" spans="1:13" s="350" customFormat="1" ht="13.5" thickBot="1">
      <c r="A19" s="142"/>
      <c r="B19" s="669" t="s">
        <v>361</v>
      </c>
      <c r="C19" s="729"/>
      <c r="D19" s="729"/>
      <c r="E19" s="673">
        <f>E17*E18</f>
        <v>103.75</v>
      </c>
      <c r="F19" s="904"/>
      <c r="G19" s="673">
        <f>G17*G18</f>
        <v>120.35</v>
      </c>
      <c r="H19" s="904"/>
      <c r="I19" s="673">
        <f>I17*I18</f>
        <v>136.95</v>
      </c>
      <c r="J19" s="904"/>
      <c r="K19" s="673">
        <f>K17*K18</f>
        <v>136.95</v>
      </c>
      <c r="L19" s="904"/>
      <c r="M19" s="673">
        <f>M17*M18</f>
        <v>136.95</v>
      </c>
    </row>
    <row r="20" spans="1:13" s="350" customFormat="1" ht="13.5" thickBot="1">
      <c r="A20" s="142"/>
      <c r="B20" s="669" t="s">
        <v>359</v>
      </c>
      <c r="C20" s="729"/>
      <c r="D20" s="729"/>
      <c r="E20" s="673">
        <f>ROUND(E19*0.6,0)</f>
        <v>62</v>
      </c>
      <c r="F20" s="904">
        <f aca="true" t="shared" si="0" ref="F20:L20">F19*0.6</f>
        <v>0</v>
      </c>
      <c r="G20" s="673">
        <f>ROUND(G19*0.6,0)</f>
        <v>72</v>
      </c>
      <c r="H20" s="904">
        <f t="shared" si="0"/>
        <v>0</v>
      </c>
      <c r="I20" s="673">
        <f>ROUND(I19*0.6,0)</f>
        <v>82</v>
      </c>
      <c r="J20" s="904">
        <f t="shared" si="0"/>
        <v>0</v>
      </c>
      <c r="K20" s="673">
        <f>ROUND(K19*0.6,0)</f>
        <v>82</v>
      </c>
      <c r="L20" s="904">
        <f t="shared" si="0"/>
        <v>0</v>
      </c>
      <c r="M20" s="673">
        <f>ROUND(M19*0.6,0)</f>
        <v>82</v>
      </c>
    </row>
    <row r="21" spans="1:13" s="350" customFormat="1" ht="13.5" thickBot="1">
      <c r="A21" s="142"/>
      <c r="B21" s="669"/>
      <c r="C21" s="729"/>
      <c r="D21" s="729"/>
      <c r="E21" s="672"/>
      <c r="F21" s="903"/>
      <c r="G21" s="672"/>
      <c r="H21" s="903"/>
      <c r="I21" s="672"/>
      <c r="J21" s="903"/>
      <c r="K21" s="672"/>
      <c r="L21" s="903"/>
      <c r="M21" s="672"/>
    </row>
    <row r="22" spans="1:13" s="350" customFormat="1" ht="13.5" thickBot="1">
      <c r="A22" s="142"/>
      <c r="B22" s="669" t="s">
        <v>358</v>
      </c>
      <c r="C22" s="729"/>
      <c r="D22" s="729"/>
      <c r="E22" s="671">
        <f>E20/E17</f>
        <v>0.496</v>
      </c>
      <c r="F22" s="905"/>
      <c r="G22" s="671">
        <f>G20/G17</f>
        <v>0.496551724137931</v>
      </c>
      <c r="H22" s="905"/>
      <c r="I22" s="671">
        <f>I20/I17</f>
        <v>0.49696969696969695</v>
      </c>
      <c r="J22" s="905"/>
      <c r="K22" s="671">
        <f>K20/K17</f>
        <v>0.49696969696969695</v>
      </c>
      <c r="L22" s="905"/>
      <c r="M22" s="671">
        <f>M20/M17</f>
        <v>0.49696969696969695</v>
      </c>
    </row>
    <row r="23" spans="1:13" s="350" customFormat="1" ht="13.5" thickBot="1">
      <c r="A23" s="142"/>
      <c r="B23" s="669" t="s">
        <v>382</v>
      </c>
      <c r="C23" s="729"/>
      <c r="D23" s="729"/>
      <c r="E23" s="674">
        <f>IF(100*E22&gt;40,((ROUND((E22*100),0)-40)*22)+430,0)</f>
        <v>650</v>
      </c>
      <c r="F23" s="906"/>
      <c r="G23" s="674">
        <f>IF(100*G22&gt;40,((ROUND((G22*100),0)-40)*22)+430,0)</f>
        <v>650</v>
      </c>
      <c r="H23" s="906"/>
      <c r="I23" s="674">
        <f>IF(100*I22&gt;40,((ROUND((I22*100),0)-40)*22)+430,0)</f>
        <v>650</v>
      </c>
      <c r="J23" s="907"/>
      <c r="K23" s="674">
        <f>IF(100*K22&gt;40,((ROUND((K22*100),0)-40)*22)+430,0)</f>
        <v>650</v>
      </c>
      <c r="L23" s="906"/>
      <c r="M23" s="674">
        <f>IF(100*M22&gt;40,((ROUND((M22*100),0)-40)*22)+430,0)</f>
        <v>650</v>
      </c>
    </row>
    <row r="24" spans="1:13" s="350" customFormat="1" ht="13.5" thickBot="1">
      <c r="A24" s="142"/>
      <c r="B24" s="669" t="s">
        <v>362</v>
      </c>
      <c r="C24" s="729"/>
      <c r="D24" s="729"/>
      <c r="E24" s="675">
        <f>E23*E20</f>
        <v>40300</v>
      </c>
      <c r="F24" s="489"/>
      <c r="G24" s="675">
        <f>G23*G20</f>
        <v>46800</v>
      </c>
      <c r="H24" s="489"/>
      <c r="I24" s="675">
        <f>I23*I20</f>
        <v>53300</v>
      </c>
      <c r="J24" s="676"/>
      <c r="K24" s="675">
        <f>K23*K20</f>
        <v>53300</v>
      </c>
      <c r="L24" s="489"/>
      <c r="M24" s="675">
        <f>M23*M20</f>
        <v>53300</v>
      </c>
    </row>
    <row r="25" spans="1:13" s="350" customFormat="1" ht="13.5" customHeight="1">
      <c r="A25" s="142"/>
      <c r="B25" s="728"/>
      <c r="C25" s="729"/>
      <c r="D25" s="729"/>
      <c r="E25" s="730"/>
      <c r="F25" s="730"/>
      <c r="G25" s="730"/>
      <c r="H25" s="730"/>
      <c r="I25" s="730"/>
      <c r="J25" s="730"/>
      <c r="K25" s="730"/>
      <c r="L25" s="730"/>
      <c r="M25" s="730"/>
    </row>
    <row r="26" spans="1:13" s="350" customFormat="1" ht="13.5" customHeight="1" thickBot="1">
      <c r="A26" s="142"/>
      <c r="B26" s="728"/>
      <c r="C26" s="729"/>
      <c r="D26" s="729"/>
      <c r="E26" s="730"/>
      <c r="F26" s="730"/>
      <c r="G26" s="730"/>
      <c r="H26" s="730"/>
      <c r="I26" s="730"/>
      <c r="J26" s="730"/>
      <c r="K26" s="730"/>
      <c r="L26" s="730"/>
      <c r="M26" s="730"/>
    </row>
    <row r="27" spans="1:13" s="350" customFormat="1" ht="16.5" customHeight="1" thickBot="1">
      <c r="A27" s="142"/>
      <c r="B27" s="397" t="s">
        <v>557</v>
      </c>
      <c r="C27" s="729"/>
      <c r="D27" s="85"/>
      <c r="E27" s="328">
        <f>$E$8</f>
        <v>2016</v>
      </c>
      <c r="F27" s="328"/>
      <c r="G27" s="328">
        <f>$G$8</f>
        <v>2017</v>
      </c>
      <c r="H27" s="328"/>
      <c r="I27" s="328">
        <f>$I$8</f>
        <v>2018</v>
      </c>
      <c r="J27" s="328"/>
      <c r="K27" s="328">
        <f>$K$8</f>
        <v>2019</v>
      </c>
      <c r="L27" s="328"/>
      <c r="M27" s="328">
        <f>$M$8</f>
        <v>2020</v>
      </c>
    </row>
    <row r="28" spans="1:13" s="350" customFormat="1" ht="13.5" customHeight="1">
      <c r="A28" s="142"/>
      <c r="B28" s="405" t="s">
        <v>39</v>
      </c>
      <c r="C28" s="729"/>
      <c r="D28" s="106"/>
      <c r="E28" s="908">
        <f>E97</f>
        <v>125</v>
      </c>
      <c r="F28" s="909"/>
      <c r="G28" s="908">
        <f>G97</f>
        <v>145</v>
      </c>
      <c r="H28" s="909"/>
      <c r="I28" s="908">
        <f>I97</f>
        <v>165</v>
      </c>
      <c r="J28" s="909"/>
      <c r="K28" s="908">
        <f>K97</f>
        <v>165</v>
      </c>
      <c r="L28" s="909"/>
      <c r="M28" s="908">
        <f>M97</f>
        <v>165</v>
      </c>
    </row>
    <row r="29" spans="1:13" s="350" customFormat="1" ht="13.5" customHeight="1" thickBot="1">
      <c r="A29" s="142"/>
      <c r="B29" s="436" t="s">
        <v>57</v>
      </c>
      <c r="C29" s="729"/>
      <c r="D29" s="88"/>
      <c r="E29" s="399">
        <v>64</v>
      </c>
      <c r="F29" s="394"/>
      <c r="G29" s="399">
        <f>$E$29</f>
        <v>64</v>
      </c>
      <c r="H29" s="394"/>
      <c r="I29" s="399">
        <f>$E$29</f>
        <v>64</v>
      </c>
      <c r="J29" s="394"/>
      <c r="K29" s="399">
        <f>$E$29</f>
        <v>64</v>
      </c>
      <c r="L29" s="394"/>
      <c r="M29" s="399">
        <f>$E$29</f>
        <v>64</v>
      </c>
    </row>
    <row r="30" spans="1:13" s="350" customFormat="1" ht="15" customHeight="1" thickBot="1">
      <c r="A30" s="142"/>
      <c r="B30" s="397" t="s">
        <v>58</v>
      </c>
      <c r="C30" s="729"/>
      <c r="D30" s="89"/>
      <c r="E30" s="404">
        <f>E28*E29</f>
        <v>8000</v>
      </c>
      <c r="F30" s="329"/>
      <c r="G30" s="404">
        <f>G28*G29</f>
        <v>9280</v>
      </c>
      <c r="H30" s="329"/>
      <c r="I30" s="404">
        <f>I28*I29</f>
        <v>10560</v>
      </c>
      <c r="J30" s="329"/>
      <c r="K30" s="404">
        <f>K28*K29</f>
        <v>10560</v>
      </c>
      <c r="L30" s="329"/>
      <c r="M30" s="404">
        <f>M28*M29</f>
        <v>10560</v>
      </c>
    </row>
    <row r="31" spans="1:13" s="350" customFormat="1" ht="13.5" customHeight="1">
      <c r="A31" s="142"/>
      <c r="B31" s="728"/>
      <c r="C31" s="729"/>
      <c r="D31" s="729"/>
      <c r="E31" s="730"/>
      <c r="F31" s="730"/>
      <c r="G31" s="730"/>
      <c r="H31" s="730"/>
      <c r="I31" s="730"/>
      <c r="J31" s="730"/>
      <c r="K31" s="730"/>
      <c r="L31" s="730"/>
      <c r="M31" s="730"/>
    </row>
    <row r="32" spans="1:13" s="350" customFormat="1" ht="13.5" customHeight="1" thickBot="1">
      <c r="A32" s="142"/>
      <c r="B32" s="728"/>
      <c r="C32" s="729"/>
      <c r="D32" s="729"/>
      <c r="E32" s="730"/>
      <c r="F32" s="730"/>
      <c r="G32" s="730"/>
      <c r="H32" s="730"/>
      <c r="I32" s="730"/>
      <c r="J32" s="730"/>
      <c r="K32" s="730"/>
      <c r="L32" s="730"/>
      <c r="M32" s="730"/>
    </row>
    <row r="33" spans="2:13" ht="16.5" thickBot="1">
      <c r="B33" s="397" t="s">
        <v>542</v>
      </c>
      <c r="C33" s="85" t="s">
        <v>40</v>
      </c>
      <c r="D33" s="85"/>
      <c r="E33" s="328">
        <f>$E$8</f>
        <v>2016</v>
      </c>
      <c r="F33" s="328"/>
      <c r="G33" s="328">
        <f>$G$8</f>
        <v>2017</v>
      </c>
      <c r="H33" s="328"/>
      <c r="I33" s="328">
        <f>$I$8</f>
        <v>2018</v>
      </c>
      <c r="J33" s="328"/>
      <c r="K33" s="328">
        <f>$K$8</f>
        <v>2019</v>
      </c>
      <c r="L33" s="328"/>
      <c r="M33" s="328">
        <f>$M$8</f>
        <v>2020</v>
      </c>
    </row>
    <row r="34" spans="2:13" ht="12.75">
      <c r="B34" s="405" t="s">
        <v>45</v>
      </c>
      <c r="C34" s="90"/>
      <c r="D34" s="90"/>
      <c r="E34" s="667">
        <f>E85</f>
        <v>0</v>
      </c>
      <c r="F34" s="393"/>
      <c r="G34" s="667">
        <f>IF(G86="Yes",IF((G85-E85)&lt;0,0,G85-E85),0)</f>
        <v>0</v>
      </c>
      <c r="H34" s="393"/>
      <c r="I34" s="667">
        <f>IF(I86="Yes",IF((I85-G85)&lt;0,0,I85-G85),0)</f>
        <v>0</v>
      </c>
      <c r="J34" s="393"/>
      <c r="K34" s="667">
        <f>IF(K86="Yes",IF((K85-I85)&lt;0,0,K85-I85),0)</f>
        <v>0</v>
      </c>
      <c r="L34" s="393"/>
      <c r="M34" s="667">
        <f>IF(M86="Yes",IF((M85-K85)&lt;0,0,M85-K85),0)</f>
        <v>0</v>
      </c>
    </row>
    <row r="35" spans="2:13" ht="13.5" thickBot="1">
      <c r="B35" s="436" t="s">
        <v>46</v>
      </c>
      <c r="C35" s="91">
        <v>800</v>
      </c>
      <c r="D35" s="91"/>
      <c r="E35" s="399">
        <f>$C$35</f>
        <v>800</v>
      </c>
      <c r="F35" s="394"/>
      <c r="G35" s="399">
        <f aca="true" t="shared" si="1" ref="G35:M35">$C$35</f>
        <v>800</v>
      </c>
      <c r="H35" s="394"/>
      <c r="I35" s="399">
        <f t="shared" si="1"/>
        <v>800</v>
      </c>
      <c r="J35" s="394"/>
      <c r="K35" s="399">
        <f t="shared" si="1"/>
        <v>800</v>
      </c>
      <c r="L35" s="394"/>
      <c r="M35" s="399">
        <f t="shared" si="1"/>
        <v>800</v>
      </c>
    </row>
    <row r="36" spans="2:13" ht="13.5" thickBot="1">
      <c r="B36" s="330" t="s">
        <v>543</v>
      </c>
      <c r="C36" s="89">
        <f>C34*C35</f>
        <v>0</v>
      </c>
      <c r="D36" s="89"/>
      <c r="E36" s="404">
        <f aca="true" t="shared" si="2" ref="E36:M36">E34*E35</f>
        <v>0</v>
      </c>
      <c r="F36" s="329"/>
      <c r="G36" s="404">
        <f t="shared" si="2"/>
        <v>0</v>
      </c>
      <c r="H36" s="329"/>
      <c r="I36" s="404">
        <f t="shared" si="2"/>
        <v>0</v>
      </c>
      <c r="J36" s="329"/>
      <c r="K36" s="404">
        <f t="shared" si="2"/>
        <v>0</v>
      </c>
      <c r="L36" s="329"/>
      <c r="M36" s="404">
        <f t="shared" si="2"/>
        <v>0</v>
      </c>
    </row>
    <row r="37" spans="2:13" ht="13.5" thickBot="1">
      <c r="B37" s="286"/>
      <c r="C37" s="87"/>
      <c r="D37" s="107"/>
      <c r="E37" s="392"/>
      <c r="F37" s="392"/>
      <c r="G37" s="392"/>
      <c r="H37" s="392"/>
      <c r="I37" s="392"/>
      <c r="J37" s="392"/>
      <c r="K37" s="392"/>
      <c r="L37" s="392"/>
      <c r="M37" s="392"/>
    </row>
    <row r="38" spans="2:13" ht="16.5" thickBot="1">
      <c r="B38" s="397" t="s">
        <v>47</v>
      </c>
      <c r="C38" s="87"/>
      <c r="D38" s="107"/>
      <c r="E38" s="392"/>
      <c r="F38" s="392"/>
      <c r="G38" s="392"/>
      <c r="H38" s="392"/>
      <c r="I38" s="392"/>
      <c r="J38" s="392"/>
      <c r="K38" s="392"/>
      <c r="L38" s="392"/>
      <c r="M38" s="392"/>
    </row>
    <row r="39" spans="2:13" ht="12.75">
      <c r="B39" s="405" t="s">
        <v>45</v>
      </c>
      <c r="C39" s="90"/>
      <c r="D39" s="90"/>
      <c r="E39" s="667">
        <f>$E$94</f>
        <v>125</v>
      </c>
      <c r="F39" s="393"/>
      <c r="G39" s="667">
        <f>IF(G95="Yes",IF((G94-E94)&lt;0,0,G94-E94),0)</f>
        <v>0</v>
      </c>
      <c r="H39" s="393"/>
      <c r="I39" s="667">
        <f>IF(I95="Yes",IF((I94-G94)&lt;0,0,I94-G94),0)</f>
        <v>0</v>
      </c>
      <c r="J39" s="393"/>
      <c r="K39" s="667">
        <f>IF(K95="Yes",IF((K94-I94)&lt;0,0,K94-I94),0)</f>
        <v>0</v>
      </c>
      <c r="L39" s="393"/>
      <c r="M39" s="667">
        <f>IF(M95="Yes",IF((M94-K94)&lt;0,0,M94-K94),0)</f>
        <v>0</v>
      </c>
    </row>
    <row r="40" spans="2:13" ht="13.5" thickBot="1">
      <c r="B40" s="436" t="s">
        <v>46</v>
      </c>
      <c r="C40" s="91">
        <v>1000</v>
      </c>
      <c r="D40" s="91"/>
      <c r="E40" s="399">
        <f>$C$40</f>
        <v>1000</v>
      </c>
      <c r="F40" s="394"/>
      <c r="G40" s="399">
        <f aca="true" t="shared" si="3" ref="G40:M40">$C$40</f>
        <v>1000</v>
      </c>
      <c r="H40" s="394"/>
      <c r="I40" s="399">
        <f t="shared" si="3"/>
        <v>1000</v>
      </c>
      <c r="J40" s="394"/>
      <c r="K40" s="399">
        <f t="shared" si="3"/>
        <v>1000</v>
      </c>
      <c r="L40" s="394"/>
      <c r="M40" s="399">
        <f t="shared" si="3"/>
        <v>1000</v>
      </c>
    </row>
    <row r="41" spans="2:13" ht="13.5" thickBot="1">
      <c r="B41" s="330" t="s">
        <v>48</v>
      </c>
      <c r="C41" s="89">
        <f>C39*C40</f>
        <v>0</v>
      </c>
      <c r="D41" s="89"/>
      <c r="E41" s="404">
        <f>E39*E40</f>
        <v>125000</v>
      </c>
      <c r="F41" s="329"/>
      <c r="G41" s="404">
        <f>G39*G40</f>
        <v>0</v>
      </c>
      <c r="H41" s="329"/>
      <c r="I41" s="404">
        <f>I39*I40</f>
        <v>0</v>
      </c>
      <c r="J41" s="329"/>
      <c r="K41" s="404">
        <f>K39*K40</f>
        <v>0</v>
      </c>
      <c r="L41" s="329"/>
      <c r="M41" s="404">
        <f>M39*M40</f>
        <v>0</v>
      </c>
    </row>
    <row r="42" spans="2:13" ht="13.5" thickBot="1">
      <c r="B42" s="128"/>
      <c r="C42" s="4"/>
      <c r="D42" s="4"/>
      <c r="E42" s="222"/>
      <c r="F42" s="222"/>
      <c r="G42" s="222"/>
      <c r="H42" s="222"/>
      <c r="I42" s="222"/>
      <c r="J42" s="222"/>
      <c r="K42" s="222"/>
      <c r="L42" s="222"/>
      <c r="M42" s="222"/>
    </row>
    <row r="43" spans="2:13" ht="16.5" thickBot="1">
      <c r="B43" s="397" t="s">
        <v>49</v>
      </c>
      <c r="C43" s="89">
        <f>C36+C41</f>
        <v>0</v>
      </c>
      <c r="D43" s="89"/>
      <c r="E43" s="404">
        <f aca="true" t="shared" si="4" ref="E43:M43">E36+E41</f>
        <v>125000</v>
      </c>
      <c r="F43" s="329"/>
      <c r="G43" s="404">
        <f t="shared" si="4"/>
        <v>0</v>
      </c>
      <c r="H43" s="329"/>
      <c r="I43" s="404">
        <f t="shared" si="4"/>
        <v>0</v>
      </c>
      <c r="J43" s="329"/>
      <c r="K43" s="404">
        <f t="shared" si="4"/>
        <v>0</v>
      </c>
      <c r="L43" s="329"/>
      <c r="M43" s="404">
        <f t="shared" si="4"/>
        <v>0</v>
      </c>
    </row>
    <row r="44" spans="2:13" ht="12.75">
      <c r="B44" s="4"/>
      <c r="C44" s="4"/>
      <c r="D44" s="4"/>
      <c r="E44" s="222"/>
      <c r="F44" s="222"/>
      <c r="G44" s="222"/>
      <c r="H44" s="222"/>
      <c r="I44" s="222"/>
      <c r="J44" s="222"/>
      <c r="K44" s="222"/>
      <c r="L44" s="222"/>
      <c r="M44" s="222"/>
    </row>
    <row r="45" spans="2:13" ht="13.5" thickBot="1">
      <c r="B45" s="4"/>
      <c r="C45" s="4"/>
      <c r="D45" s="4"/>
      <c r="E45" s="222"/>
      <c r="F45" s="222"/>
      <c r="G45" s="222"/>
      <c r="H45" s="222"/>
      <c r="I45" s="222"/>
      <c r="J45" s="222"/>
      <c r="K45" s="222"/>
      <c r="L45" s="222"/>
      <c r="M45" s="222"/>
    </row>
    <row r="46" spans="2:13" ht="16.5" thickBot="1">
      <c r="B46" s="398" t="s">
        <v>1</v>
      </c>
      <c r="C46" s="101">
        <f>IF(OR($C$5="Grade Expansion",$C$5="Charter Conversion"),"Prior Fiscal Year",IF($C$4="2012 (FY13)","FY12 
Incubation",IF($C$4="2013 (FY14)","FY13 
Incubation",0)))</f>
        <v>0</v>
      </c>
      <c r="D46" s="103"/>
      <c r="E46" s="328">
        <f>$E$8</f>
        <v>2016</v>
      </c>
      <c r="F46" s="328"/>
      <c r="G46" s="328">
        <f>$G$8</f>
        <v>2017</v>
      </c>
      <c r="H46" s="328"/>
      <c r="I46" s="328">
        <f>$I$8</f>
        <v>2018</v>
      </c>
      <c r="J46" s="328"/>
      <c r="K46" s="328">
        <f>$K$8</f>
        <v>2019</v>
      </c>
      <c r="L46" s="328"/>
      <c r="M46" s="328">
        <f>$M$8</f>
        <v>2020</v>
      </c>
    </row>
    <row r="47" spans="2:13" ht="12.75">
      <c r="B47" s="407" t="s">
        <v>301</v>
      </c>
      <c r="C47" s="102"/>
      <c r="D47" s="104"/>
      <c r="E47" s="910"/>
      <c r="F47" s="911"/>
      <c r="G47" s="911"/>
      <c r="H47" s="911"/>
      <c r="I47" s="911"/>
      <c r="J47" s="911"/>
      <c r="K47" s="911"/>
      <c r="L47" s="911"/>
      <c r="M47" s="923" t="s">
        <v>229</v>
      </c>
    </row>
    <row r="48" spans="2:13" ht="12.75">
      <c r="B48" s="407" t="s">
        <v>302</v>
      </c>
      <c r="C48" s="102"/>
      <c r="D48" s="104"/>
      <c r="E48" s="911"/>
      <c r="F48" s="911"/>
      <c r="G48" s="911"/>
      <c r="H48" s="911"/>
      <c r="I48" s="911"/>
      <c r="J48" s="911"/>
      <c r="K48" s="911"/>
      <c r="L48" s="911"/>
      <c r="M48" s="923" t="s">
        <v>229</v>
      </c>
    </row>
    <row r="49" spans="2:13" ht="12.75">
      <c r="B49" s="407" t="s">
        <v>2</v>
      </c>
      <c r="C49" s="102"/>
      <c r="D49" s="104"/>
      <c r="E49" s="911"/>
      <c r="F49" s="911"/>
      <c r="G49" s="911"/>
      <c r="H49" s="911"/>
      <c r="I49" s="911"/>
      <c r="J49" s="911"/>
      <c r="K49" s="911"/>
      <c r="L49" s="911"/>
      <c r="M49" s="923" t="s">
        <v>229</v>
      </c>
    </row>
    <row r="50" spans="2:13" ht="12.75">
      <c r="B50" s="407" t="s">
        <v>3</v>
      </c>
      <c r="C50" s="102"/>
      <c r="D50" s="104"/>
      <c r="E50" s="911"/>
      <c r="F50" s="911"/>
      <c r="G50" s="911"/>
      <c r="H50" s="911"/>
      <c r="I50" s="911"/>
      <c r="J50" s="911"/>
      <c r="K50" s="911"/>
      <c r="L50" s="911"/>
      <c r="M50" s="923" t="s">
        <v>229</v>
      </c>
    </row>
    <row r="51" spans="2:13" ht="13.5" thickBot="1">
      <c r="B51" s="442"/>
      <c r="C51" s="102"/>
      <c r="D51" s="441"/>
      <c r="E51" s="444"/>
      <c r="F51" s="444"/>
      <c r="G51" s="444"/>
      <c r="H51" s="444"/>
      <c r="I51" s="444"/>
      <c r="J51" s="444"/>
      <c r="K51" s="444"/>
      <c r="L51" s="444"/>
      <c r="M51" s="444"/>
    </row>
    <row r="52" spans="2:13" ht="13.5" thickBot="1">
      <c r="B52" s="445" t="s">
        <v>298</v>
      </c>
      <c r="C52" s="108"/>
      <c r="D52" s="94"/>
      <c r="E52" s="395"/>
      <c r="F52" s="395"/>
      <c r="G52" s="395"/>
      <c r="H52" s="395"/>
      <c r="I52" s="395"/>
      <c r="J52" s="396"/>
      <c r="K52" s="396"/>
      <c r="L52" s="222"/>
      <c r="M52" s="222"/>
    </row>
    <row r="53" spans="2:13" ht="12.75">
      <c r="B53" s="406" t="s">
        <v>303</v>
      </c>
      <c r="D53" s="104"/>
      <c r="E53" s="912">
        <v>0</v>
      </c>
      <c r="F53" s="913"/>
      <c r="G53" s="912">
        <v>142</v>
      </c>
      <c r="H53" s="913"/>
      <c r="I53" s="912">
        <f>$G$53</f>
        <v>142</v>
      </c>
      <c r="J53" s="913"/>
      <c r="K53" s="912">
        <f>$G$53</f>
        <v>142</v>
      </c>
      <c r="L53" s="913"/>
      <c r="M53" s="912">
        <f>$G$53</f>
        <v>142</v>
      </c>
    </row>
    <row r="54" spans="2:13" ht="12.75">
      <c r="B54" s="407" t="s">
        <v>304</v>
      </c>
      <c r="D54" s="104"/>
      <c r="E54" s="912">
        <v>0</v>
      </c>
      <c r="F54" s="913"/>
      <c r="G54" s="912">
        <v>284</v>
      </c>
      <c r="H54" s="913"/>
      <c r="I54" s="912">
        <f>$G$54</f>
        <v>284</v>
      </c>
      <c r="J54" s="913"/>
      <c r="K54" s="912">
        <f>$G$54</f>
        <v>284</v>
      </c>
      <c r="L54" s="913"/>
      <c r="M54" s="912">
        <f>$G$54</f>
        <v>284</v>
      </c>
    </row>
    <row r="55" spans="2:13" ht="12.75">
      <c r="B55" s="407" t="s">
        <v>4</v>
      </c>
      <c r="D55" s="104"/>
      <c r="E55" s="912">
        <v>0</v>
      </c>
      <c r="F55" s="913"/>
      <c r="G55" s="912">
        <v>165</v>
      </c>
      <c r="H55" s="913"/>
      <c r="I55" s="912">
        <f>$G$55</f>
        <v>165</v>
      </c>
      <c r="J55" s="913"/>
      <c r="K55" s="912">
        <f>$G$55</f>
        <v>165</v>
      </c>
      <c r="L55" s="913"/>
      <c r="M55" s="912">
        <f>$G$55</f>
        <v>165</v>
      </c>
    </row>
    <row r="56" spans="2:13" ht="12.75">
      <c r="B56" s="407" t="s">
        <v>65</v>
      </c>
      <c r="D56" s="104"/>
      <c r="E56" s="912">
        <v>0</v>
      </c>
      <c r="F56" s="913"/>
      <c r="G56" s="912">
        <v>330</v>
      </c>
      <c r="H56" s="913"/>
      <c r="I56" s="912">
        <f>$G$56</f>
        <v>330</v>
      </c>
      <c r="J56" s="913"/>
      <c r="K56" s="912">
        <f>$G$56</f>
        <v>330</v>
      </c>
      <c r="L56" s="913"/>
      <c r="M56" s="912">
        <f>$G$56</f>
        <v>330</v>
      </c>
    </row>
    <row r="57" spans="1:13" s="350" customFormat="1" ht="13.5" thickBot="1">
      <c r="A57" s="142"/>
      <c r="B57" s="442"/>
      <c r="D57" s="443"/>
      <c r="E57" s="914"/>
      <c r="F57" s="915"/>
      <c r="G57" s="914"/>
      <c r="H57" s="915"/>
      <c r="I57" s="914"/>
      <c r="J57" s="915"/>
      <c r="K57" s="914"/>
      <c r="L57" s="915"/>
      <c r="M57" s="914"/>
    </row>
    <row r="58" spans="1:13" s="350" customFormat="1" ht="13.5" thickBot="1">
      <c r="A58" s="142"/>
      <c r="B58" s="445" t="s">
        <v>299</v>
      </c>
      <c r="D58" s="443"/>
      <c r="E58" s="914"/>
      <c r="F58" s="915"/>
      <c r="G58" s="914"/>
      <c r="H58" s="915"/>
      <c r="I58" s="914"/>
      <c r="J58" s="915"/>
      <c r="K58" s="914"/>
      <c r="L58" s="915"/>
      <c r="M58" s="914"/>
    </row>
    <row r="59" spans="2:13" ht="12.75">
      <c r="B59" s="406" t="s">
        <v>303</v>
      </c>
      <c r="D59" s="104"/>
      <c r="E59" s="912">
        <v>0</v>
      </c>
      <c r="F59" s="913"/>
      <c r="G59" s="912">
        <v>75</v>
      </c>
      <c r="H59" s="913"/>
      <c r="I59" s="912">
        <f>$G$59</f>
        <v>75</v>
      </c>
      <c r="J59" s="913"/>
      <c r="K59" s="912">
        <f>$G$59</f>
        <v>75</v>
      </c>
      <c r="L59" s="913"/>
      <c r="M59" s="912">
        <f>$G$59</f>
        <v>75</v>
      </c>
    </row>
    <row r="60" spans="2:13" ht="12.75">
      <c r="B60" s="407" t="s">
        <v>304</v>
      </c>
      <c r="D60" s="104"/>
      <c r="E60" s="912">
        <v>0</v>
      </c>
      <c r="F60" s="913"/>
      <c r="G60" s="912">
        <v>150</v>
      </c>
      <c r="H60" s="913"/>
      <c r="I60" s="912">
        <f>$G$60</f>
        <v>150</v>
      </c>
      <c r="J60" s="913"/>
      <c r="K60" s="912">
        <f>$G$60</f>
        <v>150</v>
      </c>
      <c r="L60" s="913"/>
      <c r="M60" s="912">
        <f>$G$60</f>
        <v>150</v>
      </c>
    </row>
    <row r="61" spans="2:13" ht="12.75">
      <c r="B61" s="407" t="s">
        <v>4</v>
      </c>
      <c r="D61" s="104"/>
      <c r="E61" s="912">
        <v>0</v>
      </c>
      <c r="F61" s="913"/>
      <c r="G61" s="912">
        <v>75</v>
      </c>
      <c r="H61" s="913"/>
      <c r="I61" s="912">
        <f>$G$61</f>
        <v>75</v>
      </c>
      <c r="J61" s="913"/>
      <c r="K61" s="912">
        <f>$G$61</f>
        <v>75</v>
      </c>
      <c r="L61" s="913"/>
      <c r="M61" s="912">
        <f>$G$61</f>
        <v>75</v>
      </c>
    </row>
    <row r="62" spans="2:13" ht="12.75">
      <c r="B62" s="407" t="s">
        <v>65</v>
      </c>
      <c r="D62" s="104"/>
      <c r="E62" s="912">
        <v>0</v>
      </c>
      <c r="F62" s="913"/>
      <c r="G62" s="912">
        <v>150</v>
      </c>
      <c r="H62" s="913"/>
      <c r="I62" s="912">
        <f>$G$62</f>
        <v>150</v>
      </c>
      <c r="J62" s="913"/>
      <c r="K62" s="912">
        <f>$G$62</f>
        <v>150</v>
      </c>
      <c r="L62" s="913"/>
      <c r="M62" s="912">
        <f>$G$62</f>
        <v>150</v>
      </c>
    </row>
    <row r="63" spans="1:13" s="350" customFormat="1" ht="12.75">
      <c r="A63" s="142"/>
      <c r="B63" s="442"/>
      <c r="D63" s="443"/>
      <c r="E63" s="914"/>
      <c r="F63" s="915"/>
      <c r="G63" s="914"/>
      <c r="H63" s="915"/>
      <c r="I63" s="914"/>
      <c r="J63" s="915"/>
      <c r="K63" s="914"/>
      <c r="L63" s="915"/>
      <c r="M63" s="914"/>
    </row>
    <row r="64" spans="1:13" s="350" customFormat="1" ht="13.5" thickBot="1">
      <c r="A64" s="142"/>
      <c r="B64" s="442"/>
      <c r="D64" s="443"/>
      <c r="E64" s="914"/>
      <c r="F64" s="915"/>
      <c r="G64" s="914"/>
      <c r="H64" s="915"/>
      <c r="I64" s="914"/>
      <c r="J64" s="915"/>
      <c r="K64" s="914"/>
      <c r="L64" s="915"/>
      <c r="M64" s="914"/>
    </row>
    <row r="65" spans="2:13" ht="13.5" thickBot="1">
      <c r="B65" s="445" t="s">
        <v>300</v>
      </c>
      <c r="C65" s="4"/>
      <c r="D65" s="4"/>
      <c r="E65" s="916"/>
      <c r="F65" s="916"/>
      <c r="G65" s="916"/>
      <c r="H65" s="916"/>
      <c r="I65" s="916"/>
      <c r="J65" s="916"/>
      <c r="K65" s="916"/>
      <c r="L65" s="916"/>
      <c r="M65" s="916"/>
    </row>
    <row r="66" spans="2:13" ht="12.75">
      <c r="B66" s="406" t="s">
        <v>305</v>
      </c>
      <c r="D66" s="104"/>
      <c r="E66" s="912">
        <f>E47*E53</f>
        <v>0</v>
      </c>
      <c r="F66" s="913"/>
      <c r="G66" s="912">
        <f>E47*(G53+G59)</f>
        <v>0</v>
      </c>
      <c r="H66" s="913"/>
      <c r="I66" s="912">
        <f>G47*(I53+I59)</f>
        <v>0</v>
      </c>
      <c r="J66" s="913"/>
      <c r="K66" s="912">
        <f>I47*(K53+K59)</f>
        <v>0</v>
      </c>
      <c r="L66" s="913"/>
      <c r="M66" s="912">
        <f>K47*(M53+M59)</f>
        <v>0</v>
      </c>
    </row>
    <row r="67" spans="2:13" ht="12.75">
      <c r="B67" s="407" t="s">
        <v>306</v>
      </c>
      <c r="D67" s="104"/>
      <c r="E67" s="912">
        <f>E48*E54</f>
        <v>0</v>
      </c>
      <c r="F67" s="913"/>
      <c r="G67" s="912">
        <f aca="true" t="shared" si="5" ref="G67:M69">E48*(G54+G60)</f>
        <v>0</v>
      </c>
      <c r="H67" s="913"/>
      <c r="I67" s="912">
        <f t="shared" si="5"/>
        <v>0</v>
      </c>
      <c r="J67" s="913"/>
      <c r="K67" s="912">
        <f t="shared" si="5"/>
        <v>0</v>
      </c>
      <c r="L67" s="913"/>
      <c r="M67" s="912">
        <f t="shared" si="5"/>
        <v>0</v>
      </c>
    </row>
    <row r="68" spans="2:13" ht="12.75">
      <c r="B68" s="407" t="s">
        <v>5</v>
      </c>
      <c r="D68" s="104"/>
      <c r="E68" s="912">
        <f>E49*E55</f>
        <v>0</v>
      </c>
      <c r="F68" s="913"/>
      <c r="G68" s="912">
        <f t="shared" si="5"/>
        <v>0</v>
      </c>
      <c r="H68" s="913"/>
      <c r="I68" s="912">
        <f t="shared" si="5"/>
        <v>0</v>
      </c>
      <c r="J68" s="913"/>
      <c r="K68" s="912">
        <f t="shared" si="5"/>
        <v>0</v>
      </c>
      <c r="L68" s="913"/>
      <c r="M68" s="912">
        <f t="shared" si="5"/>
        <v>0</v>
      </c>
    </row>
    <row r="69" spans="2:13" ht="13.5" thickBot="1">
      <c r="B69" s="407" t="s">
        <v>66</v>
      </c>
      <c r="D69" s="105"/>
      <c r="E69" s="912">
        <f>E50*E56</f>
        <v>0</v>
      </c>
      <c r="F69" s="913"/>
      <c r="G69" s="912">
        <f t="shared" si="5"/>
        <v>0</v>
      </c>
      <c r="H69" s="913"/>
      <c r="I69" s="912">
        <f t="shared" si="5"/>
        <v>0</v>
      </c>
      <c r="J69" s="913"/>
      <c r="K69" s="912">
        <f t="shared" si="5"/>
        <v>0</v>
      </c>
      <c r="L69" s="913"/>
      <c r="M69" s="912">
        <f t="shared" si="5"/>
        <v>0</v>
      </c>
    </row>
    <row r="70" spans="2:13" ht="16.5" thickBot="1">
      <c r="B70" s="397" t="s">
        <v>6</v>
      </c>
      <c r="D70" s="95"/>
      <c r="E70" s="917">
        <f>SUM(E66:E69)</f>
        <v>0</v>
      </c>
      <c r="F70" s="329"/>
      <c r="G70" s="917">
        <f>SUM(G66:G69)</f>
        <v>0</v>
      </c>
      <c r="H70" s="329"/>
      <c r="I70" s="917">
        <f>SUM(I66:I69)</f>
        <v>0</v>
      </c>
      <c r="J70" s="329"/>
      <c r="K70" s="917">
        <f>SUM(K66:K69)</f>
        <v>0</v>
      </c>
      <c r="L70" s="329"/>
      <c r="M70" s="917">
        <f>SUM(M66:M69)</f>
        <v>0</v>
      </c>
    </row>
    <row r="71" spans="2:13" ht="12.75">
      <c r="B71" s="4"/>
      <c r="C71" s="4"/>
      <c r="D71" s="4"/>
      <c r="E71" s="222"/>
      <c r="F71" s="222"/>
      <c r="G71" s="222"/>
      <c r="H71" s="222"/>
      <c r="I71" s="222"/>
      <c r="J71" s="222"/>
      <c r="K71" s="222"/>
      <c r="L71" s="222"/>
      <c r="M71" s="222"/>
    </row>
    <row r="72" spans="2:13" ht="13.5" thickBot="1">
      <c r="B72" s="4"/>
      <c r="C72" s="4"/>
      <c r="D72" s="4"/>
      <c r="E72" s="222"/>
      <c r="F72" s="222"/>
      <c r="G72" s="222"/>
      <c r="H72" s="222"/>
      <c r="I72" s="222"/>
      <c r="J72" s="222"/>
      <c r="K72" s="222"/>
      <c r="L72" s="222"/>
      <c r="M72" s="222"/>
    </row>
    <row r="73" spans="2:13" ht="13.5" thickBot="1">
      <c r="B73" s="1161" t="s">
        <v>206</v>
      </c>
      <c r="C73" s="1162"/>
      <c r="D73" s="1162"/>
      <c r="E73" s="1162"/>
      <c r="F73" s="1162"/>
      <c r="G73" s="1162"/>
      <c r="H73" s="1162"/>
      <c r="I73" s="1162"/>
      <c r="J73" s="1162"/>
      <c r="K73" s="1162"/>
      <c r="L73" s="1162"/>
      <c r="M73" s="1163"/>
    </row>
    <row r="74" spans="2:13" ht="13.5" thickBot="1">
      <c r="B74" s="325"/>
      <c r="C74" s="4"/>
      <c r="D74" s="4"/>
      <c r="E74" s="222"/>
      <c r="F74" s="222"/>
      <c r="G74" s="222"/>
      <c r="H74" s="222"/>
      <c r="I74" s="222"/>
      <c r="J74" s="222"/>
      <c r="K74" s="222"/>
      <c r="L74" s="222"/>
      <c r="M74" s="222"/>
    </row>
    <row r="75" spans="2:13" ht="13.5" thickBot="1">
      <c r="B75" s="445" t="s">
        <v>223</v>
      </c>
      <c r="C75" s="4"/>
      <c r="D75" s="4"/>
      <c r="E75" s="445">
        <f>$E$8</f>
        <v>2016</v>
      </c>
      <c r="F75" s="924"/>
      <c r="G75" s="445">
        <f>$G$8</f>
        <v>2017</v>
      </c>
      <c r="H75" s="924"/>
      <c r="I75" s="445">
        <f>$I$8</f>
        <v>2018</v>
      </c>
      <c r="J75" s="924"/>
      <c r="K75" s="445">
        <f>$K$8</f>
        <v>2019</v>
      </c>
      <c r="L75" s="924"/>
      <c r="M75" s="445">
        <f>$M$8</f>
        <v>2020</v>
      </c>
    </row>
    <row r="76" spans="2:13" ht="13.5" thickBot="1">
      <c r="B76" s="662" t="s">
        <v>219</v>
      </c>
      <c r="C76" s="4"/>
      <c r="D76" s="4"/>
      <c r="E76" s="918">
        <f>'Revenues-Per Capita &amp; SPED'!E26</f>
        <v>0</v>
      </c>
      <c r="F76" s="925"/>
      <c r="G76" s="919">
        <f>'Revenues-Per Capita &amp; SPED'!L26</f>
        <v>0</v>
      </c>
      <c r="H76" s="925"/>
      <c r="I76" s="918">
        <f>'Revenues-Per Capita &amp; SPED'!S26</f>
        <v>0</v>
      </c>
      <c r="J76" s="925"/>
      <c r="K76" s="918">
        <f>'Revenues-Per Capita &amp; SPED'!Z26</f>
        <v>0</v>
      </c>
      <c r="L76" s="925"/>
      <c r="M76" s="918">
        <f>'Revenues-Per Capita &amp; SPED'!AG26</f>
        <v>0</v>
      </c>
    </row>
    <row r="77" spans="2:13" ht="13.5" thickBot="1">
      <c r="B77" s="663" t="s">
        <v>207</v>
      </c>
      <c r="C77" s="4"/>
      <c r="D77" s="4"/>
      <c r="E77" s="918">
        <f>'Revenues-Per Capita &amp; SPED'!E27</f>
        <v>0</v>
      </c>
      <c r="F77" s="925"/>
      <c r="G77" s="919">
        <f>'Revenues-Per Capita &amp; SPED'!L27</f>
        <v>0</v>
      </c>
      <c r="H77" s="925"/>
      <c r="I77" s="918">
        <f>'Revenues-Per Capita &amp; SPED'!S27</f>
        <v>0</v>
      </c>
      <c r="J77" s="925"/>
      <c r="K77" s="918">
        <f>'Revenues-Per Capita &amp; SPED'!Z27</f>
        <v>0</v>
      </c>
      <c r="L77" s="925"/>
      <c r="M77" s="918">
        <f>'Revenues-Per Capita &amp; SPED'!AG27</f>
        <v>0</v>
      </c>
    </row>
    <row r="78" spans="2:13" ht="13.5" thickBot="1">
      <c r="B78" s="663" t="s">
        <v>208</v>
      </c>
      <c r="C78" s="4"/>
      <c r="D78" s="4"/>
      <c r="E78" s="918">
        <f>'Revenues-Per Capita &amp; SPED'!E28</f>
        <v>0</v>
      </c>
      <c r="F78" s="925"/>
      <c r="G78" s="919">
        <f>'Revenues-Per Capita &amp; SPED'!L28</f>
        <v>0</v>
      </c>
      <c r="H78" s="925"/>
      <c r="I78" s="918">
        <f>'Revenues-Per Capita &amp; SPED'!S28</f>
        <v>0</v>
      </c>
      <c r="J78" s="925"/>
      <c r="K78" s="918">
        <f>'Revenues-Per Capita &amp; SPED'!Z28</f>
        <v>0</v>
      </c>
      <c r="L78" s="925"/>
      <c r="M78" s="918">
        <f>'Revenues-Per Capita &amp; SPED'!AG28</f>
        <v>0</v>
      </c>
    </row>
    <row r="79" spans="2:13" ht="13.5" thickBot="1">
      <c r="B79" s="663" t="s">
        <v>209</v>
      </c>
      <c r="C79" s="4"/>
      <c r="D79" s="4"/>
      <c r="E79" s="918">
        <f>'Revenues-Per Capita &amp; SPED'!E29</f>
        <v>0</v>
      </c>
      <c r="F79" s="925"/>
      <c r="G79" s="919">
        <f>'Revenues-Per Capita &amp; SPED'!L29</f>
        <v>0</v>
      </c>
      <c r="H79" s="925"/>
      <c r="I79" s="918">
        <f>'Revenues-Per Capita &amp; SPED'!S29</f>
        <v>0</v>
      </c>
      <c r="J79" s="925"/>
      <c r="K79" s="918">
        <f>'Revenues-Per Capita &amp; SPED'!Z29</f>
        <v>0</v>
      </c>
      <c r="L79" s="925"/>
      <c r="M79" s="918">
        <f>'Revenues-Per Capita &amp; SPED'!AG29</f>
        <v>0</v>
      </c>
    </row>
    <row r="80" spans="2:13" ht="13.5" thickBot="1">
      <c r="B80" s="663" t="s">
        <v>210</v>
      </c>
      <c r="C80" s="4"/>
      <c r="D80" s="4"/>
      <c r="E80" s="919">
        <f>'Revenues-Per Capita &amp; SPED'!E61</f>
        <v>0</v>
      </c>
      <c r="F80" s="925"/>
      <c r="G80" s="919">
        <f>'Revenues-Per Capita &amp; SPED'!L61</f>
        <v>0</v>
      </c>
      <c r="H80" s="925"/>
      <c r="I80" s="919">
        <f>'Revenues-Per Capita &amp; SPED'!S61</f>
        <v>0</v>
      </c>
      <c r="J80" s="925"/>
      <c r="K80" s="919">
        <f>'Revenues-Per Capita &amp; SPED'!Z61</f>
        <v>0</v>
      </c>
      <c r="L80" s="925"/>
      <c r="M80" s="919">
        <f>'Revenues-Per Capita &amp; SPED'!AG61</f>
        <v>0</v>
      </c>
    </row>
    <row r="81" spans="2:13" ht="13.5" thickBot="1">
      <c r="B81" s="663" t="s">
        <v>211</v>
      </c>
      <c r="C81" s="4"/>
      <c r="D81" s="4"/>
      <c r="E81" s="919">
        <f>'Revenues-Per Capita &amp; SPED'!E62</f>
        <v>0</v>
      </c>
      <c r="F81" s="925"/>
      <c r="G81" s="919">
        <f>'Revenues-Per Capita &amp; SPED'!L62</f>
        <v>0</v>
      </c>
      <c r="H81" s="925"/>
      <c r="I81" s="919">
        <f>'Revenues-Per Capita &amp; SPED'!S62</f>
        <v>0</v>
      </c>
      <c r="J81" s="925"/>
      <c r="K81" s="919">
        <f>'Revenues-Per Capita &amp; SPED'!Z62</f>
        <v>0</v>
      </c>
      <c r="L81" s="925"/>
      <c r="M81" s="919">
        <f>'Revenues-Per Capita &amp; SPED'!AG62</f>
        <v>0</v>
      </c>
    </row>
    <row r="82" spans="2:13" ht="13.5" thickBot="1">
      <c r="B82" s="663" t="s">
        <v>212</v>
      </c>
      <c r="C82" s="4"/>
      <c r="D82" s="4"/>
      <c r="E82" s="919">
        <f>'Revenues-Per Capita &amp; SPED'!E63+'Revenues-Per Capita &amp; SPED'!F95</f>
        <v>0</v>
      </c>
      <c r="F82" s="925"/>
      <c r="G82" s="919">
        <f>'Revenues-Per Capita &amp; SPED'!L63+'Revenues-Per Capita &amp; SPED'!M95</f>
        <v>0</v>
      </c>
      <c r="H82" s="925"/>
      <c r="I82" s="919">
        <f>'Revenues-Per Capita &amp; SPED'!S63</f>
        <v>0</v>
      </c>
      <c r="J82" s="925"/>
      <c r="K82" s="919">
        <f>'Revenues-Per Capita &amp; SPED'!Z63</f>
        <v>0</v>
      </c>
      <c r="L82" s="925"/>
      <c r="M82" s="919">
        <f>'Revenues-Per Capita &amp; SPED'!AG63</f>
        <v>0</v>
      </c>
    </row>
    <row r="83" spans="2:13" ht="13.5" thickBot="1">
      <c r="B83" s="663" t="s">
        <v>213</v>
      </c>
      <c r="C83" s="4"/>
      <c r="D83" s="4"/>
      <c r="E83" s="919">
        <f>'Revenues-Per Capita &amp; SPED'!E64+'Revenues-Per Capita &amp; SPED'!F96</f>
        <v>0</v>
      </c>
      <c r="F83" s="925"/>
      <c r="G83" s="919">
        <f>'Revenues-Per Capita &amp; SPED'!L64+'Revenues-Per Capita &amp; SPED'!M96</f>
        <v>0</v>
      </c>
      <c r="H83" s="925"/>
      <c r="I83" s="919">
        <f>'Revenues-Per Capita &amp; SPED'!S64</f>
        <v>0</v>
      </c>
      <c r="J83" s="925"/>
      <c r="K83" s="919">
        <f>'Revenues-Per Capita &amp; SPED'!Z64</f>
        <v>0</v>
      </c>
      <c r="L83" s="925"/>
      <c r="M83" s="919">
        <f>'Revenues-Per Capita &amp; SPED'!AG64</f>
        <v>0</v>
      </c>
    </row>
    <row r="84" spans="2:13" ht="13.5" thickBot="1">
      <c r="B84" s="663" t="s">
        <v>214</v>
      </c>
      <c r="C84" s="4"/>
      <c r="D84" s="4"/>
      <c r="E84" s="919">
        <f>'Revenues-Per Capita &amp; SPED'!E65+'Revenues-Per Capita &amp; SPED'!F97</f>
        <v>0</v>
      </c>
      <c r="F84" s="925"/>
      <c r="G84" s="919">
        <f>'Revenues-Per Capita &amp; SPED'!L65+'Revenues-Per Capita &amp; SPED'!M97</f>
        <v>0</v>
      </c>
      <c r="H84" s="925"/>
      <c r="I84" s="919">
        <f>'Revenues-Per Capita &amp; SPED'!S65</f>
        <v>0</v>
      </c>
      <c r="J84" s="925"/>
      <c r="K84" s="919">
        <f>'Revenues-Per Capita &amp; SPED'!Z65</f>
        <v>0</v>
      </c>
      <c r="L84" s="925"/>
      <c r="M84" s="919">
        <f>'Revenues-Per Capita &amp; SPED'!AG65</f>
        <v>0</v>
      </c>
    </row>
    <row r="85" spans="2:13" ht="13.5" thickBot="1">
      <c r="B85" s="445" t="s">
        <v>220</v>
      </c>
      <c r="C85" s="4"/>
      <c r="D85" s="4"/>
      <c r="E85" s="661">
        <f>SUM(E76:E84)</f>
        <v>0</v>
      </c>
      <c r="F85" s="925"/>
      <c r="G85" s="661">
        <f>SUM(G76:G84)</f>
        <v>0</v>
      </c>
      <c r="H85" s="925"/>
      <c r="I85" s="661">
        <f>SUM(I76:I84)</f>
        <v>0</v>
      </c>
      <c r="J85" s="925"/>
      <c r="K85" s="661">
        <f>SUM(K76:K84)</f>
        <v>0</v>
      </c>
      <c r="L85" s="925"/>
      <c r="M85" s="661">
        <f>SUM(M76:M84)</f>
        <v>0</v>
      </c>
    </row>
    <row r="86" spans="2:13" ht="13.5" thickBot="1">
      <c r="B86" s="664" t="s">
        <v>332</v>
      </c>
      <c r="C86" s="4"/>
      <c r="D86" s="4"/>
      <c r="E86" s="661" t="s">
        <v>229</v>
      </c>
      <c r="F86" s="920"/>
      <c r="G86" s="986"/>
      <c r="H86" s="920"/>
      <c r="I86" s="986"/>
      <c r="J86" s="920"/>
      <c r="K86" s="986"/>
      <c r="L86" s="920"/>
      <c r="M86" s="986"/>
    </row>
    <row r="87" spans="2:13" ht="12.75">
      <c r="B87" s="327"/>
      <c r="C87" s="4"/>
      <c r="D87" s="4"/>
      <c r="E87" s="109"/>
      <c r="F87" s="325"/>
      <c r="G87" s="325"/>
      <c r="H87" s="325"/>
      <c r="I87" s="325"/>
      <c r="J87" s="325"/>
      <c r="K87" s="325"/>
      <c r="L87" s="325"/>
      <c r="M87" s="325"/>
    </row>
    <row r="88" spans="2:13" ht="13.5" thickBot="1">
      <c r="B88" s="326"/>
      <c r="C88" s="4"/>
      <c r="D88" s="4"/>
      <c r="E88" s="325"/>
      <c r="F88" s="325"/>
      <c r="G88" s="325"/>
      <c r="H88" s="325"/>
      <c r="I88" s="325"/>
      <c r="J88" s="325"/>
      <c r="K88" s="325"/>
      <c r="L88" s="325"/>
      <c r="M88" s="325"/>
    </row>
    <row r="89" spans="1:13" ht="13.5" thickBot="1">
      <c r="A89" s="108"/>
      <c r="B89" s="665" t="s">
        <v>224</v>
      </c>
      <c r="C89" s="108"/>
      <c r="D89" s="108"/>
      <c r="E89" s="445">
        <f>$E$8</f>
        <v>2016</v>
      </c>
      <c r="F89" s="925"/>
      <c r="G89" s="445">
        <f>$G$8</f>
        <v>2017</v>
      </c>
      <c r="H89" s="925"/>
      <c r="I89" s="445">
        <f>$I$8</f>
        <v>2018</v>
      </c>
      <c r="J89" s="925"/>
      <c r="K89" s="445">
        <f>$K$8</f>
        <v>2019</v>
      </c>
      <c r="L89" s="925"/>
      <c r="M89" s="445">
        <f>$M$8</f>
        <v>2020</v>
      </c>
    </row>
    <row r="90" spans="2:13" ht="13.5" thickBot="1">
      <c r="B90" s="663" t="s">
        <v>215</v>
      </c>
      <c r="C90" s="4"/>
      <c r="D90" s="4"/>
      <c r="E90" s="919">
        <f>'Revenues-Per Capita &amp; SPED'!F126</f>
        <v>0</v>
      </c>
      <c r="F90" s="925"/>
      <c r="G90" s="919">
        <f>'Revenues-Per Capita &amp; SPED'!M126</f>
        <v>0</v>
      </c>
      <c r="H90" s="925"/>
      <c r="I90" s="918">
        <f>'Revenues-Per Capita &amp; SPED'!T126</f>
        <v>0</v>
      </c>
      <c r="J90" s="925"/>
      <c r="K90" s="918">
        <f>'Revenues-Per Capita &amp; SPED'!AA126</f>
        <v>0</v>
      </c>
      <c r="L90" s="925"/>
      <c r="M90" s="918">
        <f>'Revenues-Per Capita &amp; SPED'!AH126</f>
        <v>0</v>
      </c>
    </row>
    <row r="91" spans="2:13" ht="13.5" thickBot="1">
      <c r="B91" s="663" t="s">
        <v>216</v>
      </c>
      <c r="C91" s="4"/>
      <c r="D91" s="4"/>
      <c r="E91" s="919">
        <f>'Revenues-Per Capita &amp; SPED'!F127</f>
        <v>74</v>
      </c>
      <c r="F91" s="925"/>
      <c r="G91" s="919">
        <f>'Revenues-Per Capita &amp; SPED'!M127</f>
        <v>85</v>
      </c>
      <c r="H91" s="925"/>
      <c r="I91" s="918">
        <f>'Revenues-Per Capita &amp; SPED'!T127</f>
        <v>97</v>
      </c>
      <c r="J91" s="925"/>
      <c r="K91" s="918">
        <f>'Revenues-Per Capita &amp; SPED'!AA127</f>
        <v>97</v>
      </c>
      <c r="L91" s="925"/>
      <c r="M91" s="918">
        <f>'Revenues-Per Capita &amp; SPED'!AH127</f>
        <v>97</v>
      </c>
    </row>
    <row r="92" spans="2:13" ht="13.5" thickBot="1">
      <c r="B92" s="663" t="s">
        <v>217</v>
      </c>
      <c r="C92" s="4"/>
      <c r="D92" s="4"/>
      <c r="E92" s="919">
        <f>'Revenues-Per Capita &amp; SPED'!F128</f>
        <v>32</v>
      </c>
      <c r="F92" s="925"/>
      <c r="G92" s="919">
        <f>'Revenues-Per Capita &amp; SPED'!M128</f>
        <v>38</v>
      </c>
      <c r="H92" s="925"/>
      <c r="I92" s="918">
        <f>'Revenues-Per Capita &amp; SPED'!T128</f>
        <v>43</v>
      </c>
      <c r="J92" s="925"/>
      <c r="K92" s="918">
        <f>'Revenues-Per Capita &amp; SPED'!AA128</f>
        <v>43</v>
      </c>
      <c r="L92" s="925"/>
      <c r="M92" s="918">
        <f>'Revenues-Per Capita &amp; SPED'!AH128</f>
        <v>43</v>
      </c>
    </row>
    <row r="93" spans="2:13" ht="13.5" thickBot="1">
      <c r="B93" s="663" t="s">
        <v>218</v>
      </c>
      <c r="C93" s="4"/>
      <c r="D93" s="4"/>
      <c r="E93" s="919">
        <f>'Revenues-Per Capita &amp; SPED'!F129</f>
        <v>19</v>
      </c>
      <c r="F93" s="925"/>
      <c r="G93" s="919">
        <f>'Revenues-Per Capita &amp; SPED'!M129</f>
        <v>22</v>
      </c>
      <c r="H93" s="925"/>
      <c r="I93" s="918">
        <f>'Revenues-Per Capita &amp; SPED'!T129</f>
        <v>25</v>
      </c>
      <c r="J93" s="925"/>
      <c r="K93" s="918">
        <f>'Revenues-Per Capita &amp; SPED'!AA129</f>
        <v>25</v>
      </c>
      <c r="L93" s="925"/>
      <c r="M93" s="918">
        <f>'Revenues-Per Capita &amp; SPED'!AH129</f>
        <v>25</v>
      </c>
    </row>
    <row r="94" spans="2:13" ht="13.5" thickBot="1">
      <c r="B94" s="661" t="s">
        <v>222</v>
      </c>
      <c r="C94" s="4"/>
      <c r="D94" s="4"/>
      <c r="E94" s="661">
        <f>SUM(E90:E93)</f>
        <v>125</v>
      </c>
      <c r="F94" s="925"/>
      <c r="G94" s="661">
        <f>SUM(G90:G93)</f>
        <v>145</v>
      </c>
      <c r="H94" s="925"/>
      <c r="I94" s="661">
        <f>SUM(I90:I93)</f>
        <v>165</v>
      </c>
      <c r="J94" s="925"/>
      <c r="K94" s="661">
        <f>SUM(K90:K93)</f>
        <v>165</v>
      </c>
      <c r="L94" s="925"/>
      <c r="M94" s="661">
        <f>SUM(M90:M93)</f>
        <v>165</v>
      </c>
    </row>
    <row r="95" spans="2:13" ht="13.5" thickBot="1">
      <c r="B95" s="664" t="s">
        <v>333</v>
      </c>
      <c r="C95" s="4"/>
      <c r="D95" s="4"/>
      <c r="E95" s="661" t="s">
        <v>229</v>
      </c>
      <c r="F95" s="920"/>
      <c r="G95" s="986" t="s">
        <v>225</v>
      </c>
      <c r="H95" s="920"/>
      <c r="I95" s="986" t="s">
        <v>225</v>
      </c>
      <c r="J95" s="920"/>
      <c r="K95" s="986" t="s">
        <v>225</v>
      </c>
      <c r="L95" s="920"/>
      <c r="M95" s="986" t="s">
        <v>225</v>
      </c>
    </row>
    <row r="96" spans="2:13" ht="13.5" thickBot="1">
      <c r="B96" s="666"/>
      <c r="C96" s="4"/>
      <c r="D96" s="4"/>
      <c r="E96" s="325"/>
      <c r="F96" s="325"/>
      <c r="G96" s="325"/>
      <c r="H96" s="325"/>
      <c r="I96" s="325"/>
      <c r="J96" s="325"/>
      <c r="K96" s="325"/>
      <c r="L96" s="325"/>
      <c r="M96" s="325">
        <f>+A53</f>
        <v>0</v>
      </c>
    </row>
    <row r="97" spans="2:13" ht="13.5" thickBot="1">
      <c r="B97" s="445" t="s">
        <v>39</v>
      </c>
      <c r="C97" s="4"/>
      <c r="D97" s="114"/>
      <c r="E97" s="661">
        <f>E85+E94</f>
        <v>125</v>
      </c>
      <c r="F97" s="925"/>
      <c r="G97" s="661">
        <f>G85+G94</f>
        <v>145</v>
      </c>
      <c r="H97" s="925"/>
      <c r="I97" s="661">
        <f>I85+I94</f>
        <v>165</v>
      </c>
      <c r="J97" s="925"/>
      <c r="K97" s="661">
        <f>K85+K94</f>
        <v>165</v>
      </c>
      <c r="L97" s="925"/>
      <c r="M97" s="661">
        <f>M85+M94</f>
        <v>165</v>
      </c>
    </row>
    <row r="98" spans="2:13" ht="12.75">
      <c r="B98" s="324"/>
      <c r="C98" s="4"/>
      <c r="D98" s="4"/>
      <c r="E98" s="325"/>
      <c r="F98" s="325"/>
      <c r="G98" s="325"/>
      <c r="H98" s="325"/>
      <c r="I98" s="325"/>
      <c r="J98" s="325"/>
      <c r="K98" s="325"/>
      <c r="L98" s="325"/>
      <c r="M98" s="325"/>
    </row>
    <row r="99" spans="2:13" ht="12.75">
      <c r="B99" s="324"/>
      <c r="C99" s="4"/>
      <c r="D99" s="4"/>
      <c r="E99" s="325"/>
      <c r="F99" s="325"/>
      <c r="G99" s="325"/>
      <c r="H99" s="325"/>
      <c r="I99" s="325"/>
      <c r="J99" s="325"/>
      <c r="K99" s="325"/>
      <c r="L99" s="325"/>
      <c r="M99" s="325"/>
    </row>
    <row r="100" spans="2:13" ht="12.75">
      <c r="B100" s="324"/>
      <c r="C100" s="4"/>
      <c r="D100" s="4"/>
      <c r="E100" s="325"/>
      <c r="F100" s="325"/>
      <c r="G100" s="325"/>
      <c r="H100" s="325"/>
      <c r="I100" s="325"/>
      <c r="J100" s="325"/>
      <c r="K100" s="325"/>
      <c r="L100" s="325"/>
      <c r="M100" s="325"/>
    </row>
    <row r="101" spans="2:13" ht="12.75">
      <c r="B101" s="4"/>
      <c r="C101" s="4"/>
      <c r="D101" s="4"/>
      <c r="E101" s="921"/>
      <c r="F101" s="922"/>
      <c r="G101" s="922"/>
      <c r="H101" s="922"/>
      <c r="I101" s="922"/>
      <c r="J101" s="922"/>
      <c r="K101" s="922"/>
      <c r="L101" s="922"/>
      <c r="M101" s="922"/>
    </row>
    <row r="102" spans="2:13" ht="12.75">
      <c r="B102" s="4"/>
      <c r="C102" s="4"/>
      <c r="D102" s="4"/>
      <c r="E102" s="922"/>
      <c r="F102" s="922"/>
      <c r="G102" s="922"/>
      <c r="H102" s="922"/>
      <c r="I102" s="922"/>
      <c r="J102" s="922"/>
      <c r="K102" s="922"/>
      <c r="L102" s="922"/>
      <c r="M102" s="922"/>
    </row>
    <row r="103" spans="2:13" ht="12.75">
      <c r="B103" s="4"/>
      <c r="C103" s="4"/>
      <c r="D103" s="4"/>
      <c r="E103" s="325"/>
      <c r="F103" s="325"/>
      <c r="G103" s="325"/>
      <c r="H103" s="325"/>
      <c r="I103" s="325"/>
      <c r="J103" s="325"/>
      <c r="K103" s="325"/>
      <c r="L103" s="325"/>
      <c r="M103" s="325"/>
    </row>
    <row r="104" spans="2:13" ht="12.75">
      <c r="B104" s="4"/>
      <c r="C104" s="4"/>
      <c r="D104" s="4"/>
      <c r="E104" s="325"/>
      <c r="F104" s="325"/>
      <c r="G104" s="325"/>
      <c r="H104" s="325"/>
      <c r="I104" s="325"/>
      <c r="J104" s="325"/>
      <c r="K104" s="325"/>
      <c r="L104" s="325"/>
      <c r="M104" s="325"/>
    </row>
    <row r="105" spans="2:13" ht="12.75">
      <c r="B105" s="4"/>
      <c r="C105" s="4"/>
      <c r="D105" s="4"/>
      <c r="E105" s="325"/>
      <c r="F105" s="325"/>
      <c r="G105" s="325"/>
      <c r="H105" s="325"/>
      <c r="I105" s="325"/>
      <c r="J105" s="325"/>
      <c r="K105" s="325"/>
      <c r="L105" s="325"/>
      <c r="M105" s="325"/>
    </row>
    <row r="106" spans="2:13" ht="12.75">
      <c r="B106" s="4"/>
      <c r="C106" s="4"/>
      <c r="D106" s="4"/>
      <c r="E106" s="325"/>
      <c r="F106" s="325"/>
      <c r="G106" s="325"/>
      <c r="H106" s="325"/>
      <c r="I106" s="325"/>
      <c r="J106" s="325"/>
      <c r="K106" s="325"/>
      <c r="L106" s="325"/>
      <c r="M106" s="325"/>
    </row>
    <row r="107" spans="2:13" ht="12.75">
      <c r="B107" s="4"/>
      <c r="C107" s="4"/>
      <c r="D107" s="4"/>
      <c r="E107" s="325"/>
      <c r="F107" s="325"/>
      <c r="G107" s="325"/>
      <c r="H107" s="325"/>
      <c r="I107" s="325"/>
      <c r="J107" s="325"/>
      <c r="K107" s="325"/>
      <c r="L107" s="325"/>
      <c r="M107" s="325"/>
    </row>
    <row r="108" spans="2:13" ht="12.75">
      <c r="B108" s="4"/>
      <c r="C108" s="4"/>
      <c r="D108" s="4"/>
      <c r="E108" s="222"/>
      <c r="F108" s="222"/>
      <c r="G108" s="222"/>
      <c r="H108" s="222"/>
      <c r="I108" s="222"/>
      <c r="J108" s="222"/>
      <c r="K108" s="222"/>
      <c r="L108" s="222"/>
      <c r="M108" s="222"/>
    </row>
    <row r="109" spans="2:13" ht="12.75">
      <c r="B109" s="4"/>
      <c r="C109" s="4"/>
      <c r="D109" s="4"/>
      <c r="E109" s="222"/>
      <c r="F109" s="222"/>
      <c r="G109" s="222"/>
      <c r="H109" s="222"/>
      <c r="I109" s="222"/>
      <c r="J109" s="222"/>
      <c r="K109" s="222"/>
      <c r="L109" s="222"/>
      <c r="M109" s="222"/>
    </row>
    <row r="110" spans="2:13" ht="12.75">
      <c r="B110" s="4"/>
      <c r="C110" s="4"/>
      <c r="D110" s="4"/>
      <c r="E110" s="222"/>
      <c r="F110" s="222"/>
      <c r="G110" s="222"/>
      <c r="H110" s="222"/>
      <c r="I110" s="222"/>
      <c r="J110" s="222"/>
      <c r="K110" s="222"/>
      <c r="L110" s="222"/>
      <c r="M110" s="222"/>
    </row>
    <row r="111" spans="2:13" ht="12.75">
      <c r="B111" s="4"/>
      <c r="C111" s="4"/>
      <c r="D111" s="4"/>
      <c r="E111" s="222"/>
      <c r="F111" s="222"/>
      <c r="G111" s="222"/>
      <c r="H111" s="222"/>
      <c r="I111" s="222"/>
      <c r="J111" s="222"/>
      <c r="K111" s="222"/>
      <c r="L111" s="222"/>
      <c r="M111" s="222"/>
    </row>
    <row r="112" spans="2:13" ht="12.75">
      <c r="B112" s="4"/>
      <c r="C112" s="4"/>
      <c r="D112" s="4"/>
      <c r="E112" s="222"/>
      <c r="F112" s="222"/>
      <c r="G112" s="222"/>
      <c r="H112" s="222"/>
      <c r="I112" s="222"/>
      <c r="J112" s="222"/>
      <c r="K112" s="222"/>
      <c r="L112" s="222"/>
      <c r="M112" s="222"/>
    </row>
    <row r="113" spans="2:13" ht="12.75">
      <c r="B113" s="4"/>
      <c r="C113" s="4"/>
      <c r="D113" s="4"/>
      <c r="E113" s="222"/>
      <c r="F113" s="222"/>
      <c r="G113" s="222"/>
      <c r="H113" s="222"/>
      <c r="I113" s="222"/>
      <c r="J113" s="222"/>
      <c r="K113" s="222"/>
      <c r="L113" s="222"/>
      <c r="M113" s="222"/>
    </row>
    <row r="114" spans="2:13" ht="12.75">
      <c r="B114" s="4"/>
      <c r="C114" s="4"/>
      <c r="D114" s="4"/>
      <c r="E114" s="222"/>
      <c r="F114" s="222"/>
      <c r="G114" s="222"/>
      <c r="H114" s="222"/>
      <c r="I114" s="222"/>
      <c r="J114" s="222"/>
      <c r="K114" s="222"/>
      <c r="L114" s="222"/>
      <c r="M114" s="222"/>
    </row>
    <row r="115" spans="2:13" ht="12.75">
      <c r="B115" s="4"/>
      <c r="C115" s="4"/>
      <c r="D115" s="4"/>
      <c r="E115" s="222"/>
      <c r="F115" s="222"/>
      <c r="G115" s="222"/>
      <c r="H115" s="222"/>
      <c r="I115" s="222"/>
      <c r="J115" s="222"/>
      <c r="K115" s="222"/>
      <c r="L115" s="222"/>
      <c r="M115" s="222"/>
    </row>
    <row r="116" spans="2:13" ht="12.75">
      <c r="B116" s="4"/>
      <c r="C116" s="4"/>
      <c r="D116" s="4"/>
      <c r="E116" s="222"/>
      <c r="F116" s="222"/>
      <c r="G116" s="222"/>
      <c r="H116" s="222"/>
      <c r="I116" s="222"/>
      <c r="J116" s="222"/>
      <c r="K116" s="222"/>
      <c r="L116" s="222"/>
      <c r="M116" s="222"/>
    </row>
    <row r="117" spans="2:13" ht="12.75">
      <c r="B117" s="4"/>
      <c r="C117" s="4"/>
      <c r="D117" s="4"/>
      <c r="E117" s="222"/>
      <c r="F117" s="222"/>
      <c r="G117" s="222"/>
      <c r="H117" s="222"/>
      <c r="I117" s="222"/>
      <c r="J117" s="222"/>
      <c r="K117" s="222"/>
      <c r="L117" s="222"/>
      <c r="M117" s="222"/>
    </row>
    <row r="118" spans="2:13" ht="12.75">
      <c r="B118" s="4"/>
      <c r="C118" s="4"/>
      <c r="D118" s="4"/>
      <c r="E118" s="222"/>
      <c r="F118" s="222"/>
      <c r="G118" s="222"/>
      <c r="H118" s="222"/>
      <c r="I118" s="222"/>
      <c r="J118" s="222"/>
      <c r="K118" s="222"/>
      <c r="L118" s="222"/>
      <c r="M118" s="222"/>
    </row>
    <row r="119" spans="2:13" ht="12.75">
      <c r="B119" s="4"/>
      <c r="C119" s="4"/>
      <c r="D119" s="4"/>
      <c r="E119" s="222"/>
      <c r="F119" s="222"/>
      <c r="G119" s="222"/>
      <c r="H119" s="222"/>
      <c r="I119" s="222"/>
      <c r="J119" s="222"/>
      <c r="K119" s="222"/>
      <c r="L119" s="222"/>
      <c r="M119" s="222"/>
    </row>
    <row r="120" spans="2:13" ht="12.75">
      <c r="B120" s="4"/>
      <c r="C120" s="4"/>
      <c r="D120" s="4"/>
      <c r="E120" s="222"/>
      <c r="F120" s="222"/>
      <c r="G120" s="222"/>
      <c r="H120" s="222"/>
      <c r="I120" s="222"/>
      <c r="J120" s="222"/>
      <c r="K120" s="222"/>
      <c r="L120" s="222"/>
      <c r="M120" s="222"/>
    </row>
    <row r="121" spans="2:13" ht="12.75">
      <c r="B121" s="4"/>
      <c r="C121" s="4"/>
      <c r="D121" s="4"/>
      <c r="E121" s="222"/>
      <c r="F121" s="222"/>
      <c r="G121" s="222"/>
      <c r="H121" s="222"/>
      <c r="I121" s="222"/>
      <c r="J121" s="222"/>
      <c r="K121" s="222"/>
      <c r="L121" s="222"/>
      <c r="M121" s="222"/>
    </row>
    <row r="122" spans="2:13" ht="12.75">
      <c r="B122" s="4"/>
      <c r="C122" s="4"/>
      <c r="D122" s="4"/>
      <c r="E122" s="222"/>
      <c r="F122" s="222"/>
      <c r="G122" s="222"/>
      <c r="H122" s="222"/>
      <c r="I122" s="222"/>
      <c r="J122" s="222"/>
      <c r="K122" s="222"/>
      <c r="L122" s="222"/>
      <c r="M122" s="222"/>
    </row>
    <row r="123" spans="2:13" ht="12.75">
      <c r="B123" s="4"/>
      <c r="C123" s="4"/>
      <c r="D123" s="4"/>
      <c r="E123" s="222"/>
      <c r="F123" s="222"/>
      <c r="G123" s="222"/>
      <c r="H123" s="222"/>
      <c r="I123" s="222"/>
      <c r="J123" s="222"/>
      <c r="K123" s="222"/>
      <c r="L123" s="222"/>
      <c r="M123" s="222"/>
    </row>
    <row r="124" spans="2:13" ht="12.75">
      <c r="B124" s="4"/>
      <c r="C124" s="4"/>
      <c r="D124" s="4"/>
      <c r="E124" s="222"/>
      <c r="F124" s="222"/>
      <c r="G124" s="222"/>
      <c r="H124" s="222"/>
      <c r="I124" s="222"/>
      <c r="J124" s="222"/>
      <c r="K124" s="222"/>
      <c r="L124" s="222"/>
      <c r="M124" s="222"/>
    </row>
    <row r="125" spans="2:13" ht="12.75">
      <c r="B125" s="4"/>
      <c r="C125" s="4"/>
      <c r="D125" s="4"/>
      <c r="E125" s="222"/>
      <c r="F125" s="222"/>
      <c r="G125" s="222"/>
      <c r="H125" s="222"/>
      <c r="I125" s="222"/>
      <c r="J125" s="222"/>
      <c r="K125" s="222"/>
      <c r="L125" s="222"/>
      <c r="M125" s="222"/>
    </row>
    <row r="126" spans="2:13" ht="12.75">
      <c r="B126" s="4"/>
      <c r="C126" s="4"/>
      <c r="D126" s="4"/>
      <c r="E126" s="222"/>
      <c r="F126" s="222"/>
      <c r="G126" s="222"/>
      <c r="H126" s="222"/>
      <c r="I126" s="222"/>
      <c r="J126" s="222"/>
      <c r="K126" s="222"/>
      <c r="L126" s="222"/>
      <c r="M126" s="222"/>
    </row>
    <row r="127" spans="2:13" ht="12.75">
      <c r="B127" s="4"/>
      <c r="C127" s="4"/>
      <c r="D127" s="4"/>
      <c r="E127" s="222"/>
      <c r="F127" s="222"/>
      <c r="G127" s="222"/>
      <c r="H127" s="222"/>
      <c r="I127" s="222"/>
      <c r="J127" s="222"/>
      <c r="K127" s="222"/>
      <c r="L127" s="222"/>
      <c r="M127" s="222"/>
    </row>
    <row r="128" spans="2:13" ht="12.75">
      <c r="B128" s="4"/>
      <c r="C128" s="4"/>
      <c r="D128" s="4"/>
      <c r="E128" s="222"/>
      <c r="F128" s="222"/>
      <c r="G128" s="222"/>
      <c r="H128" s="222"/>
      <c r="I128" s="222"/>
      <c r="J128" s="222"/>
      <c r="K128" s="222"/>
      <c r="L128" s="222"/>
      <c r="M128" s="222"/>
    </row>
    <row r="129" spans="2:13" ht="12.75">
      <c r="B129" s="4"/>
      <c r="C129" s="4"/>
      <c r="D129" s="4"/>
      <c r="E129" s="222"/>
      <c r="F129" s="222"/>
      <c r="G129" s="222"/>
      <c r="H129" s="222"/>
      <c r="I129" s="222"/>
      <c r="J129" s="222"/>
      <c r="K129" s="222"/>
      <c r="L129" s="222"/>
      <c r="M129" s="222"/>
    </row>
    <row r="130" spans="2:13" ht="12.75">
      <c r="B130" s="4"/>
      <c r="C130" s="4"/>
      <c r="D130" s="4"/>
      <c r="E130" s="222"/>
      <c r="F130" s="222"/>
      <c r="G130" s="222"/>
      <c r="H130" s="222"/>
      <c r="I130" s="222"/>
      <c r="J130" s="222"/>
      <c r="K130" s="222"/>
      <c r="L130" s="222"/>
      <c r="M130" s="222"/>
    </row>
    <row r="131" spans="2:13" ht="12.75">
      <c r="B131" s="4"/>
      <c r="C131" s="4"/>
      <c r="D131" s="4"/>
      <c r="E131" s="222"/>
      <c r="F131" s="222"/>
      <c r="G131" s="222"/>
      <c r="H131" s="222"/>
      <c r="I131" s="222"/>
      <c r="J131" s="222"/>
      <c r="K131" s="222"/>
      <c r="L131" s="222"/>
      <c r="M131" s="222"/>
    </row>
    <row r="132" spans="2:13" ht="12.75">
      <c r="B132" s="4"/>
      <c r="C132" s="4"/>
      <c r="D132" s="4"/>
      <c r="E132" s="222"/>
      <c r="F132" s="222"/>
      <c r="G132" s="222"/>
      <c r="H132" s="222"/>
      <c r="I132" s="222"/>
      <c r="J132" s="222"/>
      <c r="K132" s="222"/>
      <c r="L132" s="222"/>
      <c r="M132" s="222"/>
    </row>
    <row r="133" spans="2:13" ht="12.75">
      <c r="B133" s="4"/>
      <c r="C133" s="4"/>
      <c r="D133" s="4"/>
      <c r="E133" s="222"/>
      <c r="F133" s="222"/>
      <c r="G133" s="222"/>
      <c r="H133" s="222"/>
      <c r="I133" s="222"/>
      <c r="J133" s="222"/>
      <c r="K133" s="222"/>
      <c r="L133" s="222"/>
      <c r="M133" s="222"/>
    </row>
    <row r="134" spans="2:13" ht="12.75">
      <c r="B134" s="4"/>
      <c r="C134" s="4"/>
      <c r="D134" s="4"/>
      <c r="E134" s="222"/>
      <c r="F134" s="222"/>
      <c r="G134" s="222"/>
      <c r="H134" s="222"/>
      <c r="I134" s="222"/>
      <c r="J134" s="222"/>
      <c r="K134" s="222"/>
      <c r="L134" s="222"/>
      <c r="M134" s="222"/>
    </row>
    <row r="135" spans="2:13" ht="12.75">
      <c r="B135" s="4"/>
      <c r="C135" s="4"/>
      <c r="D135" s="4"/>
      <c r="E135" s="222"/>
      <c r="F135" s="222"/>
      <c r="G135" s="222"/>
      <c r="H135" s="222"/>
      <c r="I135" s="222"/>
      <c r="J135" s="222"/>
      <c r="K135" s="222"/>
      <c r="L135" s="222"/>
      <c r="M135" s="222"/>
    </row>
    <row r="136" spans="2:13" ht="12.75">
      <c r="B136" s="4"/>
      <c r="C136" s="4"/>
      <c r="D136" s="4"/>
      <c r="E136" s="222"/>
      <c r="F136" s="222"/>
      <c r="G136" s="222"/>
      <c r="H136" s="222"/>
      <c r="I136" s="222"/>
      <c r="J136" s="222"/>
      <c r="K136" s="222"/>
      <c r="L136" s="222"/>
      <c r="M136" s="222"/>
    </row>
    <row r="137" spans="2:13" ht="12.75">
      <c r="B137" s="4"/>
      <c r="C137" s="4"/>
      <c r="D137" s="4"/>
      <c r="E137" s="222"/>
      <c r="F137" s="222"/>
      <c r="G137" s="222"/>
      <c r="H137" s="222"/>
      <c r="I137" s="222"/>
      <c r="J137" s="222"/>
      <c r="K137" s="222"/>
      <c r="L137" s="222"/>
      <c r="M137" s="222"/>
    </row>
    <row r="138" spans="2:13" ht="12.75">
      <c r="B138" s="4"/>
      <c r="C138" s="4"/>
      <c r="D138" s="4"/>
      <c r="E138" s="222"/>
      <c r="F138" s="222"/>
      <c r="G138" s="222"/>
      <c r="H138" s="222"/>
      <c r="I138" s="222"/>
      <c r="J138" s="222"/>
      <c r="K138" s="222"/>
      <c r="L138" s="222"/>
      <c r="M138" s="222"/>
    </row>
    <row r="139" spans="2:13" ht="12.75">
      <c r="B139" s="4"/>
      <c r="C139" s="4"/>
      <c r="D139" s="4"/>
      <c r="E139" s="222"/>
      <c r="F139" s="222"/>
      <c r="G139" s="222"/>
      <c r="H139" s="222"/>
      <c r="I139" s="222"/>
      <c r="J139" s="222"/>
      <c r="K139" s="222"/>
      <c r="L139" s="222"/>
      <c r="M139" s="222"/>
    </row>
    <row r="140" spans="2:13" ht="12.75">
      <c r="B140" s="4"/>
      <c r="C140" s="4"/>
      <c r="D140" s="4"/>
      <c r="E140" s="222"/>
      <c r="F140" s="222"/>
      <c r="G140" s="222"/>
      <c r="H140" s="222"/>
      <c r="I140" s="222"/>
      <c r="J140" s="222"/>
      <c r="K140" s="222"/>
      <c r="L140" s="222"/>
      <c r="M140" s="222"/>
    </row>
    <row r="141" spans="2:13" ht="12.75">
      <c r="B141" s="4"/>
      <c r="C141" s="4"/>
      <c r="D141" s="4"/>
      <c r="E141" s="222"/>
      <c r="F141" s="222"/>
      <c r="G141" s="222"/>
      <c r="H141" s="222"/>
      <c r="I141" s="222"/>
      <c r="J141" s="222"/>
      <c r="K141" s="222"/>
      <c r="L141" s="222"/>
      <c r="M141" s="222"/>
    </row>
    <row r="142" spans="2:13" ht="12.75">
      <c r="B142" s="4"/>
      <c r="C142" s="4"/>
      <c r="D142" s="4"/>
      <c r="E142" s="222"/>
      <c r="F142" s="222"/>
      <c r="G142" s="222"/>
      <c r="H142" s="222"/>
      <c r="I142" s="222"/>
      <c r="J142" s="222"/>
      <c r="K142" s="222"/>
      <c r="L142" s="222"/>
      <c r="M142" s="222"/>
    </row>
    <row r="143" spans="2:13" ht="12.75">
      <c r="B143" s="4"/>
      <c r="C143" s="4"/>
      <c r="D143" s="4"/>
      <c r="E143" s="222"/>
      <c r="F143" s="222"/>
      <c r="G143" s="222"/>
      <c r="H143" s="222"/>
      <c r="I143" s="222"/>
      <c r="J143" s="222"/>
      <c r="K143" s="222"/>
      <c r="L143" s="222"/>
      <c r="M143" s="222"/>
    </row>
    <row r="144" spans="2:13" ht="12.75">
      <c r="B144" s="4"/>
      <c r="C144" s="4"/>
      <c r="D144" s="4"/>
      <c r="E144" s="222"/>
      <c r="F144" s="222"/>
      <c r="G144" s="222"/>
      <c r="H144" s="222"/>
      <c r="I144" s="222"/>
      <c r="J144" s="222"/>
      <c r="K144" s="222"/>
      <c r="L144" s="222"/>
      <c r="M144" s="222"/>
    </row>
    <row r="145" spans="2:13" ht="12.75">
      <c r="B145" s="4"/>
      <c r="C145" s="4"/>
      <c r="D145" s="4"/>
      <c r="E145" s="222"/>
      <c r="F145" s="222"/>
      <c r="G145" s="222"/>
      <c r="H145" s="222"/>
      <c r="I145" s="222"/>
      <c r="J145" s="222"/>
      <c r="K145" s="222"/>
      <c r="L145" s="222"/>
      <c r="M145" s="222"/>
    </row>
    <row r="146" spans="2:13" ht="12.75">
      <c r="B146" s="4"/>
      <c r="C146" s="4"/>
      <c r="D146" s="4"/>
      <c r="E146" s="222"/>
      <c r="F146" s="222"/>
      <c r="G146" s="222"/>
      <c r="H146" s="222"/>
      <c r="I146" s="222"/>
      <c r="J146" s="222"/>
      <c r="K146" s="222"/>
      <c r="L146" s="222"/>
      <c r="M146" s="222"/>
    </row>
    <row r="147" spans="2:13" ht="12.75">
      <c r="B147" s="4"/>
      <c r="C147" s="4"/>
      <c r="D147" s="4"/>
      <c r="E147" s="222"/>
      <c r="F147" s="222"/>
      <c r="G147" s="222"/>
      <c r="H147" s="222"/>
      <c r="I147" s="222"/>
      <c r="J147" s="222"/>
      <c r="K147" s="222"/>
      <c r="L147" s="222"/>
      <c r="M147" s="222"/>
    </row>
    <row r="148" spans="2:13" ht="12.75">
      <c r="B148" s="4"/>
      <c r="C148" s="4"/>
      <c r="D148" s="4"/>
      <c r="E148" s="222"/>
      <c r="F148" s="222"/>
      <c r="G148" s="222"/>
      <c r="H148" s="222"/>
      <c r="I148" s="222"/>
      <c r="J148" s="222"/>
      <c r="K148" s="222"/>
      <c r="L148" s="222"/>
      <c r="M148" s="222"/>
    </row>
    <row r="149" spans="2:13" ht="12.75">
      <c r="B149" s="4"/>
      <c r="C149" s="4"/>
      <c r="D149" s="4"/>
      <c r="E149" s="222"/>
      <c r="F149" s="222"/>
      <c r="G149" s="222"/>
      <c r="H149" s="222"/>
      <c r="I149" s="222"/>
      <c r="J149" s="222"/>
      <c r="K149" s="222"/>
      <c r="L149" s="222"/>
      <c r="M149" s="222"/>
    </row>
    <row r="150" spans="2:13" ht="12.75">
      <c r="B150" s="4"/>
      <c r="C150" s="4"/>
      <c r="D150" s="4"/>
      <c r="E150" s="222"/>
      <c r="F150" s="222"/>
      <c r="G150" s="222"/>
      <c r="H150" s="222"/>
      <c r="I150" s="222"/>
      <c r="J150" s="222"/>
      <c r="K150" s="222"/>
      <c r="L150" s="222"/>
      <c r="M150" s="222"/>
    </row>
    <row r="151" spans="2:13" ht="12.75">
      <c r="B151" s="4"/>
      <c r="C151" s="4"/>
      <c r="D151" s="4"/>
      <c r="E151" s="222"/>
      <c r="F151" s="222"/>
      <c r="G151" s="222"/>
      <c r="H151" s="222"/>
      <c r="I151" s="222"/>
      <c r="J151" s="222"/>
      <c r="K151" s="222"/>
      <c r="L151" s="222"/>
      <c r="M151" s="222"/>
    </row>
    <row r="152" spans="2:13" ht="12.75">
      <c r="B152" s="4"/>
      <c r="C152" s="4"/>
      <c r="D152" s="4"/>
      <c r="E152" s="222"/>
      <c r="F152" s="222"/>
      <c r="G152" s="222"/>
      <c r="H152" s="222"/>
      <c r="I152" s="222"/>
      <c r="J152" s="222"/>
      <c r="K152" s="222"/>
      <c r="L152" s="222"/>
      <c r="M152" s="222"/>
    </row>
    <row r="153" spans="2:13" ht="12.75">
      <c r="B153" s="4"/>
      <c r="C153" s="4"/>
      <c r="D153" s="4"/>
      <c r="E153" s="222"/>
      <c r="F153" s="222"/>
      <c r="G153" s="222"/>
      <c r="H153" s="222"/>
      <c r="I153" s="222"/>
      <c r="J153" s="222"/>
      <c r="K153" s="222"/>
      <c r="L153" s="222"/>
      <c r="M153" s="222"/>
    </row>
    <row r="154" spans="2:13" ht="12.75">
      <c r="B154" s="4"/>
      <c r="C154" s="4"/>
      <c r="D154" s="4"/>
      <c r="E154" s="222"/>
      <c r="F154" s="222"/>
      <c r="G154" s="222"/>
      <c r="H154" s="222"/>
      <c r="I154" s="222"/>
      <c r="J154" s="222"/>
      <c r="K154" s="222"/>
      <c r="L154" s="222"/>
      <c r="M154" s="222"/>
    </row>
    <row r="155" spans="2:13" ht="12.75">
      <c r="B155" s="4"/>
      <c r="C155" s="4"/>
      <c r="D155" s="4"/>
      <c r="E155" s="222"/>
      <c r="F155" s="222"/>
      <c r="G155" s="222"/>
      <c r="H155" s="222"/>
      <c r="I155" s="222"/>
      <c r="J155" s="222"/>
      <c r="K155" s="222"/>
      <c r="L155" s="222"/>
      <c r="M155" s="222"/>
    </row>
    <row r="156" spans="2:13" ht="12.75">
      <c r="B156" s="4"/>
      <c r="C156" s="4"/>
      <c r="D156" s="4"/>
      <c r="E156" s="222"/>
      <c r="F156" s="222"/>
      <c r="G156" s="222"/>
      <c r="H156" s="222"/>
      <c r="I156" s="222"/>
      <c r="J156" s="222"/>
      <c r="K156" s="222"/>
      <c r="L156" s="222"/>
      <c r="M156" s="222"/>
    </row>
    <row r="157" spans="2:13" ht="12.75">
      <c r="B157" s="4"/>
      <c r="C157" s="4"/>
      <c r="D157" s="4"/>
      <c r="E157" s="222"/>
      <c r="F157" s="222"/>
      <c r="G157" s="222"/>
      <c r="H157" s="222"/>
      <c r="I157" s="222"/>
      <c r="J157" s="222"/>
      <c r="K157" s="222"/>
      <c r="L157" s="222"/>
      <c r="M157" s="222"/>
    </row>
    <row r="158" spans="2:13" ht="12.75">
      <c r="B158" s="4"/>
      <c r="C158" s="4"/>
      <c r="D158" s="4"/>
      <c r="E158" s="222"/>
      <c r="F158" s="222"/>
      <c r="G158" s="222"/>
      <c r="H158" s="222"/>
      <c r="I158" s="222"/>
      <c r="J158" s="222"/>
      <c r="K158" s="222"/>
      <c r="L158" s="222"/>
      <c r="M158" s="222"/>
    </row>
    <row r="159" spans="2:13" ht="12.75">
      <c r="B159" s="4"/>
      <c r="C159" s="4"/>
      <c r="D159" s="4"/>
      <c r="E159" s="222"/>
      <c r="F159" s="222"/>
      <c r="G159" s="222"/>
      <c r="H159" s="222"/>
      <c r="I159" s="222"/>
      <c r="J159" s="222"/>
      <c r="K159" s="222"/>
      <c r="L159" s="222"/>
      <c r="M159" s="222"/>
    </row>
    <row r="160" spans="2:13" ht="12.75">
      <c r="B160" s="4"/>
      <c r="C160" s="4"/>
      <c r="D160" s="4"/>
      <c r="E160" s="222"/>
      <c r="F160" s="222"/>
      <c r="G160" s="222"/>
      <c r="H160" s="222"/>
      <c r="I160" s="222"/>
      <c r="J160" s="222"/>
      <c r="K160" s="222"/>
      <c r="L160" s="222"/>
      <c r="M160" s="222"/>
    </row>
    <row r="161" spans="2:13" ht="12.75">
      <c r="B161" s="4"/>
      <c r="C161" s="4"/>
      <c r="D161" s="4"/>
      <c r="E161" s="222"/>
      <c r="F161" s="222"/>
      <c r="G161" s="222"/>
      <c r="H161" s="222"/>
      <c r="I161" s="222"/>
      <c r="J161" s="222"/>
      <c r="K161" s="222"/>
      <c r="L161" s="222"/>
      <c r="M161" s="222"/>
    </row>
    <row r="162" spans="2:13" ht="12.75">
      <c r="B162" s="4"/>
      <c r="C162" s="4"/>
      <c r="D162" s="4"/>
      <c r="E162" s="222"/>
      <c r="F162" s="222"/>
      <c r="G162" s="222"/>
      <c r="H162" s="222"/>
      <c r="I162" s="222"/>
      <c r="J162" s="222"/>
      <c r="K162" s="222"/>
      <c r="L162" s="222"/>
      <c r="M162" s="222"/>
    </row>
    <row r="163" spans="2:13" ht="12.75">
      <c r="B163" s="4"/>
      <c r="C163" s="4"/>
      <c r="D163" s="4"/>
      <c r="E163" s="222"/>
      <c r="F163" s="222"/>
      <c r="G163" s="222"/>
      <c r="H163" s="222"/>
      <c r="I163" s="222"/>
      <c r="J163" s="222"/>
      <c r="K163" s="222"/>
      <c r="L163" s="222"/>
      <c r="M163" s="222"/>
    </row>
    <row r="164" spans="2:13" ht="12.75">
      <c r="B164" s="4"/>
      <c r="C164" s="4"/>
      <c r="D164" s="4"/>
      <c r="E164" s="222"/>
      <c r="F164" s="222"/>
      <c r="G164" s="222"/>
      <c r="H164" s="222"/>
      <c r="I164" s="222"/>
      <c r="J164" s="222"/>
      <c r="K164" s="222"/>
      <c r="L164" s="222"/>
      <c r="M164" s="222"/>
    </row>
    <row r="165" spans="2:13" ht="12.75">
      <c r="B165" s="4"/>
      <c r="C165" s="4"/>
      <c r="D165" s="4"/>
      <c r="E165" s="222"/>
      <c r="F165" s="222"/>
      <c r="G165" s="222"/>
      <c r="H165" s="222"/>
      <c r="I165" s="222"/>
      <c r="J165" s="222"/>
      <c r="K165" s="222"/>
      <c r="L165" s="222"/>
      <c r="M165" s="222"/>
    </row>
    <row r="166" spans="2:13" ht="12.75">
      <c r="B166" s="4"/>
      <c r="C166" s="4"/>
      <c r="D166" s="4"/>
      <c r="E166" s="222"/>
      <c r="F166" s="222"/>
      <c r="G166" s="222"/>
      <c r="H166" s="222"/>
      <c r="I166" s="222"/>
      <c r="J166" s="222"/>
      <c r="K166" s="222"/>
      <c r="L166" s="222"/>
      <c r="M166" s="222"/>
    </row>
    <row r="201" spans="17:18" ht="12.75">
      <c r="Q201" t="s">
        <v>363</v>
      </c>
      <c r="R201" s="490">
        <v>0.84</v>
      </c>
    </row>
    <row r="202" spans="17:18" ht="12.75">
      <c r="Q202" t="s">
        <v>364</v>
      </c>
      <c r="R202" s="490">
        <v>0.94</v>
      </c>
    </row>
    <row r="203" spans="17:18" ht="12.75">
      <c r="Q203" t="s">
        <v>365</v>
      </c>
      <c r="R203" s="490">
        <v>0.89</v>
      </c>
    </row>
    <row r="204" spans="17:18" ht="12.75">
      <c r="Q204" t="s">
        <v>366</v>
      </c>
      <c r="R204" s="490">
        <v>0.93</v>
      </c>
    </row>
    <row r="205" spans="17:18" ht="12.75">
      <c r="Q205" t="s">
        <v>367</v>
      </c>
      <c r="R205" s="490">
        <v>0.88</v>
      </c>
    </row>
    <row r="206" spans="17:18" ht="12.75">
      <c r="Q206" t="s">
        <v>368</v>
      </c>
      <c r="R206" s="490">
        <v>0.92</v>
      </c>
    </row>
    <row r="207" spans="17:18" ht="12.75">
      <c r="Q207" t="s">
        <v>369</v>
      </c>
      <c r="R207" s="490">
        <v>0.93</v>
      </c>
    </row>
    <row r="208" spans="17:18" ht="12.75">
      <c r="Q208" t="s">
        <v>370</v>
      </c>
      <c r="R208" s="490">
        <v>0.91</v>
      </c>
    </row>
    <row r="209" spans="17:18" ht="12.75">
      <c r="Q209" t="s">
        <v>371</v>
      </c>
      <c r="R209" s="490">
        <v>0.72</v>
      </c>
    </row>
    <row r="210" spans="17:18" ht="12.75">
      <c r="Q210" t="s">
        <v>372</v>
      </c>
      <c r="R210" s="490">
        <v>0.86</v>
      </c>
    </row>
    <row r="211" spans="17:18" ht="12.75">
      <c r="Q211" t="s">
        <v>373</v>
      </c>
      <c r="R211" s="490">
        <v>0.54</v>
      </c>
    </row>
    <row r="212" spans="17:18" ht="12.75">
      <c r="Q212" t="s">
        <v>374</v>
      </c>
      <c r="R212" s="490">
        <v>0.44</v>
      </c>
    </row>
    <row r="213" spans="17:18" ht="12.75">
      <c r="Q213" t="s">
        <v>375</v>
      </c>
      <c r="R213" s="490">
        <v>0.78</v>
      </c>
    </row>
    <row r="214" spans="17:18" ht="12.75">
      <c r="Q214" t="s">
        <v>376</v>
      </c>
      <c r="R214" s="490">
        <v>0.72</v>
      </c>
    </row>
    <row r="215" spans="17:18" ht="12.75">
      <c r="Q215" t="s">
        <v>377</v>
      </c>
      <c r="R215" s="490">
        <v>0.93</v>
      </c>
    </row>
    <row r="216" spans="17:18" ht="12.75">
      <c r="Q216" t="s">
        <v>378</v>
      </c>
      <c r="R216" s="490">
        <v>0.94</v>
      </c>
    </row>
    <row r="217" spans="17:18" ht="12.75">
      <c r="Q217" t="s">
        <v>379</v>
      </c>
      <c r="R217" s="490">
        <v>0.66</v>
      </c>
    </row>
    <row r="218" spans="17:18" ht="12.75">
      <c r="Q218" t="s">
        <v>380</v>
      </c>
      <c r="R218" s="490">
        <v>0.44</v>
      </c>
    </row>
    <row r="219" spans="17:18" ht="12.75">
      <c r="Q219" s="491" t="s">
        <v>381</v>
      </c>
      <c r="R219" s="490">
        <v>0.83</v>
      </c>
    </row>
    <row r="305" ht="13.5" thickBot="1">
      <c r="B305" s="413" t="s">
        <v>221</v>
      </c>
    </row>
    <row r="306" ht="13.5" thickBot="1">
      <c r="B306" s="413" t="s">
        <v>225</v>
      </c>
    </row>
  </sheetData>
  <sheetProtection password="C9A0" sheet="1"/>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AK231"/>
  <sheetViews>
    <sheetView zoomScale="70" zoomScaleNormal="70" zoomScalePageLayoutView="0" workbookViewId="0" topLeftCell="A1">
      <selection activeCell="L23" sqref="L23"/>
    </sheetView>
  </sheetViews>
  <sheetFormatPr defaultColWidth="9.140625" defaultRowHeight="12.75"/>
  <cols>
    <col min="1" max="1" width="76.00390625" style="0" customWidth="1"/>
    <col min="2" max="2" width="4.8515625" style="0" customWidth="1"/>
    <col min="3" max="6" width="17.140625" style="223"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50" customWidth="1"/>
    <col min="18" max="18" width="18.7109375" style="0" customWidth="1"/>
    <col min="19" max="19" width="3.421875" style="350" customWidth="1"/>
    <col min="20" max="20" width="18.7109375" style="0" customWidth="1"/>
    <col min="21" max="37" width="9.140625" style="4" customWidth="1"/>
  </cols>
  <sheetData>
    <row r="1" spans="1:19" ht="15.75" thickBot="1">
      <c r="A1" s="738" t="s">
        <v>409</v>
      </c>
      <c r="B1" s="12"/>
      <c r="C1" s="306"/>
      <c r="D1" s="306"/>
      <c r="E1" s="306"/>
      <c r="F1" s="306"/>
      <c r="G1" s="12"/>
      <c r="H1" s="12"/>
      <c r="I1" s="12"/>
      <c r="J1" s="13"/>
      <c r="K1" s="13"/>
      <c r="L1" s="13"/>
      <c r="M1" s="13"/>
      <c r="N1" s="13"/>
      <c r="O1" s="13"/>
      <c r="P1" s="13"/>
      <c r="Q1" s="336"/>
      <c r="R1" s="14"/>
      <c r="S1" s="354"/>
    </row>
    <row r="2" spans="1:19" ht="22.5" customHeight="1" thickBot="1">
      <c r="A2" s="831" t="s">
        <v>719</v>
      </c>
      <c r="B2" s="15"/>
      <c r="C2" s="307"/>
      <c r="D2" s="307"/>
      <c r="E2" s="307"/>
      <c r="F2" s="307"/>
      <c r="G2" s="15"/>
      <c r="H2" s="15"/>
      <c r="I2" s="15"/>
      <c r="J2" s="16"/>
      <c r="K2" s="16"/>
      <c r="L2" s="16"/>
      <c r="M2" s="16"/>
      <c r="N2" s="16"/>
      <c r="O2" s="16"/>
      <c r="P2" s="16"/>
      <c r="Q2" s="337"/>
      <c r="R2" s="14"/>
      <c r="S2" s="354"/>
    </row>
    <row r="3" spans="1:19" ht="15">
      <c r="A3" s="15"/>
      <c r="B3" s="15"/>
      <c r="C3" s="307"/>
      <c r="D3" s="307"/>
      <c r="E3" s="307"/>
      <c r="F3" s="307"/>
      <c r="G3" s="15"/>
      <c r="H3" s="15"/>
      <c r="I3" s="15"/>
      <c r="J3" s="17"/>
      <c r="K3" s="17"/>
      <c r="L3" s="17"/>
      <c r="M3" s="17"/>
      <c r="N3" s="17"/>
      <c r="O3" s="17"/>
      <c r="P3" s="17"/>
      <c r="Q3" s="338"/>
      <c r="R3" s="18"/>
      <c r="S3" s="355"/>
    </row>
    <row r="4" spans="1:19" ht="15.75">
      <c r="A4" s="339"/>
      <c r="B4" s="20"/>
      <c r="C4" s="20"/>
      <c r="D4" s="20"/>
      <c r="E4" s="20"/>
      <c r="F4" s="20"/>
      <c r="G4" s="20"/>
      <c r="H4" s="20"/>
      <c r="I4" s="20"/>
      <c r="J4" s="20"/>
      <c r="K4" s="20"/>
      <c r="L4" s="20"/>
      <c r="M4" s="20"/>
      <c r="N4" s="20"/>
      <c r="O4" s="19"/>
      <c r="P4" s="19"/>
      <c r="Q4" s="339"/>
      <c r="R4" s="19"/>
      <c r="S4" s="354"/>
    </row>
    <row r="5" spans="1:19" ht="23.25">
      <c r="A5" s="991"/>
      <c r="B5" s="9"/>
      <c r="C5" s="308"/>
      <c r="D5" s="308"/>
      <c r="E5" s="308"/>
      <c r="F5" s="308"/>
      <c r="G5" s="9"/>
      <c r="H5" s="9"/>
      <c r="I5" s="9"/>
      <c r="J5" s="10"/>
      <c r="K5" s="10"/>
      <c r="L5" s="10"/>
      <c r="M5" s="10"/>
      <c r="N5" s="10"/>
      <c r="O5" s="10"/>
      <c r="P5" s="10"/>
      <c r="Q5" s="340"/>
      <c r="R5" s="21"/>
      <c r="S5" s="341"/>
    </row>
    <row r="6" spans="1:9" ht="16.5" customHeight="1" thickBot="1">
      <c r="A6" s="21"/>
      <c r="B6" s="21"/>
      <c r="C6" s="309"/>
      <c r="D6" s="309"/>
      <c r="E6" s="309"/>
      <c r="F6" s="309"/>
      <c r="G6" s="21"/>
      <c r="H6" s="21"/>
      <c r="I6" s="21"/>
    </row>
    <row r="7" spans="1:10" ht="30" customHeight="1" thickBot="1">
      <c r="A7" s="72"/>
      <c r="B7" s="70"/>
      <c r="C7" s="1168" t="s">
        <v>228</v>
      </c>
      <c r="D7" s="1171" t="s">
        <v>230</v>
      </c>
      <c r="E7" s="1174" t="s">
        <v>246</v>
      </c>
      <c r="F7" s="1174" t="s">
        <v>245</v>
      </c>
      <c r="G7" s="70"/>
      <c r="H7" s="1177" t="s">
        <v>233</v>
      </c>
      <c r="I7" s="70"/>
      <c r="J7" s="1183" t="s">
        <v>546</v>
      </c>
    </row>
    <row r="8" spans="1:22" ht="31.5" customHeight="1" thickBot="1">
      <c r="A8" s="2"/>
      <c r="B8" s="70"/>
      <c r="C8" s="1169"/>
      <c r="D8" s="1172"/>
      <c r="E8" s="1175"/>
      <c r="F8" s="1175"/>
      <c r="G8" s="70"/>
      <c r="H8" s="1178"/>
      <c r="I8" s="70"/>
      <c r="J8" s="1184"/>
      <c r="K8" s="21"/>
      <c r="L8" s="1180" t="s">
        <v>191</v>
      </c>
      <c r="M8" s="1181"/>
      <c r="N8" s="1181"/>
      <c r="O8" s="1181"/>
      <c r="P8" s="1181"/>
      <c r="Q8" s="1181"/>
      <c r="R8" s="1181"/>
      <c r="S8" s="1181"/>
      <c r="T8" s="1182"/>
      <c r="V8" s="114"/>
    </row>
    <row r="9" spans="1:20" ht="23.25" thickBot="1">
      <c r="A9" s="303" t="s">
        <v>198</v>
      </c>
      <c r="B9" s="2"/>
      <c r="C9" s="1170"/>
      <c r="D9" s="1173"/>
      <c r="E9" s="1176"/>
      <c r="F9" s="1176"/>
      <c r="G9" s="2"/>
      <c r="H9" s="1179"/>
      <c r="I9" s="2"/>
      <c r="J9" s="843">
        <v>2015</v>
      </c>
      <c r="K9" s="70"/>
      <c r="L9" s="377">
        <f>J9+1</f>
        <v>2016</v>
      </c>
      <c r="M9" s="342"/>
      <c r="N9" s="377">
        <f>L9+1</f>
        <v>2017</v>
      </c>
      <c r="O9" s="342"/>
      <c r="P9" s="377">
        <f>N9+1</f>
        <v>2018</v>
      </c>
      <c r="Q9" s="342"/>
      <c r="R9" s="377">
        <f>P9+1</f>
        <v>2019</v>
      </c>
      <c r="S9" s="356"/>
      <c r="T9" s="377">
        <f>R9+1</f>
        <v>2020</v>
      </c>
    </row>
    <row r="10" spans="1:20" ht="18.75" thickBot="1">
      <c r="A10" s="473" t="s">
        <v>90</v>
      </c>
      <c r="B10" s="24"/>
      <c r="C10" s="512" t="s">
        <v>229</v>
      </c>
      <c r="D10" s="512" t="s">
        <v>229</v>
      </c>
      <c r="E10" s="512" t="s">
        <v>229</v>
      </c>
      <c r="F10" s="512" t="s">
        <v>229</v>
      </c>
      <c r="G10" s="24"/>
      <c r="H10" s="361"/>
      <c r="I10" s="24"/>
      <c r="J10" s="378">
        <v>0</v>
      </c>
      <c r="K10" s="71"/>
      <c r="L10" s="378">
        <f>'Revenues-Per Capita &amp; SPED'!C50</f>
        <v>0</v>
      </c>
      <c r="N10" s="378">
        <f>'Revenues-Per Capita &amp; SPED'!J50</f>
        <v>0</v>
      </c>
      <c r="P10" s="378">
        <f>'Revenues-Per Capita &amp; SPED'!Q50</f>
        <v>0</v>
      </c>
      <c r="R10" s="378">
        <f>'Revenues-Per Capita &amp; SPED'!X50</f>
        <v>0</v>
      </c>
      <c r="T10" s="378">
        <f>'Revenues-Per Capita &amp; SPED'!AE50</f>
        <v>0</v>
      </c>
    </row>
    <row r="11" spans="1:20" ht="16.5" thickBot="1">
      <c r="A11" s="474" t="s">
        <v>91</v>
      </c>
      <c r="B11" s="24"/>
      <c r="C11" s="512" t="s">
        <v>229</v>
      </c>
      <c r="D11" s="512" t="s">
        <v>229</v>
      </c>
      <c r="E11" s="512" t="s">
        <v>229</v>
      </c>
      <c r="F11" s="512" t="s">
        <v>229</v>
      </c>
      <c r="G11" s="24"/>
      <c r="H11" s="361"/>
      <c r="I11" s="24"/>
      <c r="J11" s="378">
        <v>0</v>
      </c>
      <c r="K11" s="25"/>
      <c r="L11" s="378">
        <f>'Revenues-Per Capita &amp; SPED'!C86</f>
        <v>0</v>
      </c>
      <c r="M11" s="26"/>
      <c r="N11" s="378">
        <f>'Revenues-Per Capita &amp; SPED'!J86</f>
        <v>0</v>
      </c>
      <c r="O11" s="26"/>
      <c r="P11" s="378">
        <f>'Revenues-Per Capita &amp; SPED'!Q86</f>
        <v>0</v>
      </c>
      <c r="Q11" s="343"/>
      <c r="R11" s="378">
        <f>'Revenues-Per Capita &amp; SPED'!X86</f>
        <v>0</v>
      </c>
      <c r="S11" s="357"/>
      <c r="T11" s="378">
        <f>'Revenues-Per Capita &amp; SPED'!AE86</f>
        <v>0</v>
      </c>
    </row>
    <row r="12" spans="1:20" ht="32.25" thickBot="1">
      <c r="A12" s="475" t="s">
        <v>334</v>
      </c>
      <c r="B12" s="24"/>
      <c r="C12" s="512" t="s">
        <v>229</v>
      </c>
      <c r="D12" s="512" t="s">
        <v>229</v>
      </c>
      <c r="E12" s="512" t="s">
        <v>229</v>
      </c>
      <c r="F12" s="512" t="s">
        <v>229</v>
      </c>
      <c r="G12" s="24"/>
      <c r="H12" s="361"/>
      <c r="I12" s="24"/>
      <c r="J12" s="378">
        <v>0</v>
      </c>
      <c r="K12" s="25"/>
      <c r="L12" s="378">
        <f>'Revenues-Per Capita &amp; SPED'!C118</f>
        <v>0</v>
      </c>
      <c r="M12" s="26"/>
      <c r="N12" s="378">
        <f>'Revenues-Per Capita &amp; SPED'!J118</f>
        <v>0</v>
      </c>
      <c r="O12" s="26"/>
      <c r="P12" s="378">
        <v>0</v>
      </c>
      <c r="Q12" s="343"/>
      <c r="R12" s="378">
        <v>0</v>
      </c>
      <c r="S12" s="357"/>
      <c r="T12" s="378">
        <v>0</v>
      </c>
    </row>
    <row r="13" spans="1:20" ht="16.5" thickBot="1">
      <c r="A13" s="474" t="s">
        <v>92</v>
      </c>
      <c r="B13" s="24"/>
      <c r="C13" s="512" t="s">
        <v>229</v>
      </c>
      <c r="D13" s="512" t="s">
        <v>229</v>
      </c>
      <c r="E13" s="512" t="s">
        <v>229</v>
      </c>
      <c r="F13" s="512" t="s">
        <v>229</v>
      </c>
      <c r="G13" s="24"/>
      <c r="H13" s="361"/>
      <c r="I13" s="24"/>
      <c r="J13" s="378">
        <v>0</v>
      </c>
      <c r="K13" s="25"/>
      <c r="L13" s="378">
        <f>'Revenues-Per Capita &amp; SPED'!C150</f>
        <v>973897.8520000001</v>
      </c>
      <c r="M13" s="26"/>
      <c r="N13" s="378">
        <f>'Revenues-Per Capita &amp; SPED'!J150</f>
        <v>1129932.788</v>
      </c>
      <c r="O13" s="26"/>
      <c r="P13" s="378">
        <f>'Revenues-Per Capita &amp; SPED'!Q150</f>
        <v>1282446.3960000002</v>
      </c>
      <c r="Q13" s="343"/>
      <c r="R13" s="378">
        <f>'Revenues-Per Capita &amp; SPED'!X150</f>
        <v>1282446.3960000002</v>
      </c>
      <c r="S13" s="357"/>
      <c r="T13" s="378">
        <f>'Revenues-Per Capita &amp; SPED'!AE150</f>
        <v>1282446.3960000002</v>
      </c>
    </row>
    <row r="14" spans="1:20" ht="16.5" thickBot="1">
      <c r="A14" s="474" t="s">
        <v>31</v>
      </c>
      <c r="B14" s="24"/>
      <c r="C14" s="512" t="s">
        <v>229</v>
      </c>
      <c r="D14" s="512" t="s">
        <v>229</v>
      </c>
      <c r="E14" s="512" t="s">
        <v>229</v>
      </c>
      <c r="F14" s="512" t="s">
        <v>229</v>
      </c>
      <c r="G14" s="24"/>
      <c r="H14" s="361"/>
      <c r="I14" s="24"/>
      <c r="J14" s="378">
        <v>0</v>
      </c>
      <c r="K14" s="25"/>
      <c r="L14" s="378">
        <v>125000</v>
      </c>
      <c r="M14" s="26"/>
      <c r="N14" s="378">
        <v>0</v>
      </c>
      <c r="O14" s="26"/>
      <c r="P14" s="378">
        <v>0</v>
      </c>
      <c r="Q14" s="343"/>
      <c r="R14" s="378">
        <v>0</v>
      </c>
      <c r="S14" s="357"/>
      <c r="T14" s="378">
        <v>0</v>
      </c>
    </row>
    <row r="15" spans="1:20" ht="16.5" thickBot="1">
      <c r="A15" s="474" t="s">
        <v>32</v>
      </c>
      <c r="B15" s="24"/>
      <c r="C15" s="512" t="s">
        <v>229</v>
      </c>
      <c r="D15" s="512" t="s">
        <v>229</v>
      </c>
      <c r="E15" s="512" t="s">
        <v>229</v>
      </c>
      <c r="F15" s="512" t="s">
        <v>229</v>
      </c>
      <c r="G15" s="24"/>
      <c r="H15" s="361"/>
      <c r="I15" s="24"/>
      <c r="J15" s="378">
        <v>0</v>
      </c>
      <c r="K15" s="25"/>
      <c r="L15" s="437">
        <f>'Revenues-Fed, State, &amp; Expan. '!E43</f>
        <v>125000</v>
      </c>
      <c r="M15" s="438"/>
      <c r="N15" s="437">
        <f>'Revenues-Fed, State, &amp; Expan. '!G43</f>
        <v>0</v>
      </c>
      <c r="O15" s="438"/>
      <c r="P15" s="437">
        <f>'Revenues-Fed, State, &amp; Expan. '!I43</f>
        <v>0</v>
      </c>
      <c r="Q15" s="439"/>
      <c r="R15" s="437">
        <f>'Revenues-Fed, State, &amp; Expan. '!K43</f>
        <v>0</v>
      </c>
      <c r="S15" s="440"/>
      <c r="T15" s="437">
        <f>'Revenues-Fed, State, &amp; Expan. '!M43</f>
        <v>0</v>
      </c>
    </row>
    <row r="16" spans="1:20" ht="16.5" thickBot="1">
      <c r="A16" s="474" t="s">
        <v>227</v>
      </c>
      <c r="B16" s="24"/>
      <c r="C16" s="512" t="s">
        <v>229</v>
      </c>
      <c r="D16" s="512" t="s">
        <v>229</v>
      </c>
      <c r="E16" s="512" t="s">
        <v>229</v>
      </c>
      <c r="F16" s="512" t="s">
        <v>229</v>
      </c>
      <c r="G16" s="24"/>
      <c r="H16" s="361"/>
      <c r="I16" s="24"/>
      <c r="J16" s="378">
        <v>0</v>
      </c>
      <c r="K16" s="25"/>
      <c r="L16" s="378">
        <f>'Revenues-Per Capita &amp; SPED'!C170</f>
        <v>93750</v>
      </c>
      <c r="M16" s="26"/>
      <c r="N16" s="378">
        <f>'Revenues-Per Capita &amp; SPED'!J170</f>
        <v>108750</v>
      </c>
      <c r="O16" s="26"/>
      <c r="P16" s="378">
        <f>'Revenues-Per Capita &amp; SPED'!Q170</f>
        <v>123750</v>
      </c>
      <c r="Q16" s="343"/>
      <c r="R16" s="378">
        <f>'Revenues-Per Capita &amp; SPED'!X170</f>
        <v>123750</v>
      </c>
      <c r="S16" s="357"/>
      <c r="T16" s="378">
        <f>'Revenues-Per Capita &amp; SPED'!AE170</f>
        <v>123750</v>
      </c>
    </row>
    <row r="17" spans="1:20" ht="16.5" thickBot="1">
      <c r="A17" s="474" t="s">
        <v>10</v>
      </c>
      <c r="B17" s="24"/>
      <c r="C17" s="512" t="s">
        <v>229</v>
      </c>
      <c r="D17" s="512" t="s">
        <v>229</v>
      </c>
      <c r="E17" s="512" t="s">
        <v>229</v>
      </c>
      <c r="F17" s="512" t="s">
        <v>229</v>
      </c>
      <c r="G17" s="24"/>
      <c r="H17" s="361"/>
      <c r="I17" s="24"/>
      <c r="J17" s="378">
        <v>0</v>
      </c>
      <c r="K17" s="25"/>
      <c r="L17" s="378">
        <f>'Revenues-Fed, State, &amp; Expan. '!E13</f>
        <v>82160</v>
      </c>
      <c r="M17" s="26"/>
      <c r="N17" s="378">
        <f>'Revenues-Fed, State, &amp; Expan. '!G13</f>
        <v>94800</v>
      </c>
      <c r="O17" s="26"/>
      <c r="P17" s="378">
        <f>'Revenues-Fed, State, &amp; Expan. '!I13</f>
        <v>108230</v>
      </c>
      <c r="Q17" s="343"/>
      <c r="R17" s="378">
        <f>'Revenues-Fed, State, &amp; Expan. '!K13</f>
        <v>108230</v>
      </c>
      <c r="S17" s="357"/>
      <c r="T17" s="378">
        <f>'Revenues-Fed, State, &amp; Expan. '!M13</f>
        <v>108230</v>
      </c>
    </row>
    <row r="18" spans="1:20" ht="16.5" thickBot="1">
      <c r="A18" s="474" t="s">
        <v>93</v>
      </c>
      <c r="B18" s="24"/>
      <c r="C18" s="512" t="s">
        <v>229</v>
      </c>
      <c r="D18" s="512" t="s">
        <v>229</v>
      </c>
      <c r="E18" s="512" t="s">
        <v>229</v>
      </c>
      <c r="F18" s="512" t="s">
        <v>229</v>
      </c>
      <c r="G18" s="24"/>
      <c r="H18" s="361"/>
      <c r="I18" s="24"/>
      <c r="J18" s="378">
        <v>0</v>
      </c>
      <c r="K18" s="25"/>
      <c r="L18" s="378">
        <f>'Revenues-Fed, State, &amp; Expan. '!E24</f>
        <v>40300</v>
      </c>
      <c r="M18" s="26"/>
      <c r="N18" s="378">
        <f>'Revenues-Fed, State, &amp; Expan. '!G24</f>
        <v>46800</v>
      </c>
      <c r="O18" s="26"/>
      <c r="P18" s="378">
        <f>'Revenues-Fed, State, &amp; Expan. '!I24</f>
        <v>53300</v>
      </c>
      <c r="Q18" s="343"/>
      <c r="R18" s="378">
        <f>'Revenues-Fed, State, &amp; Expan. '!K24</f>
        <v>53300</v>
      </c>
      <c r="S18" s="357"/>
      <c r="T18" s="378">
        <f>'Revenues-Fed, State, &amp; Expan. '!M24</f>
        <v>53300</v>
      </c>
    </row>
    <row r="19" spans="1:37" ht="16.5" thickBot="1">
      <c r="A19" s="474" t="s">
        <v>94</v>
      </c>
      <c r="B19" s="24"/>
      <c r="C19" s="512" t="s">
        <v>229</v>
      </c>
      <c r="D19" s="512" t="s">
        <v>229</v>
      </c>
      <c r="E19" s="512" t="s">
        <v>229</v>
      </c>
      <c r="F19" s="512" t="s">
        <v>229</v>
      </c>
      <c r="G19" s="24"/>
      <c r="H19" s="361"/>
      <c r="I19" s="24"/>
      <c r="J19" s="378">
        <v>0</v>
      </c>
      <c r="K19" s="25"/>
      <c r="L19" s="378">
        <f>'Revenues-Fed, State, &amp; Expan. '!E30</f>
        <v>8000</v>
      </c>
      <c r="M19" s="26"/>
      <c r="N19" s="378">
        <f>'Revenues-Fed, State, &amp; Expan. '!G30</f>
        <v>9280</v>
      </c>
      <c r="O19" s="26"/>
      <c r="P19" s="378">
        <f>'Revenues-Fed, State, &amp; Expan. '!I30</f>
        <v>10560</v>
      </c>
      <c r="Q19" s="343"/>
      <c r="R19" s="378">
        <f>'Revenues-Fed, State, &amp; Expan. '!K30</f>
        <v>10560</v>
      </c>
      <c r="S19" s="357"/>
      <c r="T19" s="378">
        <f>'Revenues-Fed, State, &amp; Expan. '!M30</f>
        <v>10560</v>
      </c>
      <c r="U19"/>
      <c r="V19"/>
      <c r="W19"/>
      <c r="X19"/>
      <c r="Y19"/>
      <c r="Z19"/>
      <c r="AA19"/>
      <c r="AB19"/>
      <c r="AC19"/>
      <c r="AD19"/>
      <c r="AE19"/>
      <c r="AF19"/>
      <c r="AG19"/>
      <c r="AH19"/>
      <c r="AI19"/>
      <c r="AJ19"/>
      <c r="AK19"/>
    </row>
    <row r="20" spans="1:37" ht="16.5" thickBot="1">
      <c r="A20" s="474" t="s">
        <v>11</v>
      </c>
      <c r="B20" s="24"/>
      <c r="C20" s="512" t="s">
        <v>229</v>
      </c>
      <c r="D20" s="512" t="s">
        <v>229</v>
      </c>
      <c r="E20" s="512" t="s">
        <v>229</v>
      </c>
      <c r="F20" s="512" t="s">
        <v>229</v>
      </c>
      <c r="G20" s="24"/>
      <c r="H20" s="361"/>
      <c r="I20" s="24"/>
      <c r="J20" s="378">
        <v>0</v>
      </c>
      <c r="K20" s="25"/>
      <c r="L20" s="378">
        <f>'Revenues-Fed, State, &amp; Expan. '!E70</f>
        <v>0</v>
      </c>
      <c r="M20" s="26"/>
      <c r="N20" s="378">
        <f>'Revenues-Fed, State, &amp; Expan. '!G70</f>
        <v>0</v>
      </c>
      <c r="O20" s="26"/>
      <c r="P20" s="378">
        <f>'Revenues-Fed, State, &amp; Expan. '!I70</f>
        <v>0</v>
      </c>
      <c r="Q20" s="343"/>
      <c r="R20" s="378">
        <f>'Revenues-Fed, State, &amp; Expan. '!K70</f>
        <v>0</v>
      </c>
      <c r="S20" s="357"/>
      <c r="T20" s="378">
        <f>'Revenues-Fed, State, &amp; Expan. '!M70</f>
        <v>0</v>
      </c>
      <c r="U20"/>
      <c r="V20"/>
      <c r="W20"/>
      <c r="X20"/>
      <c r="Y20"/>
      <c r="Z20"/>
      <c r="AA20"/>
      <c r="AB20"/>
      <c r="AC20"/>
      <c r="AD20"/>
      <c r="AE20"/>
      <c r="AF20"/>
      <c r="AG20"/>
      <c r="AH20"/>
      <c r="AI20"/>
      <c r="AJ20"/>
      <c r="AK20"/>
    </row>
    <row r="21" spans="1:37" ht="16.5" thickBot="1">
      <c r="A21" s="474" t="s">
        <v>95</v>
      </c>
      <c r="B21" s="24"/>
      <c r="C21" s="512" t="s">
        <v>229</v>
      </c>
      <c r="D21" s="512" t="s">
        <v>229</v>
      </c>
      <c r="E21" s="512" t="s">
        <v>229</v>
      </c>
      <c r="F21" s="512" t="s">
        <v>229</v>
      </c>
      <c r="G21" s="24"/>
      <c r="H21" s="361"/>
      <c r="I21" s="24"/>
      <c r="J21" s="378">
        <v>0</v>
      </c>
      <c r="K21" s="26"/>
      <c r="L21" s="378">
        <f>'Revenues-Per Capita &amp; SPED'!D236</f>
        <v>163288.5842571794</v>
      </c>
      <c r="M21" s="26"/>
      <c r="N21" s="378">
        <f>'Revenues-Per Capita &amp; SPED'!K236</f>
        <v>166512.10442539543</v>
      </c>
      <c r="O21" s="26"/>
      <c r="P21" s="378">
        <f>'Revenues-Per Capita &amp; SPED'!R236</f>
        <v>169804.7364780651</v>
      </c>
      <c r="Q21" s="343"/>
      <c r="R21" s="378">
        <f>'Revenues-Per Capita &amp; SPED'!Y236</f>
        <v>173200.8312076264</v>
      </c>
      <c r="S21" s="357"/>
      <c r="T21" s="378">
        <f>'Revenues-Per Capita &amp; SPED'!AF236</f>
        <v>176664.84783177893</v>
      </c>
      <c r="U21"/>
      <c r="V21"/>
      <c r="W21"/>
      <c r="X21"/>
      <c r="Y21"/>
      <c r="Z21"/>
      <c r="AA21"/>
      <c r="AB21"/>
      <c r="AC21"/>
      <c r="AD21"/>
      <c r="AE21"/>
      <c r="AF21"/>
      <c r="AG21"/>
      <c r="AH21"/>
      <c r="AI21"/>
      <c r="AJ21"/>
      <c r="AK21"/>
    </row>
    <row r="22" spans="1:37" ht="16.5" thickBot="1">
      <c r="A22" s="474" t="s">
        <v>410</v>
      </c>
      <c r="B22" s="24"/>
      <c r="C22" s="512" t="s">
        <v>229</v>
      </c>
      <c r="D22" s="512" t="s">
        <v>229</v>
      </c>
      <c r="E22" s="512" t="s">
        <v>229</v>
      </c>
      <c r="F22" s="512" t="s">
        <v>229</v>
      </c>
      <c r="G22" s="24"/>
      <c r="H22" s="361"/>
      <c r="I22" s="24"/>
      <c r="J22" s="378">
        <v>160000</v>
      </c>
      <c r="K22" s="26"/>
      <c r="L22" s="378">
        <v>0</v>
      </c>
      <c r="M22" s="26"/>
      <c r="N22" s="378">
        <v>0</v>
      </c>
      <c r="O22" s="26"/>
      <c r="P22" s="378">
        <v>0</v>
      </c>
      <c r="Q22" s="343"/>
      <c r="R22" s="378">
        <v>0</v>
      </c>
      <c r="S22" s="357"/>
      <c r="T22" s="378">
        <v>0</v>
      </c>
      <c r="U22"/>
      <c r="V22"/>
      <c r="W22"/>
      <c r="X22"/>
      <c r="Y22"/>
      <c r="Z22"/>
      <c r="AA22"/>
      <c r="AB22"/>
      <c r="AC22"/>
      <c r="AD22"/>
      <c r="AE22"/>
      <c r="AF22"/>
      <c r="AG22"/>
      <c r="AH22"/>
      <c r="AI22"/>
      <c r="AJ22"/>
      <c r="AK22"/>
    </row>
    <row r="23" spans="1:37" ht="32.25" thickBot="1">
      <c r="A23" s="474" t="s">
        <v>26</v>
      </c>
      <c r="B23" s="24"/>
      <c r="C23" s="512" t="s">
        <v>229</v>
      </c>
      <c r="D23" s="512" t="s">
        <v>229</v>
      </c>
      <c r="E23" s="512" t="s">
        <v>229</v>
      </c>
      <c r="F23" s="512" t="s">
        <v>229</v>
      </c>
      <c r="G23" s="24"/>
      <c r="H23" s="361" t="s">
        <v>651</v>
      </c>
      <c r="I23" s="24"/>
      <c r="J23" s="23">
        <f>Calculations!C10</f>
        <v>0</v>
      </c>
      <c r="K23" s="26"/>
      <c r="L23" s="23">
        <f>Calculations!F12</f>
        <v>260000</v>
      </c>
      <c r="M23" s="26"/>
      <c r="N23" s="23">
        <f>Calculations!G12</f>
        <v>85000</v>
      </c>
      <c r="O23" s="26"/>
      <c r="P23" s="23">
        <f>Calculations!H12</f>
        <v>85000</v>
      </c>
      <c r="Q23" s="343"/>
      <c r="R23" s="23">
        <f>Calculations!I12</f>
        <v>85000</v>
      </c>
      <c r="S23" s="357"/>
      <c r="T23" s="23">
        <f>Calculations!J12</f>
        <v>85000</v>
      </c>
      <c r="U23"/>
      <c r="V23"/>
      <c r="W23"/>
      <c r="X23"/>
      <c r="Y23"/>
      <c r="Z23"/>
      <c r="AA23"/>
      <c r="AB23"/>
      <c r="AC23"/>
      <c r="AD23"/>
      <c r="AE23"/>
      <c r="AF23"/>
      <c r="AG23"/>
      <c r="AH23"/>
      <c r="AI23"/>
      <c r="AJ23"/>
      <c r="AK23"/>
    </row>
    <row r="24" spans="1:37" ht="48" thickBot="1">
      <c r="A24" s="474" t="s">
        <v>8</v>
      </c>
      <c r="B24" s="24"/>
      <c r="C24" s="512" t="s">
        <v>229</v>
      </c>
      <c r="D24" s="512" t="s">
        <v>229</v>
      </c>
      <c r="E24" s="512" t="s">
        <v>229</v>
      </c>
      <c r="F24" s="512" t="s">
        <v>229</v>
      </c>
      <c r="G24" s="24"/>
      <c r="H24" s="361" t="s">
        <v>646</v>
      </c>
      <c r="I24" s="24"/>
      <c r="J24" s="23"/>
      <c r="K24" s="26"/>
      <c r="L24" s="23">
        <f>25*125</f>
        <v>3125</v>
      </c>
      <c r="M24" s="26"/>
      <c r="N24" s="23">
        <f>25*145</f>
        <v>3625</v>
      </c>
      <c r="O24" s="26"/>
      <c r="P24" s="23">
        <f>25*165</f>
        <v>4125</v>
      </c>
      <c r="Q24" s="343"/>
      <c r="R24" s="23">
        <f>25*165</f>
        <v>4125</v>
      </c>
      <c r="S24" s="357"/>
      <c r="T24" s="23">
        <f>25*165</f>
        <v>4125</v>
      </c>
      <c r="U24"/>
      <c r="V24"/>
      <c r="W24"/>
      <c r="X24"/>
      <c r="Y24"/>
      <c r="Z24"/>
      <c r="AA24"/>
      <c r="AB24"/>
      <c r="AC24"/>
      <c r="AD24"/>
      <c r="AE24"/>
      <c r="AF24"/>
      <c r="AG24"/>
      <c r="AH24"/>
      <c r="AI24"/>
      <c r="AJ24"/>
      <c r="AK24"/>
    </row>
    <row r="25" spans="1:37" ht="48" thickBot="1">
      <c r="A25" s="474" t="s">
        <v>55</v>
      </c>
      <c r="B25" s="24"/>
      <c r="C25" s="512" t="s">
        <v>229</v>
      </c>
      <c r="D25" s="512" t="s">
        <v>229</v>
      </c>
      <c r="E25" s="512" t="s">
        <v>229</v>
      </c>
      <c r="F25" s="512" t="s">
        <v>229</v>
      </c>
      <c r="G25" s="24"/>
      <c r="H25" s="361" t="s">
        <v>680</v>
      </c>
      <c r="I25" s="24"/>
      <c r="J25" s="23"/>
      <c r="K25" s="26"/>
      <c r="L25" s="23"/>
      <c r="M25" s="26"/>
      <c r="N25" s="23">
        <f>0.9*(N97+N106)</f>
        <v>27360</v>
      </c>
      <c r="O25" s="26"/>
      <c r="P25" s="23">
        <f>0.9*(P97+P106)</f>
        <v>23227.2</v>
      </c>
      <c r="Q25" s="343"/>
      <c r="R25" s="23">
        <f>0.9*(R97+R106)</f>
        <v>23601.744</v>
      </c>
      <c r="S25" s="357"/>
      <c r="T25" s="23">
        <f>0.9*(T97+T106)</f>
        <v>23983.778879999998</v>
      </c>
      <c r="U25"/>
      <c r="V25"/>
      <c r="W25"/>
      <c r="X25"/>
      <c r="Y25"/>
      <c r="Z25"/>
      <c r="AA25"/>
      <c r="AB25"/>
      <c r="AC25"/>
      <c r="AD25"/>
      <c r="AE25"/>
      <c r="AF25"/>
      <c r="AG25"/>
      <c r="AH25"/>
      <c r="AI25"/>
      <c r="AJ25"/>
      <c r="AK25"/>
    </row>
    <row r="26" spans="1:37" ht="16.5" thickBot="1">
      <c r="A26" s="474" t="s">
        <v>27</v>
      </c>
      <c r="B26" s="24"/>
      <c r="C26" s="512" t="s">
        <v>229</v>
      </c>
      <c r="D26" s="512" t="s">
        <v>229</v>
      </c>
      <c r="E26" s="512" t="s">
        <v>229</v>
      </c>
      <c r="F26" s="512" t="s">
        <v>229</v>
      </c>
      <c r="G26" s="24"/>
      <c r="H26" s="361"/>
      <c r="I26" s="24"/>
      <c r="J26" s="23"/>
      <c r="K26" s="26"/>
      <c r="L26" s="23"/>
      <c r="M26" s="26"/>
      <c r="N26" s="23"/>
      <c r="O26" s="26"/>
      <c r="P26" s="23"/>
      <c r="Q26" s="343"/>
      <c r="R26" s="23"/>
      <c r="S26" s="357"/>
      <c r="T26" s="23"/>
      <c r="U26"/>
      <c r="V26"/>
      <c r="W26"/>
      <c r="X26"/>
      <c r="Y26"/>
      <c r="Z26"/>
      <c r="AA26"/>
      <c r="AB26"/>
      <c r="AC26"/>
      <c r="AD26"/>
      <c r="AE26"/>
      <c r="AF26"/>
      <c r="AG26"/>
      <c r="AH26"/>
      <c r="AI26"/>
      <c r="AJ26"/>
      <c r="AK26"/>
    </row>
    <row r="27" spans="1:37" ht="16.5" thickBot="1">
      <c r="A27" s="474" t="s">
        <v>449</v>
      </c>
      <c r="B27" s="24"/>
      <c r="C27" s="512" t="s">
        <v>229</v>
      </c>
      <c r="D27" s="512" t="s">
        <v>229</v>
      </c>
      <c r="E27" s="512" t="s">
        <v>229</v>
      </c>
      <c r="F27" s="512" t="s">
        <v>229</v>
      </c>
      <c r="G27" s="24"/>
      <c r="H27" s="361"/>
      <c r="I27" s="24"/>
      <c r="J27" s="23"/>
      <c r="K27" s="26"/>
      <c r="L27" s="23"/>
      <c r="M27" s="26"/>
      <c r="N27" s="23"/>
      <c r="O27" s="26"/>
      <c r="P27" s="23"/>
      <c r="Q27" s="343"/>
      <c r="R27" s="23"/>
      <c r="S27" s="357"/>
      <c r="T27" s="23"/>
      <c r="U27"/>
      <c r="V27"/>
      <c r="W27"/>
      <c r="X27"/>
      <c r="Y27"/>
      <c r="Z27"/>
      <c r="AA27"/>
      <c r="AB27"/>
      <c r="AC27"/>
      <c r="AD27"/>
      <c r="AE27"/>
      <c r="AF27"/>
      <c r="AG27"/>
      <c r="AH27"/>
      <c r="AI27"/>
      <c r="AJ27"/>
      <c r="AK27"/>
    </row>
    <row r="28" spans="1:37" ht="48" thickBot="1">
      <c r="A28" s="163" t="s">
        <v>657</v>
      </c>
      <c r="B28" s="24"/>
      <c r="C28" s="512" t="s">
        <v>229</v>
      </c>
      <c r="D28" s="512" t="s">
        <v>229</v>
      </c>
      <c r="E28" s="512" t="s">
        <v>229</v>
      </c>
      <c r="F28" s="512" t="s">
        <v>229</v>
      </c>
      <c r="G28" s="24"/>
      <c r="H28" s="361" t="s">
        <v>658</v>
      </c>
      <c r="I28" s="24"/>
      <c r="J28" s="23"/>
      <c r="K28" s="26"/>
      <c r="L28" s="23">
        <f>L54/2</f>
        <v>37500</v>
      </c>
      <c r="M28" s="26"/>
      <c r="N28" s="23">
        <f>N54/2</f>
        <v>75000</v>
      </c>
      <c r="O28" s="26"/>
      <c r="P28" s="23">
        <v>0</v>
      </c>
      <c r="Q28" s="343"/>
      <c r="R28" s="23">
        <v>0</v>
      </c>
      <c r="S28" s="357"/>
      <c r="T28" s="23">
        <v>0</v>
      </c>
      <c r="U28"/>
      <c r="V28"/>
      <c r="W28"/>
      <c r="X28"/>
      <c r="Y28"/>
      <c r="Z28"/>
      <c r="AA28"/>
      <c r="AB28"/>
      <c r="AC28"/>
      <c r="AD28"/>
      <c r="AE28"/>
      <c r="AF28"/>
      <c r="AG28"/>
      <c r="AH28"/>
      <c r="AI28"/>
      <c r="AJ28"/>
      <c r="AK28"/>
    </row>
    <row r="29" spans="1:37" ht="16.5" thickBot="1">
      <c r="A29" s="163"/>
      <c r="B29" s="24"/>
      <c r="C29" s="512" t="s">
        <v>229</v>
      </c>
      <c r="D29" s="512" t="s">
        <v>229</v>
      </c>
      <c r="E29" s="512" t="s">
        <v>229</v>
      </c>
      <c r="F29" s="512" t="s">
        <v>229</v>
      </c>
      <c r="G29" s="24"/>
      <c r="H29" s="361"/>
      <c r="I29" s="24"/>
      <c r="J29" s="23"/>
      <c r="K29" s="26"/>
      <c r="L29" s="23"/>
      <c r="M29" s="26"/>
      <c r="N29" s="23"/>
      <c r="O29" s="26"/>
      <c r="P29" s="23"/>
      <c r="Q29" s="343"/>
      <c r="R29" s="23"/>
      <c r="S29" s="357"/>
      <c r="T29" s="23"/>
      <c r="U29"/>
      <c r="V29"/>
      <c r="W29"/>
      <c r="X29"/>
      <c r="Y29"/>
      <c r="Z29"/>
      <c r="AA29"/>
      <c r="AB29"/>
      <c r="AC29"/>
      <c r="AD29"/>
      <c r="AE29"/>
      <c r="AF29"/>
      <c r="AG29"/>
      <c r="AH29"/>
      <c r="AI29"/>
      <c r="AJ29"/>
      <c r="AK29"/>
    </row>
    <row r="30" spans="1:37" ht="16.5" thickBot="1">
      <c r="A30" s="163"/>
      <c r="B30" s="24"/>
      <c r="C30" s="512" t="s">
        <v>229</v>
      </c>
      <c r="D30" s="512" t="s">
        <v>229</v>
      </c>
      <c r="E30" s="512" t="s">
        <v>229</v>
      </c>
      <c r="F30" s="512" t="s">
        <v>229</v>
      </c>
      <c r="G30" s="24"/>
      <c r="H30" s="361"/>
      <c r="I30" s="24"/>
      <c r="J30" s="23"/>
      <c r="K30" s="26"/>
      <c r="L30" s="23"/>
      <c r="M30" s="26"/>
      <c r="N30" s="23"/>
      <c r="O30" s="26"/>
      <c r="P30" s="23"/>
      <c r="Q30" s="343"/>
      <c r="R30" s="23"/>
      <c r="S30" s="357"/>
      <c r="T30" s="23"/>
      <c r="U30"/>
      <c r="V30"/>
      <c r="W30"/>
      <c r="X30"/>
      <c r="Y30"/>
      <c r="Z30"/>
      <c r="AA30"/>
      <c r="AB30"/>
      <c r="AC30"/>
      <c r="AD30"/>
      <c r="AE30"/>
      <c r="AF30"/>
      <c r="AG30"/>
      <c r="AH30"/>
      <c r="AI30"/>
      <c r="AJ30"/>
      <c r="AK30"/>
    </row>
    <row r="31" spans="1:37" ht="16.5" thickBot="1">
      <c r="A31" s="163"/>
      <c r="B31" s="28"/>
      <c r="C31" s="512" t="s">
        <v>229</v>
      </c>
      <c r="D31" s="512" t="s">
        <v>229</v>
      </c>
      <c r="E31" s="512" t="s">
        <v>229</v>
      </c>
      <c r="F31" s="512" t="s">
        <v>229</v>
      </c>
      <c r="G31" s="28"/>
      <c r="H31" s="361"/>
      <c r="I31" s="28"/>
      <c r="J31" s="23"/>
      <c r="K31" s="26"/>
      <c r="L31" s="23"/>
      <c r="M31" s="26"/>
      <c r="N31" s="23"/>
      <c r="O31" s="26"/>
      <c r="P31" s="23"/>
      <c r="Q31" s="343"/>
      <c r="R31" s="23"/>
      <c r="S31" s="358"/>
      <c r="T31" s="23"/>
      <c r="U31"/>
      <c r="V31"/>
      <c r="W31"/>
      <c r="X31"/>
      <c r="Y31"/>
      <c r="Z31"/>
      <c r="AA31"/>
      <c r="AB31"/>
      <c r="AC31"/>
      <c r="AD31"/>
      <c r="AE31"/>
      <c r="AF31"/>
      <c r="AG31"/>
      <c r="AH31"/>
      <c r="AI31"/>
      <c r="AJ31"/>
      <c r="AK31"/>
    </row>
    <row r="32" spans="1:37" ht="16.5" thickBot="1">
      <c r="A32" s="163"/>
      <c r="B32" s="28"/>
      <c r="C32" s="512" t="s">
        <v>229</v>
      </c>
      <c r="D32" s="512" t="s">
        <v>229</v>
      </c>
      <c r="E32" s="512" t="s">
        <v>229</v>
      </c>
      <c r="F32" s="512" t="s">
        <v>229</v>
      </c>
      <c r="G32" s="28"/>
      <c r="H32" s="361"/>
      <c r="I32" s="28"/>
      <c r="J32" s="23"/>
      <c r="K32" s="26"/>
      <c r="L32" s="23"/>
      <c r="M32" s="26"/>
      <c r="N32" s="23"/>
      <c r="O32" s="26"/>
      <c r="P32" s="23"/>
      <c r="Q32" s="343"/>
      <c r="R32" s="23"/>
      <c r="S32" s="358"/>
      <c r="T32" s="23"/>
      <c r="U32"/>
      <c r="V32"/>
      <c r="W32"/>
      <c r="X32"/>
      <c r="Y32"/>
      <c r="Z32"/>
      <c r="AA32"/>
      <c r="AB32"/>
      <c r="AC32"/>
      <c r="AD32"/>
      <c r="AE32"/>
      <c r="AF32"/>
      <c r="AG32"/>
      <c r="AH32"/>
      <c r="AI32"/>
      <c r="AJ32"/>
      <c r="AK32"/>
    </row>
    <row r="33" spans="1:37" ht="16.5" thickBot="1">
      <c r="A33" s="163"/>
      <c r="B33" s="28"/>
      <c r="C33" s="512" t="s">
        <v>229</v>
      </c>
      <c r="D33" s="512" t="s">
        <v>229</v>
      </c>
      <c r="E33" s="512" t="s">
        <v>229</v>
      </c>
      <c r="F33" s="512" t="s">
        <v>229</v>
      </c>
      <c r="G33" s="28"/>
      <c r="H33" s="361"/>
      <c r="I33" s="28"/>
      <c r="J33" s="23"/>
      <c r="K33" s="26"/>
      <c r="L33" s="23"/>
      <c r="M33" s="26"/>
      <c r="N33" s="23"/>
      <c r="O33" s="26"/>
      <c r="P33" s="23"/>
      <c r="Q33" s="344"/>
      <c r="R33" s="23"/>
      <c r="S33" s="357"/>
      <c r="T33" s="23"/>
      <c r="U33"/>
      <c r="V33"/>
      <c r="W33"/>
      <c r="X33"/>
      <c r="Y33"/>
      <c r="Z33"/>
      <c r="AA33"/>
      <c r="AB33"/>
      <c r="AC33"/>
      <c r="AD33"/>
      <c r="AE33"/>
      <c r="AF33"/>
      <c r="AG33"/>
      <c r="AH33"/>
      <c r="AI33"/>
      <c r="AJ33"/>
      <c r="AK33"/>
    </row>
    <row r="34" spans="1:37" ht="16.5" thickBot="1">
      <c r="A34" s="22"/>
      <c r="B34" s="24"/>
      <c r="C34" s="310"/>
      <c r="D34" s="310"/>
      <c r="E34" s="310"/>
      <c r="F34" s="310"/>
      <c r="G34" s="24"/>
      <c r="H34" s="300"/>
      <c r="I34" s="24"/>
      <c r="J34" s="30"/>
      <c r="K34" s="30"/>
      <c r="L34" s="30"/>
      <c r="M34" s="30"/>
      <c r="N34" s="30"/>
      <c r="O34" s="30"/>
      <c r="P34" s="31"/>
      <c r="Q34" s="345"/>
      <c r="R34" s="32"/>
      <c r="S34" s="357"/>
      <c r="T34" s="32"/>
      <c r="U34"/>
      <c r="V34"/>
      <c r="W34"/>
      <c r="X34"/>
      <c r="Y34"/>
      <c r="Z34"/>
      <c r="AA34"/>
      <c r="AB34"/>
      <c r="AC34"/>
      <c r="AD34"/>
      <c r="AE34"/>
      <c r="AF34"/>
      <c r="AG34"/>
      <c r="AH34"/>
      <c r="AI34"/>
      <c r="AJ34"/>
      <c r="AK34"/>
    </row>
    <row r="35" spans="2:37" ht="16.5" thickBot="1">
      <c r="B35" s="33"/>
      <c r="C35" s="312"/>
      <c r="D35" s="312"/>
      <c r="E35" s="312"/>
      <c r="F35" s="312"/>
      <c r="G35" s="33"/>
      <c r="H35" s="383" t="s">
        <v>29</v>
      </c>
      <c r="I35" s="33"/>
      <c r="J35" s="505">
        <f>SUM(J10:J33)</f>
        <v>160000</v>
      </c>
      <c r="K35" s="369"/>
      <c r="L35" s="505">
        <f>SUM(L10:L33)</f>
        <v>1912021.4362571794</v>
      </c>
      <c r="M35" s="369"/>
      <c r="N35" s="505">
        <f>SUM(N10:N33)</f>
        <v>1747059.8924253953</v>
      </c>
      <c r="O35" s="369"/>
      <c r="P35" s="505">
        <f>SUM(P10:P33)</f>
        <v>1860443.3324780653</v>
      </c>
      <c r="Q35" s="370"/>
      <c r="R35" s="505">
        <f>SUM(R10:R33)</f>
        <v>1864213.9712076266</v>
      </c>
      <c r="S35" s="371"/>
      <c r="T35" s="506">
        <f>SUM(T10:T33)</f>
        <v>1868060.022711779</v>
      </c>
      <c r="U35"/>
      <c r="V35"/>
      <c r="W35"/>
      <c r="X35"/>
      <c r="Y35"/>
      <c r="Z35"/>
      <c r="AA35"/>
      <c r="AB35"/>
      <c r="AC35"/>
      <c r="AD35"/>
      <c r="AE35"/>
      <c r="AF35"/>
      <c r="AG35"/>
      <c r="AH35"/>
      <c r="AI35"/>
      <c r="AJ35"/>
      <c r="AK35"/>
    </row>
    <row r="36" spans="1:37" ht="16.5" thickBot="1">
      <c r="A36" s="27"/>
      <c r="B36" s="28"/>
      <c r="C36" s="311"/>
      <c r="D36" s="311"/>
      <c r="E36" s="311"/>
      <c r="F36" s="311"/>
      <c r="G36" s="28"/>
      <c r="H36" s="300"/>
      <c r="I36" s="28"/>
      <c r="J36" s="26"/>
      <c r="K36" s="26"/>
      <c r="L36" s="26"/>
      <c r="M36" s="26"/>
      <c r="N36" s="26"/>
      <c r="O36" s="26"/>
      <c r="P36" s="26"/>
      <c r="Q36" s="346"/>
      <c r="R36" s="34"/>
      <c r="S36" s="358"/>
      <c r="T36" s="34"/>
      <c r="U36"/>
      <c r="V36"/>
      <c r="W36"/>
      <c r="X36"/>
      <c r="Y36"/>
      <c r="Z36"/>
      <c r="AA36"/>
      <c r="AB36"/>
      <c r="AC36"/>
      <c r="AD36"/>
      <c r="AE36"/>
      <c r="AF36"/>
      <c r="AG36"/>
      <c r="AH36"/>
      <c r="AI36"/>
      <c r="AJ36"/>
      <c r="AK36"/>
    </row>
    <row r="37" spans="1:37" ht="18" customHeight="1">
      <c r="A37" s="304" t="s">
        <v>28</v>
      </c>
      <c r="B37" s="28"/>
      <c r="C37" s="1168" t="s">
        <v>228</v>
      </c>
      <c r="D37" s="1171" t="s">
        <v>230</v>
      </c>
      <c r="E37" s="1174" t="s">
        <v>246</v>
      </c>
      <c r="F37" s="1174" t="s">
        <v>245</v>
      </c>
      <c r="G37" s="28"/>
      <c r="H37" s="1177" t="s">
        <v>232</v>
      </c>
      <c r="I37" s="28"/>
      <c r="J37" s="26"/>
      <c r="K37" s="26"/>
      <c r="L37" s="26"/>
      <c r="M37" s="26"/>
      <c r="N37" s="26"/>
      <c r="O37" s="26"/>
      <c r="P37" s="26"/>
      <c r="Q37" s="346"/>
      <c r="R37" s="34"/>
      <c r="S37" s="357"/>
      <c r="T37" s="34"/>
      <c r="U37"/>
      <c r="V37"/>
      <c r="W37"/>
      <c r="X37"/>
      <c r="Y37"/>
      <c r="Z37"/>
      <c r="AA37"/>
      <c r="AB37"/>
      <c r="AC37"/>
      <c r="AD37"/>
      <c r="AE37"/>
      <c r="AF37"/>
      <c r="AG37"/>
      <c r="AH37"/>
      <c r="AI37"/>
      <c r="AJ37"/>
      <c r="AK37"/>
    </row>
    <row r="38" spans="1:37" ht="32.25" customHeight="1" thickBot="1">
      <c r="A38" s="22"/>
      <c r="B38" s="24"/>
      <c r="C38" s="1169"/>
      <c r="D38" s="1172"/>
      <c r="E38" s="1175"/>
      <c r="F38" s="1175"/>
      <c r="G38" s="24"/>
      <c r="H38" s="1178"/>
      <c r="I38" s="24"/>
      <c r="J38" s="36"/>
      <c r="K38" s="36"/>
      <c r="L38" s="36"/>
      <c r="M38" s="36"/>
      <c r="N38" s="36"/>
      <c r="O38" s="36"/>
      <c r="P38" s="36"/>
      <c r="Q38" s="347"/>
      <c r="R38" s="36"/>
      <c r="S38" s="357"/>
      <c r="T38" s="36"/>
      <c r="U38"/>
      <c r="V38"/>
      <c r="W38"/>
      <c r="X38"/>
      <c r="Y38"/>
      <c r="Z38"/>
      <c r="AA38"/>
      <c r="AB38"/>
      <c r="AC38"/>
      <c r="AD38"/>
      <c r="AE38"/>
      <c r="AF38"/>
      <c r="AG38"/>
      <c r="AH38"/>
      <c r="AI38"/>
      <c r="AJ38"/>
      <c r="AK38"/>
    </row>
    <row r="39" spans="1:37" ht="18.75" thickBot="1">
      <c r="A39" s="301" t="s">
        <v>9</v>
      </c>
      <c r="B39" s="38"/>
      <c r="C39" s="1170"/>
      <c r="D39" s="1173"/>
      <c r="E39" s="1176"/>
      <c r="F39" s="1176"/>
      <c r="G39" s="38"/>
      <c r="H39" s="1179"/>
      <c r="I39" s="38"/>
      <c r="J39" s="37"/>
      <c r="K39" s="39"/>
      <c r="L39" s="37"/>
      <c r="M39" s="39"/>
      <c r="N39" s="37"/>
      <c r="O39" s="39"/>
      <c r="P39" s="37"/>
      <c r="Q39" s="348"/>
      <c r="R39" s="32"/>
      <c r="S39" s="357"/>
      <c r="T39" s="32"/>
      <c r="U39"/>
      <c r="V39"/>
      <c r="W39"/>
      <c r="X39"/>
      <c r="Y39"/>
      <c r="Z39"/>
      <c r="AA39"/>
      <c r="AB39"/>
      <c r="AC39"/>
      <c r="AD39"/>
      <c r="AE39"/>
      <c r="AF39"/>
      <c r="AG39"/>
      <c r="AH39"/>
      <c r="AI39"/>
      <c r="AJ39"/>
      <c r="AK39"/>
    </row>
    <row r="40" spans="1:37" ht="63.75" thickBot="1">
      <c r="A40" s="758" t="s">
        <v>335</v>
      </c>
      <c r="B40" s="42"/>
      <c r="C40" s="740" t="s">
        <v>203</v>
      </c>
      <c r="D40" s="423">
        <v>25</v>
      </c>
      <c r="E40" s="512" t="s">
        <v>229</v>
      </c>
      <c r="F40" s="363">
        <v>0.02</v>
      </c>
      <c r="G40" s="42"/>
      <c r="H40" s="361" t="s">
        <v>644</v>
      </c>
      <c r="I40" s="42"/>
      <c r="J40" s="41"/>
      <c r="K40" s="43"/>
      <c r="L40" s="51">
        <f>IF($C40="Per Employee",$L$175*$D40,IF($C40="Per Pupil",$D40*$L$177,IF($C40="Fixed Per Year",$D40,0)))</f>
        <v>3125</v>
      </c>
      <c r="M40" s="43"/>
      <c r="N40" s="51">
        <f>IF($C40="Per Employee",$N$175*$D40,IF($C40="Per Pupil",$D40*$N$177,IF($C40="Fixed Per Year",$D40)))*(1+$F40)^1</f>
        <v>3697.5</v>
      </c>
      <c r="O40" s="43"/>
      <c r="P40" s="51">
        <f>IF($C40="Per Employee",$P$175*$D40,IF($C40="Per Pupil",$D40*$P$177,IF($C40="Fixed Per Year",$D40)))*(1+$F40)^2</f>
        <v>4291.65</v>
      </c>
      <c r="Q40" s="349"/>
      <c r="R40" s="51">
        <f>IF($C40="Per Employee",$R$175*$D40,IF($C40="Per Pupil",$D40*$R$177,IF($C40="Fixed Per Year",$D40)))*(1+$F40)^3</f>
        <v>4377.482999999999</v>
      </c>
      <c r="S40" s="357"/>
      <c r="T40" s="51">
        <f>IF($C40="Per Employee",$T$175*$D40,IF($C40="Per Pupil",$D40*$T$177,IF($C40="Fixed Per Year",$D40)))*(1+$F40)^4</f>
        <v>4465.03266</v>
      </c>
      <c r="U40"/>
      <c r="V40"/>
      <c r="W40"/>
      <c r="X40"/>
      <c r="Y40"/>
      <c r="Z40"/>
      <c r="AA40"/>
      <c r="AB40"/>
      <c r="AC40"/>
      <c r="AD40"/>
      <c r="AE40"/>
      <c r="AF40"/>
      <c r="AG40"/>
      <c r="AH40"/>
      <c r="AI40"/>
      <c r="AJ40"/>
      <c r="AK40"/>
    </row>
    <row r="41" spans="1:37" ht="48" thickBot="1">
      <c r="A41" s="757" t="s">
        <v>336</v>
      </c>
      <c r="B41" s="42"/>
      <c r="C41" s="740" t="s">
        <v>203</v>
      </c>
      <c r="D41" s="423">
        <v>150</v>
      </c>
      <c r="E41" s="512" t="s">
        <v>229</v>
      </c>
      <c r="F41" s="363">
        <v>0.02</v>
      </c>
      <c r="G41" s="42"/>
      <c r="H41" s="361" t="s">
        <v>604</v>
      </c>
      <c r="I41" s="42"/>
      <c r="J41" s="41"/>
      <c r="K41" s="43"/>
      <c r="L41" s="51">
        <f>IF($C41="Per Employee",$L$175*$D41,IF($C41="Per Pupil",$D41*$L$177,IF($C41="Fixed Per Year",$D41,0)))</f>
        <v>18750</v>
      </c>
      <c r="M41" s="43"/>
      <c r="N41" s="51">
        <f aca="true" t="shared" si="0" ref="N41:N62">IF($C41="Per Employee",$N$175*$D41,IF($C41="Per Pupil",$D41*$N$177,IF($C41="Fixed Per Year",$D41)))*(1+$F41)^1</f>
        <v>22185</v>
      </c>
      <c r="O41" s="43"/>
      <c r="P41" s="51">
        <f aca="true" t="shared" si="1" ref="P41:P62">IF($C41="Per Employee",$P$175*$D41,IF($C41="Per Pupil",$D41*$P$177,IF($C41="Fixed Per Year",$D41)))*(1+$F41)^2</f>
        <v>25749.9</v>
      </c>
      <c r="Q41" s="349"/>
      <c r="R41" s="51">
        <f aca="true" t="shared" si="2" ref="R41:R62">IF($C41="Per Employee",$R$175*$D41,IF($C41="Per Pupil",$D41*$R$177,IF($C41="Fixed Per Year",$D41)))*(1+$F41)^3</f>
        <v>26264.897999999997</v>
      </c>
      <c r="S41" s="357"/>
      <c r="T41" s="51">
        <f aca="true" t="shared" si="3" ref="T41:T62">IF($C41="Per Employee",$T$175*$D41,IF($C41="Per Pupil",$D41*$T$177,IF($C41="Fixed Per Year",$D41)))*(1+$F41)^4</f>
        <v>26790.19596</v>
      </c>
      <c r="U41"/>
      <c r="V41"/>
      <c r="W41"/>
      <c r="X41"/>
      <c r="Y41"/>
      <c r="Z41"/>
      <c r="AA41"/>
      <c r="AB41"/>
      <c r="AC41"/>
      <c r="AD41"/>
      <c r="AE41"/>
      <c r="AF41"/>
      <c r="AG41"/>
      <c r="AH41"/>
      <c r="AI41"/>
      <c r="AJ41"/>
      <c r="AK41"/>
    </row>
    <row r="42" spans="1:37" ht="32.25" thickBot="1">
      <c r="A42" s="757" t="s">
        <v>240</v>
      </c>
      <c r="B42" s="42"/>
      <c r="C42" s="740" t="s">
        <v>203</v>
      </c>
      <c r="D42" s="423">
        <v>40</v>
      </c>
      <c r="E42" s="512" t="s">
        <v>229</v>
      </c>
      <c r="F42" s="363">
        <v>0.02</v>
      </c>
      <c r="G42" s="42"/>
      <c r="H42" s="361" t="s">
        <v>605</v>
      </c>
      <c r="I42" s="42"/>
      <c r="J42" s="41"/>
      <c r="K42" s="43"/>
      <c r="L42" s="51">
        <f>IF($C42="Per Employee",$L$175*$D42,IF($C42="Per Pupil",$D42*$L$177,IF($C42="Fixed Per Year",$D42,0)))</f>
        <v>5000</v>
      </c>
      <c r="M42" s="43"/>
      <c r="N42" s="51">
        <f t="shared" si="0"/>
        <v>5916</v>
      </c>
      <c r="O42" s="43"/>
      <c r="P42" s="51">
        <f t="shared" si="1"/>
        <v>6866.64</v>
      </c>
      <c r="Q42" s="349"/>
      <c r="R42" s="51">
        <f t="shared" si="2"/>
        <v>7003.9728</v>
      </c>
      <c r="S42" s="357"/>
      <c r="T42" s="51">
        <f t="shared" si="3"/>
        <v>7144.052256</v>
      </c>
      <c r="U42"/>
      <c r="V42"/>
      <c r="W42"/>
      <c r="X42"/>
      <c r="Y42"/>
      <c r="Z42"/>
      <c r="AA42"/>
      <c r="AB42"/>
      <c r="AC42"/>
      <c r="AD42"/>
      <c r="AE42"/>
      <c r="AF42"/>
      <c r="AG42"/>
      <c r="AH42"/>
      <c r="AI42"/>
      <c r="AJ42"/>
      <c r="AK42"/>
    </row>
    <row r="43" spans="1:37" ht="63.75" thickBot="1">
      <c r="A43" s="757" t="s">
        <v>13</v>
      </c>
      <c r="B43" s="42"/>
      <c r="C43" s="740" t="s">
        <v>7</v>
      </c>
      <c r="D43" s="423"/>
      <c r="E43" s="512" t="s">
        <v>229</v>
      </c>
      <c r="F43" s="363"/>
      <c r="G43" s="42"/>
      <c r="H43" s="361" t="s">
        <v>650</v>
      </c>
      <c r="I43" s="42"/>
      <c r="J43" s="41">
        <f>1000+25*125</f>
        <v>4125</v>
      </c>
      <c r="K43" s="43"/>
      <c r="L43" s="51">
        <f>1000+25*20</f>
        <v>1500</v>
      </c>
      <c r="M43" s="43"/>
      <c r="N43" s="51">
        <f>1000+25*20</f>
        <v>1500</v>
      </c>
      <c r="O43" s="43"/>
      <c r="P43" s="51">
        <f>1000</f>
        <v>1000</v>
      </c>
      <c r="Q43" s="349"/>
      <c r="R43" s="51">
        <f>1000</f>
        <v>1000</v>
      </c>
      <c r="S43" s="357"/>
      <c r="T43" s="51">
        <f>1000</f>
        <v>1000</v>
      </c>
      <c r="U43"/>
      <c r="V43"/>
      <c r="W43"/>
      <c r="X43"/>
      <c r="Y43"/>
      <c r="Z43"/>
      <c r="AA43"/>
      <c r="AB43"/>
      <c r="AC43"/>
      <c r="AD43"/>
      <c r="AE43"/>
      <c r="AF43"/>
      <c r="AG43"/>
      <c r="AH43"/>
      <c r="AI43"/>
      <c r="AJ43"/>
      <c r="AK43"/>
    </row>
    <row r="44" spans="1:37" ht="48" thickBot="1">
      <c r="A44" s="757" t="s">
        <v>241</v>
      </c>
      <c r="B44" s="42"/>
      <c r="C44" s="740" t="s">
        <v>203</v>
      </c>
      <c r="D44" s="423">
        <v>100</v>
      </c>
      <c r="E44" s="512" t="s">
        <v>229</v>
      </c>
      <c r="F44" s="363">
        <v>0.02</v>
      </c>
      <c r="G44" s="42"/>
      <c r="H44" s="361" t="s">
        <v>604</v>
      </c>
      <c r="I44" s="42"/>
      <c r="J44" s="41"/>
      <c r="K44" s="43"/>
      <c r="L44" s="51">
        <f>IF($C44="Per Employee",$L$175*$D44,IF($C44="Per Pupil",$D44*$L$177,IF($C44="Fixed Per Year",$D44,0)))</f>
        <v>12500</v>
      </c>
      <c r="M44" s="43"/>
      <c r="N44" s="51">
        <f t="shared" si="0"/>
        <v>14790</v>
      </c>
      <c r="O44" s="43"/>
      <c r="P44" s="51">
        <f t="shared" si="1"/>
        <v>17166.6</v>
      </c>
      <c r="Q44" s="349"/>
      <c r="R44" s="51">
        <f t="shared" si="2"/>
        <v>17509.931999999997</v>
      </c>
      <c r="S44" s="357"/>
      <c r="T44" s="51">
        <f t="shared" si="3"/>
        <v>17860.13064</v>
      </c>
      <c r="U44"/>
      <c r="V44"/>
      <c r="W44"/>
      <c r="X44"/>
      <c r="Y44"/>
      <c r="Z44"/>
      <c r="AA44"/>
      <c r="AB44"/>
      <c r="AC44"/>
      <c r="AD44"/>
      <c r="AE44"/>
      <c r="AF44"/>
      <c r="AG44"/>
      <c r="AH44"/>
      <c r="AI44"/>
      <c r="AJ44"/>
      <c r="AK44"/>
    </row>
    <row r="45" spans="1:37" ht="48" thickBot="1">
      <c r="A45" s="757" t="s">
        <v>242</v>
      </c>
      <c r="B45" s="42"/>
      <c r="C45" s="740" t="s">
        <v>7</v>
      </c>
      <c r="D45" s="423"/>
      <c r="E45" s="512" t="s">
        <v>229</v>
      </c>
      <c r="F45" s="363"/>
      <c r="G45" s="42"/>
      <c r="H45" s="361" t="s">
        <v>678</v>
      </c>
      <c r="I45" s="42"/>
      <c r="J45" s="41"/>
      <c r="K45" s="43"/>
      <c r="L45" s="51">
        <f>SUM(Calculations!C69:C72)</f>
        <v>83750</v>
      </c>
      <c r="M45" s="43"/>
      <c r="N45" s="51">
        <f>SUM(Calculations!D69:D72)</f>
        <v>61100</v>
      </c>
      <c r="O45" s="43"/>
      <c r="P45" s="51">
        <f>SUM(Calculations!E69:E72)</f>
        <v>64700</v>
      </c>
      <c r="Q45" s="349"/>
      <c r="R45" s="51">
        <f>SUM(Calculations!F69:F72)</f>
        <v>59700</v>
      </c>
      <c r="S45" s="357"/>
      <c r="T45" s="51">
        <f>SUM(Calculations!G69:G72)</f>
        <v>59700</v>
      </c>
      <c r="U45"/>
      <c r="V45"/>
      <c r="W45"/>
      <c r="X45"/>
      <c r="Y45"/>
      <c r="Z45"/>
      <c r="AA45"/>
      <c r="AB45"/>
      <c r="AC45"/>
      <c r="AD45"/>
      <c r="AE45"/>
      <c r="AF45"/>
      <c r="AG45"/>
      <c r="AH45"/>
      <c r="AI45"/>
      <c r="AJ45"/>
      <c r="AK45"/>
    </row>
    <row r="46" spans="1:37" ht="16.5" thickBot="1">
      <c r="A46" s="757" t="s">
        <v>243</v>
      </c>
      <c r="B46" s="42"/>
      <c r="C46" s="740" t="s">
        <v>7</v>
      </c>
      <c r="D46" s="423"/>
      <c r="E46" s="512" t="s">
        <v>229</v>
      </c>
      <c r="F46" s="363"/>
      <c r="G46" s="42"/>
      <c r="H46" s="361" t="s">
        <v>649</v>
      </c>
      <c r="I46" s="42"/>
      <c r="J46" s="41">
        <f>80*125</f>
        <v>10000</v>
      </c>
      <c r="K46" s="43"/>
      <c r="L46" s="51">
        <f>80*20</f>
        <v>1600</v>
      </c>
      <c r="M46" s="43"/>
      <c r="N46" s="51">
        <f>80*20</f>
        <v>1600</v>
      </c>
      <c r="O46" s="43"/>
      <c r="P46" s="51">
        <f t="shared" si="1"/>
        <v>0</v>
      </c>
      <c r="Q46" s="349"/>
      <c r="R46" s="51">
        <f t="shared" si="2"/>
        <v>0</v>
      </c>
      <c r="S46" s="357"/>
      <c r="T46" s="51">
        <f t="shared" si="3"/>
        <v>0</v>
      </c>
      <c r="U46"/>
      <c r="V46"/>
      <c r="W46"/>
      <c r="X46"/>
      <c r="Y46"/>
      <c r="Z46"/>
      <c r="AA46"/>
      <c r="AB46"/>
      <c r="AC46"/>
      <c r="AD46"/>
      <c r="AE46"/>
      <c r="AF46"/>
      <c r="AG46"/>
      <c r="AH46"/>
      <c r="AI46"/>
      <c r="AJ46"/>
      <c r="AK46"/>
    </row>
    <row r="47" spans="1:37" ht="16.5" thickBot="1">
      <c r="A47" s="757" t="s">
        <v>248</v>
      </c>
      <c r="B47" s="42"/>
      <c r="C47" s="740"/>
      <c r="D47" s="423"/>
      <c r="E47" s="512" t="s">
        <v>229</v>
      </c>
      <c r="F47" s="363"/>
      <c r="G47" s="42"/>
      <c r="H47" s="361"/>
      <c r="I47" s="42"/>
      <c r="J47" s="41"/>
      <c r="K47" s="43"/>
      <c r="L47" s="51">
        <f>IF($C47="Per Employee",$L$175*$D47,IF($C47="Per Pupil",$D47*$L$177,IF($C47="Fixed Per Year",$D47,0)))</f>
        <v>0</v>
      </c>
      <c r="M47" s="43"/>
      <c r="N47" s="51">
        <f t="shared" si="0"/>
        <v>0</v>
      </c>
      <c r="O47" s="43"/>
      <c r="P47" s="51">
        <f t="shared" si="1"/>
        <v>0</v>
      </c>
      <c r="Q47" s="349"/>
      <c r="R47" s="51">
        <f t="shared" si="2"/>
        <v>0</v>
      </c>
      <c r="S47" s="357"/>
      <c r="T47" s="51">
        <f t="shared" si="3"/>
        <v>0</v>
      </c>
      <c r="U47"/>
      <c r="V47"/>
      <c r="W47"/>
      <c r="X47"/>
      <c r="Y47"/>
      <c r="Z47"/>
      <c r="AA47"/>
      <c r="AB47"/>
      <c r="AC47"/>
      <c r="AD47"/>
      <c r="AE47"/>
      <c r="AF47"/>
      <c r="AG47"/>
      <c r="AH47"/>
      <c r="AI47"/>
      <c r="AJ47"/>
      <c r="AK47"/>
    </row>
    <row r="48" spans="1:37" ht="16.5" thickBot="1">
      <c r="A48" s="757" t="s">
        <v>244</v>
      </c>
      <c r="B48" s="42"/>
      <c r="C48" s="740"/>
      <c r="D48" s="423"/>
      <c r="E48" s="512" t="s">
        <v>229</v>
      </c>
      <c r="F48" s="363"/>
      <c r="G48" s="42"/>
      <c r="H48" s="361"/>
      <c r="I48" s="42"/>
      <c r="J48" s="41"/>
      <c r="K48" s="43"/>
      <c r="L48" s="51">
        <f>IF($C48="Per Employee",$L$175*$D48,IF($C48="Per Pupil",$D48*$L$177,IF($C48="Fixed Per Year",$D48,0)))</f>
        <v>0</v>
      </c>
      <c r="M48" s="43"/>
      <c r="N48" s="51">
        <f t="shared" si="0"/>
        <v>0</v>
      </c>
      <c r="O48" s="43"/>
      <c r="P48" s="51">
        <f t="shared" si="1"/>
        <v>0</v>
      </c>
      <c r="Q48" s="349"/>
      <c r="R48" s="51">
        <f t="shared" si="2"/>
        <v>0</v>
      </c>
      <c r="S48" s="357"/>
      <c r="T48" s="51">
        <f t="shared" si="3"/>
        <v>0</v>
      </c>
      <c r="U48"/>
      <c r="V48"/>
      <c r="W48"/>
      <c r="X48"/>
      <c r="Y48"/>
      <c r="Z48"/>
      <c r="AA48"/>
      <c r="AB48"/>
      <c r="AC48"/>
      <c r="AD48"/>
      <c r="AE48"/>
      <c r="AF48"/>
      <c r="AG48"/>
      <c r="AH48"/>
      <c r="AI48"/>
      <c r="AJ48"/>
      <c r="AK48"/>
    </row>
    <row r="49" spans="1:37" ht="16.5" thickBot="1">
      <c r="A49" s="757" t="s">
        <v>337</v>
      </c>
      <c r="B49" s="42"/>
      <c r="C49" s="740" t="s">
        <v>203</v>
      </c>
      <c r="D49" s="423">
        <v>50</v>
      </c>
      <c r="E49" s="512" t="s">
        <v>229</v>
      </c>
      <c r="F49" s="363">
        <v>0.02</v>
      </c>
      <c r="G49" s="42"/>
      <c r="H49" s="361" t="s">
        <v>617</v>
      </c>
      <c r="I49" s="42"/>
      <c r="J49" s="41"/>
      <c r="K49" s="43"/>
      <c r="L49" s="51">
        <f>IF($C49="Per Employee",$L$175*$D49,IF($C49="Per Pupil",$D49*$L$177,IF($C49="Fixed Per Year",$D49,0)))</f>
        <v>6250</v>
      </c>
      <c r="M49" s="43"/>
      <c r="N49" s="51">
        <f t="shared" si="0"/>
        <v>7395</v>
      </c>
      <c r="O49" s="43"/>
      <c r="P49" s="51">
        <f t="shared" si="1"/>
        <v>8583.3</v>
      </c>
      <c r="Q49" s="349"/>
      <c r="R49" s="51">
        <f t="shared" si="2"/>
        <v>8754.965999999999</v>
      </c>
      <c r="S49" s="357"/>
      <c r="T49" s="51">
        <f t="shared" si="3"/>
        <v>8930.06532</v>
      </c>
      <c r="U49"/>
      <c r="V49"/>
      <c r="W49"/>
      <c r="X49"/>
      <c r="Y49"/>
      <c r="Z49"/>
      <c r="AA49"/>
      <c r="AB49"/>
      <c r="AC49"/>
      <c r="AD49"/>
      <c r="AE49"/>
      <c r="AF49"/>
      <c r="AG49"/>
      <c r="AH49"/>
      <c r="AI49"/>
      <c r="AJ49"/>
      <c r="AK49"/>
    </row>
    <row r="50" spans="1:37" ht="16.5" thickBot="1">
      <c r="A50" s="757" t="s">
        <v>247</v>
      </c>
      <c r="B50" s="42"/>
      <c r="C50" s="740"/>
      <c r="D50" s="423"/>
      <c r="E50" s="512" t="s">
        <v>229</v>
      </c>
      <c r="F50" s="363"/>
      <c r="G50" s="42"/>
      <c r="H50" s="361"/>
      <c r="I50" s="42"/>
      <c r="J50" s="41"/>
      <c r="K50" s="43"/>
      <c r="L50" s="51">
        <f>IF($C50="Per Employee",$L$175*$D50,IF($C50="Per Pupil",$D50*$L$177,IF($C50="Fixed Per Year",$D50,0)))</f>
        <v>0</v>
      </c>
      <c r="M50" s="43"/>
      <c r="N50" s="51">
        <f t="shared" si="0"/>
        <v>0</v>
      </c>
      <c r="O50" s="43"/>
      <c r="P50" s="51">
        <f t="shared" si="1"/>
        <v>0</v>
      </c>
      <c r="Q50" s="349"/>
      <c r="R50" s="51">
        <f t="shared" si="2"/>
        <v>0</v>
      </c>
      <c r="S50" s="357"/>
      <c r="T50" s="51">
        <f t="shared" si="3"/>
        <v>0</v>
      </c>
      <c r="U50"/>
      <c r="V50"/>
      <c r="W50"/>
      <c r="X50"/>
      <c r="Y50"/>
      <c r="Z50"/>
      <c r="AA50"/>
      <c r="AB50"/>
      <c r="AC50"/>
      <c r="AD50"/>
      <c r="AE50"/>
      <c r="AF50"/>
      <c r="AG50"/>
      <c r="AH50"/>
      <c r="AI50"/>
      <c r="AJ50"/>
      <c r="AK50"/>
    </row>
    <row r="51" spans="1:37" ht="32.25" thickBot="1">
      <c r="A51" s="759" t="s">
        <v>182</v>
      </c>
      <c r="B51" s="42"/>
      <c r="C51" s="514" t="s">
        <v>229</v>
      </c>
      <c r="D51" s="678" t="s">
        <v>229</v>
      </c>
      <c r="E51" s="512" t="s">
        <v>229</v>
      </c>
      <c r="F51" s="687" t="s">
        <v>229</v>
      </c>
      <c r="G51" s="42"/>
      <c r="H51" s="361"/>
      <c r="I51" s="42"/>
      <c r="J51" s="844">
        <v>0</v>
      </c>
      <c r="K51" s="43"/>
      <c r="L51" s="51"/>
      <c r="M51" s="43"/>
      <c r="N51" s="51"/>
      <c r="O51" s="43"/>
      <c r="P51" s="51"/>
      <c r="Q51" s="349"/>
      <c r="R51" s="51"/>
      <c r="S51" s="357"/>
      <c r="T51" s="51"/>
      <c r="U51"/>
      <c r="V51"/>
      <c r="W51"/>
      <c r="X51"/>
      <c r="Y51"/>
      <c r="Z51"/>
      <c r="AA51"/>
      <c r="AB51"/>
      <c r="AC51"/>
      <c r="AD51"/>
      <c r="AE51"/>
      <c r="AF51"/>
      <c r="AG51"/>
      <c r="AH51"/>
      <c r="AI51"/>
      <c r="AJ51"/>
      <c r="AK51"/>
    </row>
    <row r="52" spans="1:37" ht="16.5" thickBot="1">
      <c r="A52" s="759" t="s">
        <v>183</v>
      </c>
      <c r="B52" s="42"/>
      <c r="C52" s="740"/>
      <c r="D52" s="423"/>
      <c r="E52" s="512" t="s">
        <v>229</v>
      </c>
      <c r="F52" s="363"/>
      <c r="G52" s="42"/>
      <c r="H52" s="361"/>
      <c r="I52" s="42"/>
      <c r="J52" s="41"/>
      <c r="K52" s="43"/>
      <c r="L52" s="51">
        <f aca="true" t="shared" si="4" ref="L52:L62">IF($C52="Per Employee",$L$175*$D52,IF($C52="Per Pupil",$D52*$L$177,IF($C52="Fixed Per Year",$D52,0)))</f>
        <v>0</v>
      </c>
      <c r="M52" s="43"/>
      <c r="N52" s="51">
        <f t="shared" si="0"/>
        <v>0</v>
      </c>
      <c r="O52" s="43"/>
      <c r="P52" s="51">
        <f t="shared" si="1"/>
        <v>0</v>
      </c>
      <c r="Q52" s="349"/>
      <c r="R52" s="51">
        <f t="shared" si="2"/>
        <v>0</v>
      </c>
      <c r="S52" s="357"/>
      <c r="T52" s="51">
        <f t="shared" si="3"/>
        <v>0</v>
      </c>
      <c r="U52"/>
      <c r="V52"/>
      <c r="W52"/>
      <c r="X52"/>
      <c r="Y52"/>
      <c r="Z52"/>
      <c r="AA52"/>
      <c r="AB52"/>
      <c r="AC52"/>
      <c r="AD52"/>
      <c r="AE52"/>
      <c r="AF52"/>
      <c r="AG52"/>
      <c r="AH52"/>
      <c r="AI52"/>
      <c r="AJ52"/>
      <c r="AK52"/>
    </row>
    <row r="53" spans="1:37" ht="16.5" thickBot="1">
      <c r="A53" s="757" t="s">
        <v>544</v>
      </c>
      <c r="B53" s="42"/>
      <c r="C53" s="740"/>
      <c r="D53" s="435"/>
      <c r="E53" s="512" t="s">
        <v>229</v>
      </c>
      <c r="F53" s="363"/>
      <c r="G53" s="42"/>
      <c r="H53" s="361"/>
      <c r="I53" s="42"/>
      <c r="J53" s="41"/>
      <c r="K53" s="43"/>
      <c r="L53" s="51">
        <f t="shared" si="4"/>
        <v>0</v>
      </c>
      <c r="M53" s="43"/>
      <c r="N53" s="51">
        <f t="shared" si="0"/>
        <v>0</v>
      </c>
      <c r="O53" s="43"/>
      <c r="P53" s="51">
        <f t="shared" si="1"/>
        <v>0</v>
      </c>
      <c r="Q53" s="349"/>
      <c r="R53" s="51">
        <f t="shared" si="2"/>
        <v>0</v>
      </c>
      <c r="S53" s="357"/>
      <c r="T53" s="51">
        <f t="shared" si="3"/>
        <v>0</v>
      </c>
      <c r="U53"/>
      <c r="V53"/>
      <c r="W53"/>
      <c r="X53"/>
      <c r="Y53"/>
      <c r="Z53"/>
      <c r="AA53"/>
      <c r="AB53"/>
      <c r="AC53"/>
      <c r="AD53"/>
      <c r="AE53"/>
      <c r="AF53"/>
      <c r="AG53"/>
      <c r="AH53"/>
      <c r="AI53"/>
      <c r="AJ53"/>
      <c r="AK53"/>
    </row>
    <row r="54" spans="1:37" ht="48" thickBot="1">
      <c r="A54" s="287" t="s">
        <v>645</v>
      </c>
      <c r="B54" s="42"/>
      <c r="C54" s="740" t="s">
        <v>7</v>
      </c>
      <c r="D54" s="435"/>
      <c r="E54" s="512" t="s">
        <v>229</v>
      </c>
      <c r="F54" s="363"/>
      <c r="G54" s="42"/>
      <c r="H54" s="361" t="s">
        <v>670</v>
      </c>
      <c r="I54" s="42"/>
      <c r="J54" s="41"/>
      <c r="K54" s="43"/>
      <c r="L54" s="51">
        <f>Calculations!B60</f>
        <v>75000</v>
      </c>
      <c r="M54" s="43"/>
      <c r="N54" s="51">
        <f>Calculations!C60</f>
        <v>150000</v>
      </c>
      <c r="O54" s="43"/>
      <c r="P54" s="51">
        <f>Calculations!D60</f>
        <v>207000</v>
      </c>
      <c r="Q54" s="349"/>
      <c r="R54" s="51">
        <f>Calculations!E60</f>
        <v>238000</v>
      </c>
      <c r="S54" s="357"/>
      <c r="T54" s="51">
        <f>Calculations!F60</f>
        <v>249000</v>
      </c>
      <c r="U54"/>
      <c r="V54"/>
      <c r="W54"/>
      <c r="X54"/>
      <c r="Y54"/>
      <c r="Z54"/>
      <c r="AA54"/>
      <c r="AB54"/>
      <c r="AC54"/>
      <c r="AD54"/>
      <c r="AE54"/>
      <c r="AF54"/>
      <c r="AG54"/>
      <c r="AH54"/>
      <c r="AI54"/>
      <c r="AJ54"/>
      <c r="AK54"/>
    </row>
    <row r="55" spans="1:37" ht="16.5" thickBot="1">
      <c r="A55" s="287"/>
      <c r="B55" s="42"/>
      <c r="C55" s="740"/>
      <c r="D55" s="435"/>
      <c r="E55" s="512" t="s">
        <v>229</v>
      </c>
      <c r="F55" s="363"/>
      <c r="G55" s="42"/>
      <c r="H55" s="361"/>
      <c r="I55" s="42"/>
      <c r="J55" s="41"/>
      <c r="K55" s="43"/>
      <c r="L55" s="51">
        <f t="shared" si="4"/>
        <v>0</v>
      </c>
      <c r="M55" s="43"/>
      <c r="N55" s="51">
        <f t="shared" si="0"/>
        <v>0</v>
      </c>
      <c r="O55" s="43"/>
      <c r="P55" s="51">
        <f t="shared" si="1"/>
        <v>0</v>
      </c>
      <c r="Q55" s="349"/>
      <c r="R55" s="51">
        <f t="shared" si="2"/>
        <v>0</v>
      </c>
      <c r="S55" s="357"/>
      <c r="T55" s="51">
        <f t="shared" si="3"/>
        <v>0</v>
      </c>
      <c r="U55"/>
      <c r="V55"/>
      <c r="W55"/>
      <c r="X55"/>
      <c r="Y55"/>
      <c r="Z55"/>
      <c r="AA55"/>
      <c r="AB55"/>
      <c r="AC55"/>
      <c r="AD55"/>
      <c r="AE55"/>
      <c r="AF55"/>
      <c r="AG55"/>
      <c r="AH55"/>
      <c r="AI55"/>
      <c r="AJ55"/>
      <c r="AK55"/>
    </row>
    <row r="56" spans="1:37" ht="16.5" thickBot="1">
      <c r="A56" s="287"/>
      <c r="B56" s="42"/>
      <c r="C56" s="740"/>
      <c r="D56" s="435"/>
      <c r="E56" s="512" t="s">
        <v>229</v>
      </c>
      <c r="F56" s="363"/>
      <c r="G56" s="42"/>
      <c r="H56" s="361"/>
      <c r="I56" s="42"/>
      <c r="J56" s="41"/>
      <c r="K56" s="43"/>
      <c r="L56" s="51">
        <f t="shared" si="4"/>
        <v>0</v>
      </c>
      <c r="M56" s="43"/>
      <c r="N56" s="51">
        <f t="shared" si="0"/>
        <v>0</v>
      </c>
      <c r="O56" s="43"/>
      <c r="P56" s="51">
        <f t="shared" si="1"/>
        <v>0</v>
      </c>
      <c r="Q56" s="349"/>
      <c r="R56" s="51">
        <f t="shared" si="2"/>
        <v>0</v>
      </c>
      <c r="S56" s="357"/>
      <c r="T56" s="51">
        <f t="shared" si="3"/>
        <v>0</v>
      </c>
      <c r="U56"/>
      <c r="V56"/>
      <c r="W56"/>
      <c r="X56"/>
      <c r="Y56"/>
      <c r="Z56"/>
      <c r="AA56"/>
      <c r="AB56"/>
      <c r="AC56"/>
      <c r="AD56"/>
      <c r="AE56"/>
      <c r="AF56"/>
      <c r="AG56"/>
      <c r="AH56"/>
      <c r="AI56"/>
      <c r="AJ56"/>
      <c r="AK56"/>
    </row>
    <row r="57" spans="1:37" ht="16.5" thickBot="1">
      <c r="A57" s="287"/>
      <c r="B57" s="42"/>
      <c r="C57" s="740"/>
      <c r="D57" s="435"/>
      <c r="E57" s="512" t="s">
        <v>229</v>
      </c>
      <c r="F57" s="363"/>
      <c r="G57" s="42"/>
      <c r="H57" s="361"/>
      <c r="I57" s="42"/>
      <c r="J57" s="41"/>
      <c r="K57" s="43"/>
      <c r="L57" s="51">
        <f t="shared" si="4"/>
        <v>0</v>
      </c>
      <c r="M57" s="43"/>
      <c r="N57" s="51">
        <f t="shared" si="0"/>
        <v>0</v>
      </c>
      <c r="O57" s="43"/>
      <c r="P57" s="51">
        <f t="shared" si="1"/>
        <v>0</v>
      </c>
      <c r="Q57" s="349"/>
      <c r="R57" s="51">
        <f t="shared" si="2"/>
        <v>0</v>
      </c>
      <c r="S57" s="357"/>
      <c r="T57" s="51">
        <f t="shared" si="3"/>
        <v>0</v>
      </c>
      <c r="U57"/>
      <c r="V57"/>
      <c r="W57"/>
      <c r="X57"/>
      <c r="Y57"/>
      <c r="Z57"/>
      <c r="AA57"/>
      <c r="AB57"/>
      <c r="AC57"/>
      <c r="AD57"/>
      <c r="AE57"/>
      <c r="AF57"/>
      <c r="AG57"/>
      <c r="AH57"/>
      <c r="AI57"/>
      <c r="AJ57"/>
      <c r="AK57"/>
    </row>
    <row r="58" spans="1:37" ht="16.5" thickBot="1">
      <c r="A58" s="287"/>
      <c r="B58" s="42"/>
      <c r="C58" s="740"/>
      <c r="D58" s="435"/>
      <c r="E58" s="512" t="s">
        <v>229</v>
      </c>
      <c r="F58" s="363"/>
      <c r="G58" s="42"/>
      <c r="H58" s="361"/>
      <c r="I58" s="42"/>
      <c r="J58" s="41"/>
      <c r="K58" s="43"/>
      <c r="L58" s="51">
        <f t="shared" si="4"/>
        <v>0</v>
      </c>
      <c r="M58" s="43"/>
      <c r="N58" s="51">
        <f t="shared" si="0"/>
        <v>0</v>
      </c>
      <c r="O58" s="43"/>
      <c r="P58" s="51">
        <f t="shared" si="1"/>
        <v>0</v>
      </c>
      <c r="Q58" s="349"/>
      <c r="R58" s="51">
        <f t="shared" si="2"/>
        <v>0</v>
      </c>
      <c r="S58" s="357"/>
      <c r="T58" s="51">
        <f t="shared" si="3"/>
        <v>0</v>
      </c>
      <c r="U58"/>
      <c r="V58"/>
      <c r="W58"/>
      <c r="X58"/>
      <c r="Y58"/>
      <c r="Z58"/>
      <c r="AA58"/>
      <c r="AB58"/>
      <c r="AC58"/>
      <c r="AD58"/>
      <c r="AE58"/>
      <c r="AF58"/>
      <c r="AG58"/>
      <c r="AH58"/>
      <c r="AI58"/>
      <c r="AJ58"/>
      <c r="AK58"/>
    </row>
    <row r="59" spans="1:37" ht="16.5" thickBot="1">
      <c r="A59" s="287"/>
      <c r="B59" s="42"/>
      <c r="C59" s="740"/>
      <c r="D59" s="435"/>
      <c r="E59" s="512" t="s">
        <v>229</v>
      </c>
      <c r="F59" s="363"/>
      <c r="G59" s="42"/>
      <c r="H59" s="361"/>
      <c r="I59" s="42"/>
      <c r="J59" s="41"/>
      <c r="K59" s="43"/>
      <c r="L59" s="51">
        <f t="shared" si="4"/>
        <v>0</v>
      </c>
      <c r="M59" s="43"/>
      <c r="N59" s="51">
        <f t="shared" si="0"/>
        <v>0</v>
      </c>
      <c r="O59" s="43"/>
      <c r="P59" s="51">
        <f t="shared" si="1"/>
        <v>0</v>
      </c>
      <c r="Q59" s="349"/>
      <c r="R59" s="51">
        <f t="shared" si="2"/>
        <v>0</v>
      </c>
      <c r="S59" s="357"/>
      <c r="T59" s="51">
        <f t="shared" si="3"/>
        <v>0</v>
      </c>
      <c r="U59"/>
      <c r="V59"/>
      <c r="W59"/>
      <c r="X59"/>
      <c r="Y59"/>
      <c r="Z59"/>
      <c r="AA59"/>
      <c r="AB59"/>
      <c r="AC59"/>
      <c r="AD59"/>
      <c r="AE59"/>
      <c r="AF59"/>
      <c r="AG59"/>
      <c r="AH59"/>
      <c r="AI59"/>
      <c r="AJ59"/>
      <c r="AK59"/>
    </row>
    <row r="60" spans="1:37" ht="16.5" thickBot="1">
      <c r="A60" s="287"/>
      <c r="B60" s="42"/>
      <c r="C60" s="740"/>
      <c r="D60" s="435"/>
      <c r="E60" s="512" t="s">
        <v>229</v>
      </c>
      <c r="F60" s="363"/>
      <c r="G60" s="42"/>
      <c r="H60" s="361"/>
      <c r="I60" s="42"/>
      <c r="J60" s="41"/>
      <c r="K60" s="43"/>
      <c r="L60" s="51">
        <f t="shared" si="4"/>
        <v>0</v>
      </c>
      <c r="M60" s="43"/>
      <c r="N60" s="51">
        <f t="shared" si="0"/>
        <v>0</v>
      </c>
      <c r="O60" s="43"/>
      <c r="P60" s="51">
        <f t="shared" si="1"/>
        <v>0</v>
      </c>
      <c r="Q60" s="349"/>
      <c r="R60" s="51">
        <f t="shared" si="2"/>
        <v>0</v>
      </c>
      <c r="S60" s="357"/>
      <c r="T60" s="51">
        <f t="shared" si="3"/>
        <v>0</v>
      </c>
      <c r="U60"/>
      <c r="V60"/>
      <c r="W60"/>
      <c r="X60"/>
      <c r="Y60"/>
      <c r="Z60"/>
      <c r="AA60"/>
      <c r="AB60"/>
      <c r="AC60"/>
      <c r="AD60"/>
      <c r="AE60"/>
      <c r="AF60"/>
      <c r="AG60"/>
      <c r="AH60"/>
      <c r="AI60"/>
      <c r="AJ60"/>
      <c r="AK60"/>
    </row>
    <row r="61" spans="1:37" ht="16.5" thickBot="1">
      <c r="A61" s="287"/>
      <c r="B61" s="42"/>
      <c r="C61" s="740"/>
      <c r="D61" s="435"/>
      <c r="E61" s="512" t="s">
        <v>229</v>
      </c>
      <c r="F61" s="363"/>
      <c r="G61" s="42"/>
      <c r="H61" s="361"/>
      <c r="I61" s="42"/>
      <c r="J61" s="41"/>
      <c r="K61" s="43"/>
      <c r="L61" s="51">
        <f t="shared" si="4"/>
        <v>0</v>
      </c>
      <c r="M61" s="43"/>
      <c r="N61" s="51">
        <f t="shared" si="0"/>
        <v>0</v>
      </c>
      <c r="O61" s="43"/>
      <c r="P61" s="51">
        <f t="shared" si="1"/>
        <v>0</v>
      </c>
      <c r="Q61" s="349"/>
      <c r="R61" s="51">
        <f t="shared" si="2"/>
        <v>0</v>
      </c>
      <c r="S61" s="357"/>
      <c r="T61" s="51">
        <f t="shared" si="3"/>
        <v>0</v>
      </c>
      <c r="U61"/>
      <c r="V61"/>
      <c r="W61"/>
      <c r="X61"/>
      <c r="Y61"/>
      <c r="Z61"/>
      <c r="AA61"/>
      <c r="AB61"/>
      <c r="AC61"/>
      <c r="AD61"/>
      <c r="AE61"/>
      <c r="AF61"/>
      <c r="AG61"/>
      <c r="AH61"/>
      <c r="AI61"/>
      <c r="AJ61"/>
      <c r="AK61"/>
    </row>
    <row r="62" spans="1:37" ht="16.5" thickBot="1">
      <c r="A62" s="287"/>
      <c r="B62" s="42"/>
      <c r="C62" s="740"/>
      <c r="D62" s="435"/>
      <c r="E62" s="512" t="s">
        <v>229</v>
      </c>
      <c r="F62" s="363"/>
      <c r="G62" s="42"/>
      <c r="H62" s="361"/>
      <c r="I62" s="42"/>
      <c r="J62" s="41"/>
      <c r="K62" s="43"/>
      <c r="L62" s="51">
        <f t="shared" si="4"/>
        <v>0</v>
      </c>
      <c r="M62" s="43"/>
      <c r="N62" s="51">
        <f t="shared" si="0"/>
        <v>0</v>
      </c>
      <c r="O62" s="43"/>
      <c r="P62" s="51">
        <f t="shared" si="1"/>
        <v>0</v>
      </c>
      <c r="Q62" s="349"/>
      <c r="R62" s="51">
        <f t="shared" si="2"/>
        <v>0</v>
      </c>
      <c r="S62" s="357"/>
      <c r="T62" s="51">
        <f t="shared" si="3"/>
        <v>0</v>
      </c>
      <c r="U62"/>
      <c r="V62"/>
      <c r="W62"/>
      <c r="X62"/>
      <c r="Y62"/>
      <c r="Z62"/>
      <c r="AA62"/>
      <c r="AB62"/>
      <c r="AC62"/>
      <c r="AD62"/>
      <c r="AE62"/>
      <c r="AF62"/>
      <c r="AG62"/>
      <c r="AH62"/>
      <c r="AI62"/>
      <c r="AJ62"/>
      <c r="AK62"/>
    </row>
    <row r="63" spans="1:37" ht="16.5" thickBot="1">
      <c r="A63" s="40"/>
      <c r="B63" s="42"/>
      <c r="C63" s="314"/>
      <c r="D63" s="314"/>
      <c r="E63" s="314"/>
      <c r="F63" s="314"/>
      <c r="G63" s="42"/>
      <c r="H63" s="300"/>
      <c r="I63" s="42"/>
      <c r="J63" s="47"/>
      <c r="K63" s="39"/>
      <c r="L63" s="47"/>
      <c r="M63" s="39"/>
      <c r="N63" s="47"/>
      <c r="O63" s="39"/>
      <c r="P63" s="47"/>
      <c r="Q63" s="348"/>
      <c r="R63" s="48"/>
      <c r="S63" s="357"/>
      <c r="T63" s="48"/>
      <c r="U63"/>
      <c r="V63"/>
      <c r="W63"/>
      <c r="X63"/>
      <c r="Y63"/>
      <c r="Z63"/>
      <c r="AA63"/>
      <c r="AB63"/>
      <c r="AC63"/>
      <c r="AD63"/>
      <c r="AE63"/>
      <c r="AF63"/>
      <c r="AG63"/>
      <c r="AH63"/>
      <c r="AI63"/>
      <c r="AJ63"/>
      <c r="AK63"/>
    </row>
    <row r="64" spans="2:37" ht="16.5" thickBot="1">
      <c r="B64" s="38"/>
      <c r="C64" s="313"/>
      <c r="D64" s="313"/>
      <c r="E64" s="313"/>
      <c r="F64" s="313"/>
      <c r="G64" s="38"/>
      <c r="H64" s="302" t="s">
        <v>194</v>
      </c>
      <c r="I64" s="38"/>
      <c r="J64" s="507">
        <f>SUM(J40:J62)</f>
        <v>14125</v>
      </c>
      <c r="K64" s="372"/>
      <c r="L64" s="507">
        <f>SUM(L40:L62)</f>
        <v>207475</v>
      </c>
      <c r="M64" s="372"/>
      <c r="N64" s="507">
        <f>SUM(N40:N62)</f>
        <v>268183.5</v>
      </c>
      <c r="O64" s="372"/>
      <c r="P64" s="507">
        <f>SUM(P40:P62)</f>
        <v>335358.09</v>
      </c>
      <c r="Q64" s="373"/>
      <c r="R64" s="507">
        <f>SUM(R40:R62)</f>
        <v>362611.25179999997</v>
      </c>
      <c r="S64" s="371"/>
      <c r="T64" s="507">
        <f>SUM(T40:T62)</f>
        <v>374889.476836</v>
      </c>
      <c r="U64"/>
      <c r="V64"/>
      <c r="W64"/>
      <c r="X64"/>
      <c r="Y64"/>
      <c r="Z64"/>
      <c r="AA64"/>
      <c r="AB64"/>
      <c r="AC64"/>
      <c r="AD64"/>
      <c r="AE64"/>
      <c r="AF64"/>
      <c r="AG64"/>
      <c r="AH64"/>
      <c r="AI64"/>
      <c r="AJ64"/>
      <c r="AK64"/>
    </row>
    <row r="65" spans="1:37" ht="15.75">
      <c r="A65" s="49"/>
      <c r="B65" s="50"/>
      <c r="C65" s="315"/>
      <c r="D65" s="315"/>
      <c r="E65" s="315"/>
      <c r="F65" s="315"/>
      <c r="G65" s="50"/>
      <c r="H65" s="300"/>
      <c r="I65" s="50"/>
      <c r="J65" s="44"/>
      <c r="K65" s="43"/>
      <c r="L65" s="44"/>
      <c r="M65" s="43"/>
      <c r="N65" s="44"/>
      <c r="O65" s="43"/>
      <c r="P65" s="44"/>
      <c r="Q65" s="349"/>
      <c r="R65" s="34"/>
      <c r="S65" s="358"/>
      <c r="T65" s="34"/>
      <c r="U65"/>
      <c r="V65"/>
      <c r="W65"/>
      <c r="X65"/>
      <c r="Y65"/>
      <c r="Z65"/>
      <c r="AA65"/>
      <c r="AB65"/>
      <c r="AC65"/>
      <c r="AD65"/>
      <c r="AE65"/>
      <c r="AF65"/>
      <c r="AG65"/>
      <c r="AH65"/>
      <c r="AI65"/>
      <c r="AJ65"/>
      <c r="AK65"/>
    </row>
    <row r="66" spans="1:37" ht="15.75">
      <c r="A66" s="49"/>
      <c r="B66" s="50"/>
      <c r="C66" s="315"/>
      <c r="D66" s="315"/>
      <c r="E66" s="315"/>
      <c r="F66" s="315"/>
      <c r="G66" s="50"/>
      <c r="H66" s="300"/>
      <c r="I66" s="50"/>
      <c r="J66" s="44"/>
      <c r="K66" s="43"/>
      <c r="L66" s="44"/>
      <c r="M66" s="43"/>
      <c r="N66" s="44"/>
      <c r="O66" s="43"/>
      <c r="P66" s="44"/>
      <c r="Q66" s="349"/>
      <c r="R66" s="34"/>
      <c r="S66" s="358"/>
      <c r="T66" s="34"/>
      <c r="U66"/>
      <c r="V66"/>
      <c r="W66"/>
      <c r="X66"/>
      <c r="Y66"/>
      <c r="Z66"/>
      <c r="AA66"/>
      <c r="AB66"/>
      <c r="AC66"/>
      <c r="AD66"/>
      <c r="AE66"/>
      <c r="AF66"/>
      <c r="AG66"/>
      <c r="AH66"/>
      <c r="AI66"/>
      <c r="AJ66"/>
      <c r="AK66"/>
    </row>
    <row r="67" spans="1:37" ht="16.5" thickBot="1">
      <c r="A67" s="49"/>
      <c r="B67" s="50"/>
      <c r="C67" s="315"/>
      <c r="D67" s="315"/>
      <c r="E67" s="315"/>
      <c r="F67" s="315"/>
      <c r="G67" s="50"/>
      <c r="H67" s="300"/>
      <c r="I67" s="50"/>
      <c r="J67" s="44"/>
      <c r="K67" s="43"/>
      <c r="L67" s="44"/>
      <c r="M67" s="43"/>
      <c r="N67" s="44"/>
      <c r="O67" s="43"/>
      <c r="P67" s="44"/>
      <c r="Q67" s="349"/>
      <c r="R67" s="34"/>
      <c r="S67" s="358"/>
      <c r="T67" s="34"/>
      <c r="U67"/>
      <c r="V67"/>
      <c r="W67"/>
      <c r="X67"/>
      <c r="Y67"/>
      <c r="Z67"/>
      <c r="AA67"/>
      <c r="AB67"/>
      <c r="AC67"/>
      <c r="AD67"/>
      <c r="AE67"/>
      <c r="AF67"/>
      <c r="AG67"/>
      <c r="AH67"/>
      <c r="AI67"/>
      <c r="AJ67"/>
      <c r="AK67"/>
    </row>
    <row r="68" spans="1:37" ht="18.75" thickBot="1">
      <c r="A68" s="301" t="s">
        <v>197</v>
      </c>
      <c r="B68" s="38"/>
      <c r="C68" s="313"/>
      <c r="D68" s="313"/>
      <c r="E68" s="313"/>
      <c r="F68" s="313"/>
      <c r="G68" s="38"/>
      <c r="H68" s="300"/>
      <c r="I68" s="38"/>
      <c r="J68" s="37"/>
      <c r="K68" s="39"/>
      <c r="L68" s="37"/>
      <c r="M68" s="39"/>
      <c r="N68" s="37"/>
      <c r="O68" s="335"/>
      <c r="P68" s="37"/>
      <c r="Q68" s="348"/>
      <c r="R68" s="32"/>
      <c r="S68" s="357"/>
      <c r="T68" s="32"/>
      <c r="U68"/>
      <c r="V68"/>
      <c r="W68"/>
      <c r="X68"/>
      <c r="Y68"/>
      <c r="Z68"/>
      <c r="AA68"/>
      <c r="AB68"/>
      <c r="AC68"/>
      <c r="AD68"/>
      <c r="AE68"/>
      <c r="AF68"/>
      <c r="AG68"/>
      <c r="AH68"/>
      <c r="AI68"/>
      <c r="AJ68"/>
      <c r="AK68"/>
    </row>
    <row r="69" spans="1:37" ht="16.5" thickBot="1">
      <c r="A69" s="760" t="s">
        <v>14</v>
      </c>
      <c r="B69" s="52"/>
      <c r="C69" s="513" t="s">
        <v>229</v>
      </c>
      <c r="D69" s="514" t="s">
        <v>229</v>
      </c>
      <c r="E69" s="514" t="s">
        <v>229</v>
      </c>
      <c r="F69" s="514" t="s">
        <v>229</v>
      </c>
      <c r="G69" s="52"/>
      <c r="H69" s="362"/>
      <c r="I69" s="52"/>
      <c r="J69" s="333">
        <f>Personnel!E189</f>
        <v>30000</v>
      </c>
      <c r="K69" s="43"/>
      <c r="L69" s="333">
        <f>Personnel!G189</f>
        <v>451250</v>
      </c>
      <c r="M69" s="334"/>
      <c r="N69" s="333">
        <f>Personnel!I189</f>
        <v>485775</v>
      </c>
      <c r="O69" s="334"/>
      <c r="P69" s="333">
        <f>Personnel!K189</f>
        <v>521500.5</v>
      </c>
      <c r="Q69" s="349"/>
      <c r="R69" s="333">
        <f>Personnel!M189</f>
        <v>531930.5099999999</v>
      </c>
      <c r="S69" s="357"/>
      <c r="T69" s="333">
        <f>Personnel!O189</f>
        <v>542569.1202</v>
      </c>
      <c r="U69"/>
      <c r="V69"/>
      <c r="W69"/>
      <c r="X69"/>
      <c r="Y69"/>
      <c r="Z69"/>
      <c r="AA69"/>
      <c r="AB69"/>
      <c r="AC69"/>
      <c r="AD69"/>
      <c r="AE69"/>
      <c r="AF69"/>
      <c r="AG69"/>
      <c r="AH69"/>
      <c r="AI69"/>
      <c r="AJ69"/>
      <c r="AK69"/>
    </row>
    <row r="70" spans="1:37" ht="16.5" thickBot="1">
      <c r="A70" s="762" t="s">
        <v>271</v>
      </c>
      <c r="B70" s="52"/>
      <c r="C70" s="513" t="s">
        <v>229</v>
      </c>
      <c r="D70" s="514" t="s">
        <v>229</v>
      </c>
      <c r="E70" s="514" t="s">
        <v>229</v>
      </c>
      <c r="F70" s="514" t="s">
        <v>229</v>
      </c>
      <c r="G70" s="52"/>
      <c r="H70" s="362"/>
      <c r="I70" s="52"/>
      <c r="J70" s="333">
        <v>0</v>
      </c>
      <c r="K70" s="43"/>
      <c r="L70" s="333">
        <f>Personnel!G197</f>
        <v>22260</v>
      </c>
      <c r="M70" s="334"/>
      <c r="N70" s="333">
        <f>Personnel!I197</f>
        <v>25408.2</v>
      </c>
      <c r="O70" s="334"/>
      <c r="P70" s="333">
        <f>Personnel!K197</f>
        <v>28673.424</v>
      </c>
      <c r="Q70" s="349"/>
      <c r="R70" s="333">
        <f>Personnel!M197</f>
        <v>29246.892479999995</v>
      </c>
      <c r="S70" s="357"/>
      <c r="T70" s="333">
        <f>Personnel!O197</f>
        <v>29831.830329599994</v>
      </c>
      <c r="U70"/>
      <c r="V70"/>
      <c r="W70"/>
      <c r="X70"/>
      <c r="Y70"/>
      <c r="Z70"/>
      <c r="AA70"/>
      <c r="AB70"/>
      <c r="AC70"/>
      <c r="AD70"/>
      <c r="AE70"/>
      <c r="AF70"/>
      <c r="AG70"/>
      <c r="AH70"/>
      <c r="AI70"/>
      <c r="AJ70"/>
      <c r="AK70"/>
    </row>
    <row r="71" spans="1:37" ht="16.5" thickBot="1">
      <c r="A71" s="761" t="s">
        <v>272</v>
      </c>
      <c r="B71" s="52"/>
      <c r="C71" s="513" t="s">
        <v>229</v>
      </c>
      <c r="D71" s="514" t="s">
        <v>229</v>
      </c>
      <c r="E71" s="514" t="s">
        <v>229</v>
      </c>
      <c r="F71" s="514" t="s">
        <v>229</v>
      </c>
      <c r="G71" s="52"/>
      <c r="H71" s="362"/>
      <c r="I71" s="52"/>
      <c r="J71" s="333">
        <v>0</v>
      </c>
      <c r="K71" s="43"/>
      <c r="L71" s="333">
        <f>Personnel!G195</f>
        <v>0</v>
      </c>
      <c r="M71" s="334"/>
      <c r="N71" s="333">
        <f>Personnel!I195</f>
        <v>0</v>
      </c>
      <c r="O71" s="334"/>
      <c r="P71" s="333">
        <f>Personnel!K195</f>
        <v>0</v>
      </c>
      <c r="Q71" s="349"/>
      <c r="R71" s="333">
        <f>Personnel!M195</f>
        <v>0</v>
      </c>
      <c r="S71" s="357"/>
      <c r="T71" s="333">
        <f>Personnel!O195</f>
        <v>0</v>
      </c>
      <c r="U71"/>
      <c r="V71"/>
      <c r="W71"/>
      <c r="X71"/>
      <c r="Y71"/>
      <c r="Z71"/>
      <c r="AA71"/>
      <c r="AB71"/>
      <c r="AC71"/>
      <c r="AD71"/>
      <c r="AE71"/>
      <c r="AF71"/>
      <c r="AG71"/>
      <c r="AH71"/>
      <c r="AI71"/>
      <c r="AJ71"/>
      <c r="AK71"/>
    </row>
    <row r="72" spans="1:37" ht="16.5" thickBot="1">
      <c r="A72" s="477" t="s">
        <v>185</v>
      </c>
      <c r="B72" s="52"/>
      <c r="C72" s="513" t="s">
        <v>229</v>
      </c>
      <c r="D72" s="514" t="s">
        <v>229</v>
      </c>
      <c r="E72" s="514" t="s">
        <v>229</v>
      </c>
      <c r="F72" s="514" t="s">
        <v>229</v>
      </c>
      <c r="G72" s="52"/>
      <c r="H72" s="362"/>
      <c r="I72" s="52"/>
      <c r="J72" s="51">
        <f>Personnel!E203</f>
        <v>1320</v>
      </c>
      <c r="K72" s="43"/>
      <c r="L72" s="679">
        <f>Personnel!G203</f>
        <v>4774</v>
      </c>
      <c r="M72" s="334"/>
      <c r="N72" s="679">
        <f>Personnel!I203</f>
        <v>4869.48</v>
      </c>
      <c r="O72" s="334"/>
      <c r="P72" s="679">
        <f>Personnel!K203</f>
        <v>4966.869599999999</v>
      </c>
      <c r="Q72" s="349"/>
      <c r="R72" s="679">
        <f>Personnel!M203</f>
        <v>5066.206991999999</v>
      </c>
      <c r="S72" s="358"/>
      <c r="T72" s="679">
        <f>Personnel!O203</f>
        <v>5167.53113184</v>
      </c>
      <c r="U72"/>
      <c r="V72"/>
      <c r="W72"/>
      <c r="X72"/>
      <c r="Y72"/>
      <c r="Z72"/>
      <c r="AA72"/>
      <c r="AB72"/>
      <c r="AC72"/>
      <c r="AD72"/>
      <c r="AE72"/>
      <c r="AF72"/>
      <c r="AG72"/>
      <c r="AH72"/>
      <c r="AI72"/>
      <c r="AJ72"/>
      <c r="AK72"/>
    </row>
    <row r="73" spans="1:37" ht="16.5" thickBot="1">
      <c r="A73" s="476" t="s">
        <v>186</v>
      </c>
      <c r="B73" s="52"/>
      <c r="C73" s="513" t="s">
        <v>229</v>
      </c>
      <c r="D73" s="514" t="s">
        <v>229</v>
      </c>
      <c r="E73" s="514" t="s">
        <v>229</v>
      </c>
      <c r="F73" s="514" t="s">
        <v>229</v>
      </c>
      <c r="G73" s="52"/>
      <c r="H73" s="362"/>
      <c r="I73" s="52"/>
      <c r="J73" s="333">
        <f>Personnel!E199</f>
        <v>1860</v>
      </c>
      <c r="K73" s="43"/>
      <c r="L73" s="333">
        <f>Personnel!G199</f>
        <v>6727</v>
      </c>
      <c r="M73" s="334"/>
      <c r="N73" s="333">
        <f>Personnel!I199</f>
        <v>6861.54</v>
      </c>
      <c r="O73" s="334"/>
      <c r="P73" s="333">
        <f>Personnel!K199</f>
        <v>6998.770799999999</v>
      </c>
      <c r="Q73" s="349"/>
      <c r="R73" s="333">
        <f>Personnel!M199</f>
        <v>7138.746216</v>
      </c>
      <c r="S73" s="357"/>
      <c r="T73" s="333">
        <f>Personnel!O199</f>
        <v>7281.52114032</v>
      </c>
      <c r="U73"/>
      <c r="V73"/>
      <c r="W73"/>
      <c r="X73"/>
      <c r="Y73"/>
      <c r="Z73"/>
      <c r="AA73"/>
      <c r="AB73"/>
      <c r="AC73"/>
      <c r="AD73"/>
      <c r="AE73"/>
      <c r="AF73"/>
      <c r="AG73"/>
      <c r="AH73"/>
      <c r="AI73"/>
      <c r="AJ73"/>
      <c r="AK73"/>
    </row>
    <row r="74" spans="1:37" ht="16.5" thickBot="1">
      <c r="A74" s="757" t="s">
        <v>187</v>
      </c>
      <c r="B74" s="52"/>
      <c r="C74" s="513" t="s">
        <v>229</v>
      </c>
      <c r="D74" s="514" t="s">
        <v>229</v>
      </c>
      <c r="E74" s="514" t="s">
        <v>229</v>
      </c>
      <c r="F74" s="514" t="s">
        <v>229</v>
      </c>
      <c r="G74" s="52"/>
      <c r="H74" s="362"/>
      <c r="I74" s="52"/>
      <c r="J74" s="333">
        <f>Personnel!E201</f>
        <v>435</v>
      </c>
      <c r="K74" s="43"/>
      <c r="L74" s="333">
        <f>Personnel!G201</f>
        <v>6543.125</v>
      </c>
      <c r="M74" s="334"/>
      <c r="N74" s="333">
        <f>Personnel!I201</f>
        <v>7043.7375</v>
      </c>
      <c r="O74" s="334"/>
      <c r="P74" s="333">
        <f>Personnel!K201</f>
        <v>7561.757250000001</v>
      </c>
      <c r="Q74" s="349"/>
      <c r="R74" s="333">
        <f>Personnel!M201</f>
        <v>7712.992394999998</v>
      </c>
      <c r="S74" s="357"/>
      <c r="T74" s="333">
        <f>Personnel!O201</f>
        <v>7867.2522429</v>
      </c>
      <c r="U74"/>
      <c r="V74"/>
      <c r="W74"/>
      <c r="X74"/>
      <c r="Y74"/>
      <c r="Z74"/>
      <c r="AA74"/>
      <c r="AB74"/>
      <c r="AC74"/>
      <c r="AD74"/>
      <c r="AE74"/>
      <c r="AF74"/>
      <c r="AG74"/>
      <c r="AH74"/>
      <c r="AI74"/>
      <c r="AJ74"/>
      <c r="AK74"/>
    </row>
    <row r="75" spans="1:37" ht="48" thickBot="1">
      <c r="A75" s="761" t="s">
        <v>184</v>
      </c>
      <c r="B75" s="52"/>
      <c r="C75" s="741" t="s">
        <v>201</v>
      </c>
      <c r="D75" s="360">
        <v>4800</v>
      </c>
      <c r="E75" s="363"/>
      <c r="F75" s="830">
        <v>0.02</v>
      </c>
      <c r="G75" s="52"/>
      <c r="H75" s="362" t="s">
        <v>634</v>
      </c>
      <c r="I75" s="52"/>
      <c r="J75" s="51"/>
      <c r="K75" s="43"/>
      <c r="L75" s="51">
        <f>IF($C75="Per Employee",$L$175*$D75,IF($C75="% of Salaries",$E75*$L$176,IF($C75="Fixed Per Year",$D75,0)))</f>
        <v>47519.99999999999</v>
      </c>
      <c r="M75" s="334"/>
      <c r="N75" s="51">
        <f>IF($C75="Per Employee",$N$175*$D75,IF($C75="% of Salaries",$E75*$N$176,IF($C75="Fixed Per Year",$D75)))*(1+$F75)^1</f>
        <v>50918.399999999994</v>
      </c>
      <c r="O75" s="334"/>
      <c r="P75" s="51">
        <f>IF($C75="Per Employee",$P$175*$D75,IF($C75="% of Salaries",$E75*$P$176,IF($C75="Fixed Per Year",$D75)))*(1+$F75)^2</f>
        <v>54433.727999999996</v>
      </c>
      <c r="Q75" s="349"/>
      <c r="R75" s="51">
        <f>IF($C75="Per Employee",$R$175*$D75,IF($C75="% of Salaries",$E75*$R$176,IF($C75="Fixed Per Year",$D75)))*(1+$F75)^3</f>
        <v>55522.40255999999</v>
      </c>
      <c r="S75" s="358"/>
      <c r="T75" s="51">
        <f>IF($C75="Per Employee",$T$175*$D75,IF($C75="% of Salaries",$E75*$T$176,IF($C75="Fixed Per Year",$D75)))*(1+$F75)^4</f>
        <v>56632.85061119999</v>
      </c>
      <c r="U75"/>
      <c r="V75"/>
      <c r="W75"/>
      <c r="X75"/>
      <c r="Y75"/>
      <c r="Z75"/>
      <c r="AA75"/>
      <c r="AB75"/>
      <c r="AC75"/>
      <c r="AD75"/>
      <c r="AE75"/>
      <c r="AF75"/>
      <c r="AG75"/>
      <c r="AH75"/>
      <c r="AI75"/>
      <c r="AJ75"/>
      <c r="AK75"/>
    </row>
    <row r="76" spans="1:37" ht="32.25" thickBot="1">
      <c r="A76" s="476" t="s">
        <v>188</v>
      </c>
      <c r="B76" s="52"/>
      <c r="C76" s="741" t="s">
        <v>202</v>
      </c>
      <c r="D76" s="360"/>
      <c r="E76" s="363">
        <v>0.01</v>
      </c>
      <c r="F76" s="830"/>
      <c r="G76" s="52"/>
      <c r="H76" s="362" t="s">
        <v>606</v>
      </c>
      <c r="I76" s="52"/>
      <c r="J76" s="51"/>
      <c r="K76" s="43"/>
      <c r="L76" s="51">
        <f aca="true" t="shared" si="5" ref="L76:L81">IF($C76="Per Employee",$L$175*$D76,IF($C76="% of Salaries",$E76*$L$176,IF($C76="Fixed Per Year",$D76,0)))</f>
        <v>4512.5</v>
      </c>
      <c r="M76" s="43"/>
      <c r="N76" s="51">
        <f aca="true" t="shared" si="6" ref="N76:N90">IF($C76="Per Employee",$N$175*$D76,IF($C76="% of Salaries",$E76*$N$176,IF($C76="Fixed Per Year",$D76)))*(1+$F76)^1</f>
        <v>4857.75</v>
      </c>
      <c r="O76" s="334"/>
      <c r="P76" s="51">
        <f aca="true" t="shared" si="7" ref="P76:P90">IF($C76="Per Employee",$P$175*$D76,IF($C76="% of Salaries",$E76*$P$176,IF($C76="Fixed Per Year",$D76)))*(1+$F76)^2</f>
        <v>5215.005</v>
      </c>
      <c r="Q76" s="349"/>
      <c r="R76" s="51">
        <f aca="true" t="shared" si="8" ref="R76:R90">IF($C76="Per Employee",$R$175*$D76,IF($C76="% of Salaries",$E76*$R$176,IF($C76="Fixed Per Year",$D76)))*(1+$F76)^3</f>
        <v>5319.305099999999</v>
      </c>
      <c r="S76" s="358"/>
      <c r="T76" s="51">
        <f aca="true" t="shared" si="9" ref="T76:T90">IF($C76="Per Employee",$T$175*$D76,IF($C76="% of Salaries",$E76*$T$176,IF($C76="Fixed Per Year",$D76)))*(1+$F76)^4</f>
        <v>5425.691202</v>
      </c>
      <c r="U76"/>
      <c r="V76"/>
      <c r="W76"/>
      <c r="X76"/>
      <c r="Y76"/>
      <c r="Z76"/>
      <c r="AA76"/>
      <c r="AB76"/>
      <c r="AC76"/>
      <c r="AD76"/>
      <c r="AE76"/>
      <c r="AF76"/>
      <c r="AG76"/>
      <c r="AH76"/>
      <c r="AI76"/>
      <c r="AJ76"/>
      <c r="AK76"/>
    </row>
    <row r="77" spans="1:37" ht="32.25" thickBot="1">
      <c r="A77" s="476" t="s">
        <v>199</v>
      </c>
      <c r="B77" s="52"/>
      <c r="C77" s="741" t="s">
        <v>202</v>
      </c>
      <c r="D77" s="360"/>
      <c r="E77" s="363">
        <v>0.01</v>
      </c>
      <c r="F77" s="830"/>
      <c r="G77" s="52"/>
      <c r="H77" s="362" t="s">
        <v>606</v>
      </c>
      <c r="I77" s="52"/>
      <c r="J77" s="51"/>
      <c r="K77" s="43"/>
      <c r="L77" s="51">
        <f t="shared" si="5"/>
        <v>4512.5</v>
      </c>
      <c r="M77" s="43"/>
      <c r="N77" s="51">
        <f t="shared" si="6"/>
        <v>4857.75</v>
      </c>
      <c r="O77" s="43"/>
      <c r="P77" s="51">
        <f t="shared" si="7"/>
        <v>5215.005</v>
      </c>
      <c r="Q77" s="349"/>
      <c r="R77" s="51">
        <f t="shared" si="8"/>
        <v>5319.305099999999</v>
      </c>
      <c r="S77" s="357"/>
      <c r="T77" s="51">
        <f t="shared" si="9"/>
        <v>5425.691202</v>
      </c>
      <c r="U77"/>
      <c r="V77"/>
      <c r="W77"/>
      <c r="X77"/>
      <c r="Y77"/>
      <c r="Z77"/>
      <c r="AA77"/>
      <c r="AB77"/>
      <c r="AC77"/>
      <c r="AD77"/>
      <c r="AE77"/>
      <c r="AF77"/>
      <c r="AG77"/>
      <c r="AH77"/>
      <c r="AI77"/>
      <c r="AJ77"/>
      <c r="AK77"/>
    </row>
    <row r="78" spans="1:37" ht="16.5" thickBot="1">
      <c r="A78" s="379"/>
      <c r="B78" s="52"/>
      <c r="C78" s="741"/>
      <c r="D78" s="360"/>
      <c r="E78" s="363"/>
      <c r="F78" s="830"/>
      <c r="G78" s="52"/>
      <c r="H78" s="362"/>
      <c r="I78" s="52"/>
      <c r="J78" s="51"/>
      <c r="K78" s="43"/>
      <c r="L78" s="51">
        <f t="shared" si="5"/>
        <v>0</v>
      </c>
      <c r="M78" s="43"/>
      <c r="N78" s="51">
        <f t="shared" si="6"/>
        <v>0</v>
      </c>
      <c r="O78" s="43"/>
      <c r="P78" s="51">
        <f t="shared" si="7"/>
        <v>0</v>
      </c>
      <c r="Q78" s="349"/>
      <c r="R78" s="51">
        <f t="shared" si="8"/>
        <v>0</v>
      </c>
      <c r="S78" s="357"/>
      <c r="T78" s="51">
        <f t="shared" si="9"/>
        <v>0</v>
      </c>
      <c r="U78"/>
      <c r="V78"/>
      <c r="W78"/>
      <c r="X78"/>
      <c r="Y78"/>
      <c r="Z78"/>
      <c r="AA78"/>
      <c r="AB78"/>
      <c r="AC78"/>
      <c r="AD78"/>
      <c r="AE78"/>
      <c r="AF78"/>
      <c r="AG78"/>
      <c r="AH78"/>
      <c r="AI78"/>
      <c r="AJ78"/>
      <c r="AK78"/>
    </row>
    <row r="79" spans="1:37" ht="16.5" thickBot="1">
      <c r="A79" s="379"/>
      <c r="B79" s="52"/>
      <c r="C79" s="741"/>
      <c r="D79" s="360"/>
      <c r="E79" s="363"/>
      <c r="F79" s="830"/>
      <c r="G79" s="52"/>
      <c r="H79" s="362"/>
      <c r="I79" s="52"/>
      <c r="J79" s="51"/>
      <c r="K79" s="43"/>
      <c r="L79" s="51">
        <f t="shared" si="5"/>
        <v>0</v>
      </c>
      <c r="M79" s="43"/>
      <c r="N79" s="51">
        <f t="shared" si="6"/>
        <v>0</v>
      </c>
      <c r="O79" s="43"/>
      <c r="P79" s="51">
        <f t="shared" si="7"/>
        <v>0</v>
      </c>
      <c r="Q79" s="349"/>
      <c r="R79" s="51">
        <f t="shared" si="8"/>
        <v>0</v>
      </c>
      <c r="S79" s="357"/>
      <c r="T79" s="51">
        <f t="shared" si="9"/>
        <v>0</v>
      </c>
      <c r="U79"/>
      <c r="V79"/>
      <c r="W79"/>
      <c r="X79"/>
      <c r="Y79"/>
      <c r="Z79"/>
      <c r="AA79"/>
      <c r="AB79"/>
      <c r="AC79"/>
      <c r="AD79"/>
      <c r="AE79"/>
      <c r="AF79"/>
      <c r="AG79"/>
      <c r="AH79"/>
      <c r="AI79"/>
      <c r="AJ79"/>
      <c r="AK79"/>
    </row>
    <row r="80" spans="1:37" ht="16.5" thickBot="1">
      <c r="A80" s="379"/>
      <c r="B80" s="52"/>
      <c r="C80" s="741"/>
      <c r="D80" s="360"/>
      <c r="E80" s="363"/>
      <c r="F80" s="830"/>
      <c r="G80" s="52"/>
      <c r="H80" s="362"/>
      <c r="I80" s="52"/>
      <c r="J80" s="51"/>
      <c r="K80" s="43"/>
      <c r="L80" s="51">
        <f t="shared" si="5"/>
        <v>0</v>
      </c>
      <c r="M80" s="43"/>
      <c r="N80" s="51">
        <f t="shared" si="6"/>
        <v>0</v>
      </c>
      <c r="O80" s="43"/>
      <c r="P80" s="51">
        <f t="shared" si="7"/>
        <v>0</v>
      </c>
      <c r="Q80" s="349"/>
      <c r="R80" s="51">
        <f t="shared" si="8"/>
        <v>0</v>
      </c>
      <c r="S80" s="357"/>
      <c r="T80" s="51">
        <f t="shared" si="9"/>
        <v>0</v>
      </c>
      <c r="U80"/>
      <c r="V80"/>
      <c r="W80"/>
      <c r="X80"/>
      <c r="Y80"/>
      <c r="Z80"/>
      <c r="AA80"/>
      <c r="AB80"/>
      <c r="AC80"/>
      <c r="AD80"/>
      <c r="AE80"/>
      <c r="AF80"/>
      <c r="AG80"/>
      <c r="AH80"/>
      <c r="AI80"/>
      <c r="AJ80"/>
      <c r="AK80"/>
    </row>
    <row r="81" spans="1:20" ht="16.5" thickBot="1">
      <c r="A81" s="287"/>
      <c r="C81" s="741"/>
      <c r="D81" s="360"/>
      <c r="E81" s="363"/>
      <c r="F81" s="830"/>
      <c r="H81" s="362"/>
      <c r="J81" s="51"/>
      <c r="L81" s="51">
        <f t="shared" si="5"/>
        <v>0</v>
      </c>
      <c r="N81" s="51">
        <f t="shared" si="6"/>
        <v>0</v>
      </c>
      <c r="P81" s="51">
        <f t="shared" si="7"/>
        <v>0</v>
      </c>
      <c r="R81" s="51">
        <f t="shared" si="8"/>
        <v>0</v>
      </c>
      <c r="T81" s="51">
        <f t="shared" si="9"/>
        <v>0</v>
      </c>
    </row>
    <row r="82" spans="1:37" ht="16.5" thickBot="1">
      <c r="A82" s="926" t="s">
        <v>237</v>
      </c>
      <c r="B82" s="52"/>
      <c r="C82" s="513" t="s">
        <v>229</v>
      </c>
      <c r="D82" s="514" t="s">
        <v>229</v>
      </c>
      <c r="E82" s="514" t="s">
        <v>229</v>
      </c>
      <c r="F82" s="514" t="s">
        <v>229</v>
      </c>
      <c r="G82" s="52"/>
      <c r="H82" s="362"/>
      <c r="I82" s="52"/>
      <c r="J82" s="333">
        <v>0</v>
      </c>
      <c r="K82" s="43"/>
      <c r="L82" s="333">
        <v>0</v>
      </c>
      <c r="M82" s="43"/>
      <c r="N82" s="333">
        <v>0</v>
      </c>
      <c r="O82" s="43"/>
      <c r="P82" s="333">
        <v>0</v>
      </c>
      <c r="Q82" s="349"/>
      <c r="R82" s="333">
        <v>0</v>
      </c>
      <c r="S82" s="357"/>
      <c r="T82" s="333">
        <v>0</v>
      </c>
      <c r="U82"/>
      <c r="V82"/>
      <c r="W82"/>
      <c r="X82"/>
      <c r="Y82"/>
      <c r="Z82"/>
      <c r="AA82"/>
      <c r="AB82"/>
      <c r="AC82"/>
      <c r="AD82"/>
      <c r="AE82"/>
      <c r="AF82"/>
      <c r="AG82"/>
      <c r="AH82"/>
      <c r="AI82"/>
      <c r="AJ82"/>
      <c r="AK82"/>
    </row>
    <row r="83" spans="1:37" ht="32.25" thickBot="1">
      <c r="A83" s="758" t="s">
        <v>15</v>
      </c>
      <c r="B83" s="52"/>
      <c r="C83" s="741" t="s">
        <v>231</v>
      </c>
      <c r="D83" s="360">
        <v>1500</v>
      </c>
      <c r="E83" s="363"/>
      <c r="F83" s="830">
        <v>0.02</v>
      </c>
      <c r="G83" s="52"/>
      <c r="H83" s="362" t="s">
        <v>659</v>
      </c>
      <c r="I83" s="52"/>
      <c r="J83" s="51"/>
      <c r="K83" s="43"/>
      <c r="L83" s="51">
        <f>IF($C83="Per Employee",$L$175*$D83,IF($C83="% of Salaries",$E83*$L$176,IF($C83="Fixed Per Year",$D83,0)))</f>
        <v>1500</v>
      </c>
      <c r="M83" s="43"/>
      <c r="N83" s="51">
        <f t="shared" si="6"/>
        <v>1530</v>
      </c>
      <c r="O83" s="43"/>
      <c r="P83" s="51">
        <f t="shared" si="7"/>
        <v>1560.6</v>
      </c>
      <c r="Q83" s="349"/>
      <c r="R83" s="51">
        <f t="shared" si="8"/>
        <v>1591.812</v>
      </c>
      <c r="S83" s="357"/>
      <c r="T83" s="51">
        <f t="shared" si="9"/>
        <v>1623.64824</v>
      </c>
      <c r="U83"/>
      <c r="V83"/>
      <c r="W83"/>
      <c r="X83"/>
      <c r="Y83"/>
      <c r="Z83"/>
      <c r="AA83"/>
      <c r="AB83"/>
      <c r="AC83"/>
      <c r="AD83"/>
      <c r="AE83"/>
      <c r="AF83"/>
      <c r="AG83"/>
      <c r="AH83"/>
      <c r="AI83"/>
      <c r="AJ83"/>
      <c r="AK83"/>
    </row>
    <row r="84" spans="1:37" ht="16.5" thickBot="1">
      <c r="A84" s="757" t="s">
        <v>16</v>
      </c>
      <c r="B84" s="52"/>
      <c r="C84" s="741" t="s">
        <v>201</v>
      </c>
      <c r="D84" s="360">
        <v>1500</v>
      </c>
      <c r="E84" s="363"/>
      <c r="F84" s="830">
        <v>0.02</v>
      </c>
      <c r="G84" s="52"/>
      <c r="H84" s="362"/>
      <c r="I84" s="52"/>
      <c r="J84" s="51"/>
      <c r="K84" s="43"/>
      <c r="L84" s="51">
        <f aca="true" t="shared" si="10" ref="L84:L90">IF($C84="Per Employee",$L$175*$D84,IF($C84="% of Salaries",$E84*$L$176,IF($C84="Fixed Per Year",$D84,0)))</f>
        <v>14849.999999999998</v>
      </c>
      <c r="M84" s="43"/>
      <c r="N84" s="51">
        <f t="shared" si="6"/>
        <v>15911.999999999998</v>
      </c>
      <c r="O84" s="43"/>
      <c r="P84" s="51">
        <f t="shared" si="7"/>
        <v>17010.539999999997</v>
      </c>
      <c r="Q84" s="349"/>
      <c r="R84" s="51">
        <f t="shared" si="8"/>
        <v>17350.750799999998</v>
      </c>
      <c r="S84" s="357"/>
      <c r="T84" s="51">
        <f t="shared" si="9"/>
        <v>17697.765816</v>
      </c>
      <c r="U84"/>
      <c r="V84"/>
      <c r="W84"/>
      <c r="X84"/>
      <c r="Y84"/>
      <c r="Z84"/>
      <c r="AA84"/>
      <c r="AB84"/>
      <c r="AC84"/>
      <c r="AD84"/>
      <c r="AE84"/>
      <c r="AF84"/>
      <c r="AG84"/>
      <c r="AH84"/>
      <c r="AI84"/>
      <c r="AJ84"/>
      <c r="AK84"/>
    </row>
    <row r="85" spans="1:37" ht="16.5" thickBot="1">
      <c r="A85" s="757" t="s">
        <v>238</v>
      </c>
      <c r="B85" s="52"/>
      <c r="C85" s="741"/>
      <c r="D85" s="360"/>
      <c r="E85" s="363"/>
      <c r="F85" s="830"/>
      <c r="G85" s="52"/>
      <c r="H85" s="362"/>
      <c r="I85" s="52"/>
      <c r="J85" s="51"/>
      <c r="K85" s="43"/>
      <c r="L85" s="51">
        <f t="shared" si="10"/>
        <v>0</v>
      </c>
      <c r="M85" s="43"/>
      <c r="N85" s="51">
        <f t="shared" si="6"/>
        <v>0</v>
      </c>
      <c r="O85" s="43"/>
      <c r="P85" s="51">
        <f t="shared" si="7"/>
        <v>0</v>
      </c>
      <c r="Q85" s="349"/>
      <c r="R85" s="51">
        <f t="shared" si="8"/>
        <v>0</v>
      </c>
      <c r="S85" s="357"/>
      <c r="T85" s="51">
        <f t="shared" si="9"/>
        <v>0</v>
      </c>
      <c r="U85"/>
      <c r="V85"/>
      <c r="W85"/>
      <c r="X85"/>
      <c r="Y85"/>
      <c r="Z85"/>
      <c r="AA85"/>
      <c r="AB85"/>
      <c r="AC85"/>
      <c r="AD85"/>
      <c r="AE85"/>
      <c r="AF85"/>
      <c r="AG85"/>
      <c r="AH85"/>
      <c r="AI85"/>
      <c r="AJ85"/>
      <c r="AK85"/>
    </row>
    <row r="86" spans="1:37" ht="16.5" thickBot="1">
      <c r="A86" s="757" t="s">
        <v>239</v>
      </c>
      <c r="B86" s="52"/>
      <c r="C86" s="741" t="s">
        <v>7</v>
      </c>
      <c r="D86" s="360"/>
      <c r="E86" s="363"/>
      <c r="F86" s="830">
        <v>0.02</v>
      </c>
      <c r="G86" s="52"/>
      <c r="H86" s="361" t="s">
        <v>607</v>
      </c>
      <c r="I86" s="52"/>
      <c r="J86" s="51"/>
      <c r="K86" s="43"/>
      <c r="L86" s="51">
        <f>(Personnel!G7+Personnel!G8)*130*5</f>
        <v>3250</v>
      </c>
      <c r="M86" s="43"/>
      <c r="N86" s="51">
        <f>(Personnel!I7+Personnel!I8)*130*5</f>
        <v>3575</v>
      </c>
      <c r="O86" s="43"/>
      <c r="P86" s="51">
        <f>(Personnel!K7+Personnel!K8)*130*5</f>
        <v>3900</v>
      </c>
      <c r="Q86" s="349"/>
      <c r="R86" s="51">
        <f>(Personnel!M7+Personnel!M8)*130*5</f>
        <v>3900</v>
      </c>
      <c r="S86" s="357"/>
      <c r="T86" s="51">
        <f>(Personnel!O7+Personnel!O8)*130*5</f>
        <v>3900</v>
      </c>
      <c r="U86"/>
      <c r="V86"/>
      <c r="W86"/>
      <c r="X86"/>
      <c r="Y86"/>
      <c r="Z86"/>
      <c r="AA86"/>
      <c r="AB86"/>
      <c r="AC86"/>
      <c r="AD86"/>
      <c r="AE86"/>
      <c r="AF86"/>
      <c r="AG86"/>
      <c r="AH86"/>
      <c r="AI86"/>
      <c r="AJ86"/>
      <c r="AK86"/>
    </row>
    <row r="87" spans="1:37" ht="16.5" thickBot="1">
      <c r="A87" s="287"/>
      <c r="B87" s="52"/>
      <c r="C87" s="741"/>
      <c r="D87" s="360"/>
      <c r="E87" s="363"/>
      <c r="F87" s="830"/>
      <c r="G87" s="52"/>
      <c r="H87" s="362"/>
      <c r="I87" s="52"/>
      <c r="J87" s="51"/>
      <c r="K87" s="43"/>
      <c r="L87" s="51">
        <f t="shared" si="10"/>
        <v>0</v>
      </c>
      <c r="M87" s="43"/>
      <c r="N87" s="51">
        <f t="shared" si="6"/>
        <v>0</v>
      </c>
      <c r="O87" s="43"/>
      <c r="P87" s="51">
        <f t="shared" si="7"/>
        <v>0</v>
      </c>
      <c r="Q87" s="349"/>
      <c r="R87" s="51">
        <f t="shared" si="8"/>
        <v>0</v>
      </c>
      <c r="S87" s="357"/>
      <c r="T87" s="51">
        <f t="shared" si="9"/>
        <v>0</v>
      </c>
      <c r="U87"/>
      <c r="V87"/>
      <c r="W87"/>
      <c r="X87"/>
      <c r="Y87"/>
      <c r="Z87"/>
      <c r="AA87"/>
      <c r="AB87"/>
      <c r="AC87"/>
      <c r="AD87"/>
      <c r="AE87"/>
      <c r="AF87"/>
      <c r="AG87"/>
      <c r="AH87"/>
      <c r="AI87"/>
      <c r="AJ87"/>
      <c r="AK87"/>
    </row>
    <row r="88" spans="1:37" ht="16.5" thickBot="1">
      <c r="A88" s="287"/>
      <c r="B88" s="52"/>
      <c r="C88" s="741"/>
      <c r="D88" s="360"/>
      <c r="E88" s="363"/>
      <c r="F88" s="830"/>
      <c r="G88" s="52"/>
      <c r="H88" s="362"/>
      <c r="I88" s="52"/>
      <c r="J88" s="51"/>
      <c r="K88" s="43"/>
      <c r="L88" s="51">
        <f t="shared" si="10"/>
        <v>0</v>
      </c>
      <c r="M88" s="43"/>
      <c r="N88" s="51">
        <f t="shared" si="6"/>
        <v>0</v>
      </c>
      <c r="O88" s="43"/>
      <c r="P88" s="51">
        <f t="shared" si="7"/>
        <v>0</v>
      </c>
      <c r="Q88" s="349"/>
      <c r="R88" s="51">
        <f t="shared" si="8"/>
        <v>0</v>
      </c>
      <c r="S88" s="357"/>
      <c r="T88" s="51">
        <f t="shared" si="9"/>
        <v>0</v>
      </c>
      <c r="U88"/>
      <c r="V88"/>
      <c r="W88"/>
      <c r="X88"/>
      <c r="Y88"/>
      <c r="Z88"/>
      <c r="AA88"/>
      <c r="AB88"/>
      <c r="AC88"/>
      <c r="AD88"/>
      <c r="AE88"/>
      <c r="AF88"/>
      <c r="AG88"/>
      <c r="AH88"/>
      <c r="AI88"/>
      <c r="AJ88"/>
      <c r="AK88"/>
    </row>
    <row r="89" spans="1:37" ht="16.5" thickBot="1">
      <c r="A89" s="287"/>
      <c r="B89" s="52"/>
      <c r="C89" s="741"/>
      <c r="D89" s="360"/>
      <c r="E89" s="363"/>
      <c r="F89" s="830"/>
      <c r="G89" s="52"/>
      <c r="H89" s="362"/>
      <c r="I89" s="52"/>
      <c r="J89" s="51"/>
      <c r="K89" s="43"/>
      <c r="L89" s="51">
        <f t="shared" si="10"/>
        <v>0</v>
      </c>
      <c r="M89" s="43"/>
      <c r="N89" s="51">
        <f t="shared" si="6"/>
        <v>0</v>
      </c>
      <c r="O89" s="43"/>
      <c r="P89" s="51">
        <f t="shared" si="7"/>
        <v>0</v>
      </c>
      <c r="Q89" s="349"/>
      <c r="R89" s="51">
        <f t="shared" si="8"/>
        <v>0</v>
      </c>
      <c r="S89" s="357"/>
      <c r="T89" s="51">
        <f t="shared" si="9"/>
        <v>0</v>
      </c>
      <c r="U89"/>
      <c r="V89"/>
      <c r="W89"/>
      <c r="X89"/>
      <c r="Y89"/>
      <c r="Z89"/>
      <c r="AA89"/>
      <c r="AB89"/>
      <c r="AC89"/>
      <c r="AD89"/>
      <c r="AE89"/>
      <c r="AF89"/>
      <c r="AG89"/>
      <c r="AH89"/>
      <c r="AI89"/>
      <c r="AJ89"/>
      <c r="AK89"/>
    </row>
    <row r="90" spans="1:37" ht="16.5" thickBot="1">
      <c r="A90" s="287"/>
      <c r="B90" s="52"/>
      <c r="C90" s="741"/>
      <c r="D90" s="360"/>
      <c r="E90" s="363"/>
      <c r="F90" s="830"/>
      <c r="G90" s="52"/>
      <c r="H90" s="362"/>
      <c r="I90" s="52"/>
      <c r="J90" s="51"/>
      <c r="K90" s="43"/>
      <c r="L90" s="51">
        <f t="shared" si="10"/>
        <v>0</v>
      </c>
      <c r="M90" s="43"/>
      <c r="N90" s="51">
        <f t="shared" si="6"/>
        <v>0</v>
      </c>
      <c r="O90" s="43"/>
      <c r="P90" s="51">
        <f t="shared" si="7"/>
        <v>0</v>
      </c>
      <c r="Q90" s="349"/>
      <c r="R90" s="51">
        <f t="shared" si="8"/>
        <v>0</v>
      </c>
      <c r="S90" s="357"/>
      <c r="T90" s="51">
        <f t="shared" si="9"/>
        <v>0</v>
      </c>
      <c r="U90"/>
      <c r="V90"/>
      <c r="W90"/>
      <c r="X90"/>
      <c r="Y90"/>
      <c r="Z90"/>
      <c r="AA90"/>
      <c r="AB90"/>
      <c r="AC90"/>
      <c r="AD90"/>
      <c r="AE90"/>
      <c r="AF90"/>
      <c r="AG90"/>
      <c r="AH90"/>
      <c r="AI90"/>
      <c r="AJ90"/>
      <c r="AK90"/>
    </row>
    <row r="91" spans="1:37" ht="16.5" thickBot="1">
      <c r="A91" s="40"/>
      <c r="B91" s="42"/>
      <c r="C91" s="314"/>
      <c r="D91" s="314"/>
      <c r="E91" s="314"/>
      <c r="F91" s="314"/>
      <c r="G91" s="42"/>
      <c r="H91" s="300"/>
      <c r="I91" s="42"/>
      <c r="J91" s="47"/>
      <c r="K91" s="39"/>
      <c r="L91" s="47"/>
      <c r="M91" s="39"/>
      <c r="N91" s="47"/>
      <c r="O91" s="39"/>
      <c r="P91" s="47"/>
      <c r="Q91" s="348"/>
      <c r="R91" s="48"/>
      <c r="S91" s="357"/>
      <c r="T91" s="48"/>
      <c r="U91"/>
      <c r="V91"/>
      <c r="W91"/>
      <c r="X91"/>
      <c r="Y91"/>
      <c r="Z91"/>
      <c r="AA91"/>
      <c r="AB91"/>
      <c r="AC91"/>
      <c r="AD91"/>
      <c r="AE91"/>
      <c r="AF91"/>
      <c r="AG91"/>
      <c r="AH91"/>
      <c r="AI91"/>
      <c r="AJ91"/>
      <c r="AK91"/>
    </row>
    <row r="92" spans="2:37" ht="16.5" thickBot="1">
      <c r="B92" s="38"/>
      <c r="C92" s="313"/>
      <c r="D92" s="313"/>
      <c r="E92" s="313"/>
      <c r="F92" s="313"/>
      <c r="G92" s="38"/>
      <c r="H92" s="302" t="s">
        <v>195</v>
      </c>
      <c r="I92" s="38"/>
      <c r="J92" s="508">
        <f>SUM(J69:J90)</f>
        <v>33615</v>
      </c>
      <c r="K92" s="374"/>
      <c r="L92" s="508">
        <f>SUM(L69:L90)</f>
        <v>567699.125</v>
      </c>
      <c r="M92" s="374"/>
      <c r="N92" s="508">
        <f>SUM(N69:N90)</f>
        <v>611608.8575</v>
      </c>
      <c r="O92" s="374"/>
      <c r="P92" s="508">
        <f>SUM(P69:P90)</f>
        <v>657036.1996500001</v>
      </c>
      <c r="Q92" s="375"/>
      <c r="R92" s="508">
        <f>SUM(R69:R90)</f>
        <v>670098.9236429998</v>
      </c>
      <c r="S92" s="371"/>
      <c r="T92" s="508">
        <f>SUM(T69:T90)</f>
        <v>683422.90211586</v>
      </c>
      <c r="U92"/>
      <c r="V92"/>
      <c r="W92"/>
      <c r="X92"/>
      <c r="Y92"/>
      <c r="Z92"/>
      <c r="AA92"/>
      <c r="AB92"/>
      <c r="AC92"/>
      <c r="AD92"/>
      <c r="AE92"/>
      <c r="AF92"/>
      <c r="AG92"/>
      <c r="AH92"/>
      <c r="AI92"/>
      <c r="AJ92"/>
      <c r="AK92"/>
    </row>
    <row r="93" spans="1:37" ht="16.5" thickBot="1">
      <c r="A93" s="49"/>
      <c r="B93" s="50"/>
      <c r="C93" s="315"/>
      <c r="D93" s="315"/>
      <c r="E93" s="315"/>
      <c r="F93" s="315"/>
      <c r="G93" s="50"/>
      <c r="H93" s="300"/>
      <c r="I93" s="50"/>
      <c r="J93" s="44"/>
      <c r="K93" s="43"/>
      <c r="L93" s="44"/>
      <c r="M93" s="43"/>
      <c r="N93" s="44"/>
      <c r="O93" s="43"/>
      <c r="P93" s="44"/>
      <c r="Q93" s="349"/>
      <c r="R93" s="34"/>
      <c r="S93" s="358"/>
      <c r="T93" s="34"/>
      <c r="U93"/>
      <c r="V93"/>
      <c r="W93"/>
      <c r="X93"/>
      <c r="Y93"/>
      <c r="Z93"/>
      <c r="AA93"/>
      <c r="AB93"/>
      <c r="AC93"/>
      <c r="AD93"/>
      <c r="AE93"/>
      <c r="AF93"/>
      <c r="AG93"/>
      <c r="AH93"/>
      <c r="AI93"/>
      <c r="AJ93"/>
      <c r="AK93"/>
    </row>
    <row r="94" spans="1:37" ht="18.75" thickBot="1">
      <c r="A94" s="301" t="s">
        <v>196</v>
      </c>
      <c r="B94" s="38"/>
      <c r="C94" s="313"/>
      <c r="D94" s="313"/>
      <c r="E94" s="313"/>
      <c r="F94" s="313"/>
      <c r="G94" s="38"/>
      <c r="H94" s="300"/>
      <c r="I94" s="38"/>
      <c r="J94" s="37"/>
      <c r="K94" s="39"/>
      <c r="L94" s="37"/>
      <c r="M94" s="39"/>
      <c r="N94" s="37"/>
      <c r="O94" s="39"/>
      <c r="P94" s="37"/>
      <c r="Q94" s="348"/>
      <c r="R94" s="32"/>
      <c r="S94" s="357"/>
      <c r="T94" s="32"/>
      <c r="U94"/>
      <c r="V94"/>
      <c r="W94"/>
      <c r="X94"/>
      <c r="Y94"/>
      <c r="Z94"/>
      <c r="AA94"/>
      <c r="AB94"/>
      <c r="AC94"/>
      <c r="AD94"/>
      <c r="AE94"/>
      <c r="AF94"/>
      <c r="AG94"/>
      <c r="AH94"/>
      <c r="AI94"/>
      <c r="AJ94"/>
      <c r="AK94"/>
    </row>
    <row r="95" spans="1:37" ht="48" thickBot="1">
      <c r="A95" s="763" t="s">
        <v>251</v>
      </c>
      <c r="B95" s="42"/>
      <c r="C95" s="740" t="s">
        <v>201</v>
      </c>
      <c r="D95" s="360">
        <v>200</v>
      </c>
      <c r="E95" s="512" t="s">
        <v>229</v>
      </c>
      <c r="F95" s="363">
        <v>0.02</v>
      </c>
      <c r="G95" s="42"/>
      <c r="H95" s="361" t="s">
        <v>604</v>
      </c>
      <c r="I95" s="42"/>
      <c r="J95" s="51"/>
      <c r="K95" s="43"/>
      <c r="L95" s="51">
        <f>IF($C95="Per Employee",$L$175*$D95,IF($C95="Per Pupil",$D95*$L$177,IF($C95="Fixed Per Year",$D95,0)))</f>
        <v>1979.9999999999998</v>
      </c>
      <c r="M95" s="43"/>
      <c r="N95" s="51">
        <f>IF($C95="Per Employee",$N$175*$D95,IF($C95="Per Pupil",$D95*$N$177,IF($C95="Fixed Per Year",$D95)))*(1+$F95)^1</f>
        <v>2121.5999999999995</v>
      </c>
      <c r="O95" s="43"/>
      <c r="P95" s="51">
        <f>IF($C95="Per Employee",$P$175*$D95,IF($C95="Per Pupil",$D95*$P$177,IF($C95="Fixed Per Year",$D95)))*(1+$F95)^2</f>
        <v>2268.0719999999997</v>
      </c>
      <c r="Q95" s="349"/>
      <c r="R95" s="51">
        <f>IF($C95="Per Employee",$R$175*$D95,IF($C95="Per Pupil",$D95*$R$177,IF($C95="Fixed Per Year",$D95)))*(1+$F95)^3</f>
        <v>2313.4334399999993</v>
      </c>
      <c r="S95" s="357"/>
      <c r="T95" s="51">
        <f>IF($C95="Per Employee",$T$175*$D95,IF($C95="Per Pupil",$D95*$T$177,IF($C95="Fixed Per Year",$D95)))*(1+$F95)^4</f>
        <v>2359.7021087999997</v>
      </c>
      <c r="U95"/>
      <c r="V95"/>
      <c r="W95"/>
      <c r="X95"/>
      <c r="Y95"/>
      <c r="Z95"/>
      <c r="AA95"/>
      <c r="AB95"/>
      <c r="AC95"/>
      <c r="AD95"/>
      <c r="AE95"/>
      <c r="AF95"/>
      <c r="AG95"/>
      <c r="AH95"/>
      <c r="AI95"/>
      <c r="AJ95"/>
      <c r="AK95"/>
    </row>
    <row r="96" spans="1:37" ht="48" thickBot="1">
      <c r="A96" s="764" t="s">
        <v>243</v>
      </c>
      <c r="B96" s="42"/>
      <c r="C96" s="740" t="s">
        <v>7</v>
      </c>
      <c r="D96" s="360"/>
      <c r="E96" s="512" t="s">
        <v>229</v>
      </c>
      <c r="F96" s="363"/>
      <c r="G96" s="42"/>
      <c r="H96" s="361" t="s">
        <v>660</v>
      </c>
      <c r="I96" s="42"/>
      <c r="J96" s="51">
        <f>'Budget Summary '!F176*1000</f>
        <v>9899.999999999998</v>
      </c>
      <c r="K96" s="43"/>
      <c r="L96" s="51">
        <f>('Budget Summary '!H176-'Budget Summary '!F176)*1000</f>
        <v>500</v>
      </c>
      <c r="M96" s="43"/>
      <c r="N96" s="51">
        <f>('Budget Summary '!J176-'Budget Summary '!H176)*1000</f>
        <v>500</v>
      </c>
      <c r="O96" s="43"/>
      <c r="P96" s="51">
        <f>('Budget Summary '!L176-'Budget Summary '!J176)*1000</f>
        <v>0</v>
      </c>
      <c r="Q96" s="349"/>
      <c r="R96" s="51">
        <f>('Budget Summary '!N176-'Budget Summary '!L176)*1000</f>
        <v>0</v>
      </c>
      <c r="S96" s="357"/>
      <c r="T96" s="51">
        <v>0</v>
      </c>
      <c r="U96"/>
      <c r="V96"/>
      <c r="W96"/>
      <c r="X96"/>
      <c r="Y96"/>
      <c r="Z96"/>
      <c r="AA96"/>
      <c r="AB96"/>
      <c r="AC96"/>
      <c r="AD96"/>
      <c r="AE96"/>
      <c r="AF96"/>
      <c r="AG96"/>
      <c r="AH96"/>
      <c r="AI96"/>
      <c r="AJ96"/>
      <c r="AK96"/>
    </row>
    <row r="97" spans="1:37" ht="32.25" thickBot="1">
      <c r="A97" s="764" t="s">
        <v>249</v>
      </c>
      <c r="B97" s="42"/>
      <c r="C97" s="740" t="s">
        <v>231</v>
      </c>
      <c r="D97" s="360">
        <v>20000</v>
      </c>
      <c r="E97" s="512" t="s">
        <v>229</v>
      </c>
      <c r="F97" s="363">
        <v>0.02</v>
      </c>
      <c r="G97" s="42"/>
      <c r="H97" s="361" t="s">
        <v>679</v>
      </c>
      <c r="I97" s="42"/>
      <c r="J97" s="51"/>
      <c r="K97" s="43"/>
      <c r="L97" s="51">
        <f aca="true" t="shared" si="11" ref="L97:L114">IF($C97="Per Employee",$L$175*$D97,IF($C97="Per Pupil",$D97*$L$177,IF($C97="Fixed Per Year",$D97,0)))</f>
        <v>20000</v>
      </c>
      <c r="M97" s="43"/>
      <c r="N97" s="51">
        <f aca="true" t="shared" si="12" ref="N97:N114">IF($C97="Per Employee",$N$175*$D97,IF($C97="Per Pupil",$D97*$N$177,IF($C97="Fixed Per Year",$D97)))*(1+$F97)^1</f>
        <v>20400</v>
      </c>
      <c r="O97" s="43"/>
      <c r="P97" s="51">
        <f aca="true" t="shared" si="13" ref="P97:P114">IF($C97="Per Employee",$P$175*$D97,IF($C97="Per Pupil",$D97*$P$177,IF($C97="Fixed Per Year",$D97)))*(1+$F97)^2</f>
        <v>20808</v>
      </c>
      <c r="Q97" s="349"/>
      <c r="R97" s="51">
        <f aca="true" t="shared" si="14" ref="R97:R114">IF($C97="Per Employee",$R$175*$D97,IF($C97="Per Pupil",$D97*$R$177,IF($C97="Fixed Per Year",$D97)))*(1+$F97)^3</f>
        <v>21224.16</v>
      </c>
      <c r="S97" s="357"/>
      <c r="T97" s="51">
        <f aca="true" t="shared" si="15" ref="T97:T114">IF($C97="Per Employee",$T$175*$D97,IF($C97="Per Pupil",$D97*$T$177,IF($C97="Fixed Per Year",$D97)))*(1+$F97)^4</f>
        <v>21648.6432</v>
      </c>
      <c r="U97"/>
      <c r="V97"/>
      <c r="W97"/>
      <c r="X97"/>
      <c r="Y97"/>
      <c r="Z97"/>
      <c r="AA97"/>
      <c r="AB97"/>
      <c r="AC97"/>
      <c r="AD97"/>
      <c r="AE97"/>
      <c r="AF97"/>
      <c r="AG97"/>
      <c r="AH97"/>
      <c r="AI97"/>
      <c r="AJ97"/>
      <c r="AK97"/>
    </row>
    <row r="98" spans="1:37" ht="16.5" thickBot="1">
      <c r="A98" s="764" t="s">
        <v>250</v>
      </c>
      <c r="B98" s="42"/>
      <c r="C98" s="740" t="s">
        <v>7</v>
      </c>
      <c r="D98" s="360"/>
      <c r="E98" s="512" t="s">
        <v>229</v>
      </c>
      <c r="F98" s="363"/>
      <c r="G98" s="42"/>
      <c r="H98" s="361" t="s">
        <v>691</v>
      </c>
      <c r="I98" s="42"/>
      <c r="J98" s="51"/>
      <c r="K98" s="43"/>
      <c r="L98" s="51">
        <f>1000*('Budget Summary '!F176)</f>
        <v>9899.999999999998</v>
      </c>
      <c r="M98" s="43"/>
      <c r="N98" s="51">
        <f>1000*('Budget Summary '!H176-'Budget Summary '!F176)</f>
        <v>500</v>
      </c>
      <c r="O98" s="43"/>
      <c r="P98" s="51">
        <f>1000*('Budget Summary '!J176-'Budget Summary '!H176)</f>
        <v>500</v>
      </c>
      <c r="Q98" s="349"/>
      <c r="R98" s="51">
        <f>1000*('Budget Summary '!L176-'Budget Summary '!J176)</f>
        <v>0</v>
      </c>
      <c r="S98" s="357"/>
      <c r="T98" s="51">
        <f>1000*('Budget Summary '!N176-'Budget Summary '!L176)</f>
        <v>0</v>
      </c>
      <c r="U98"/>
      <c r="V98"/>
      <c r="W98"/>
      <c r="X98"/>
      <c r="Y98"/>
      <c r="Z98"/>
      <c r="AA98"/>
      <c r="AB98"/>
      <c r="AC98"/>
      <c r="AD98"/>
      <c r="AE98"/>
      <c r="AF98"/>
      <c r="AG98"/>
      <c r="AH98"/>
      <c r="AI98"/>
      <c r="AJ98"/>
      <c r="AK98"/>
    </row>
    <row r="99" spans="1:37" ht="16.5" thickBot="1">
      <c r="A99" s="764" t="s">
        <v>252</v>
      </c>
      <c r="B99" s="42"/>
      <c r="C99" s="740" t="s">
        <v>203</v>
      </c>
      <c r="D99" s="360">
        <v>32.5</v>
      </c>
      <c r="E99" s="512" t="s">
        <v>229</v>
      </c>
      <c r="F99" s="363"/>
      <c r="G99" s="42"/>
      <c r="H99" s="362" t="s">
        <v>718</v>
      </c>
      <c r="I99" s="42"/>
      <c r="J99" s="51"/>
      <c r="K99" s="43"/>
      <c r="L99" s="51">
        <f>'CMO Costs'!F77</f>
        <v>4062.5</v>
      </c>
      <c r="M99" s="43"/>
      <c r="N99" s="51">
        <f>'CMO Costs'!G77</f>
        <v>4712.5</v>
      </c>
      <c r="O99" s="43"/>
      <c r="P99" s="51">
        <f>'CMO Costs'!H77</f>
        <v>5362.5</v>
      </c>
      <c r="Q99" s="349"/>
      <c r="R99" s="51">
        <f>'CMO Costs'!I77</f>
        <v>5362.5</v>
      </c>
      <c r="S99" s="357"/>
      <c r="T99" s="51">
        <f>'CMO Costs'!J77</f>
        <v>5362.5</v>
      </c>
      <c r="U99"/>
      <c r="V99"/>
      <c r="W99"/>
      <c r="X99"/>
      <c r="Y99"/>
      <c r="Z99"/>
      <c r="AA99"/>
      <c r="AB99"/>
      <c r="AC99"/>
      <c r="AD99"/>
      <c r="AE99"/>
      <c r="AF99"/>
      <c r="AG99"/>
      <c r="AH99"/>
      <c r="AI99"/>
      <c r="AJ99"/>
      <c r="AK99"/>
    </row>
    <row r="100" spans="1:37" ht="16.5" thickBot="1">
      <c r="A100" s="764" t="s">
        <v>254</v>
      </c>
      <c r="B100" s="42"/>
      <c r="C100" s="740" t="s">
        <v>203</v>
      </c>
      <c r="D100" s="360">
        <v>32.5</v>
      </c>
      <c r="E100" s="512" t="s">
        <v>229</v>
      </c>
      <c r="F100" s="363"/>
      <c r="G100" s="42"/>
      <c r="H100" s="362" t="s">
        <v>718</v>
      </c>
      <c r="I100" s="42"/>
      <c r="J100" s="51"/>
      <c r="K100" s="43"/>
      <c r="L100" s="51">
        <f>'CMO Costs'!F78</f>
        <v>4062.5</v>
      </c>
      <c r="M100" s="43"/>
      <c r="N100" s="51">
        <f>'CMO Costs'!G78</f>
        <v>4712.5</v>
      </c>
      <c r="O100" s="43"/>
      <c r="P100" s="51">
        <f>'CMO Costs'!H78</f>
        <v>5362.5</v>
      </c>
      <c r="Q100" s="349"/>
      <c r="R100" s="51">
        <f>'CMO Costs'!I78</f>
        <v>5362.5</v>
      </c>
      <c r="S100" s="357"/>
      <c r="T100" s="51">
        <f>'CMO Costs'!J78</f>
        <v>5362.5</v>
      </c>
      <c r="U100"/>
      <c r="V100"/>
      <c r="W100"/>
      <c r="X100"/>
      <c r="Y100"/>
      <c r="Z100"/>
      <c r="AA100"/>
      <c r="AB100"/>
      <c r="AC100"/>
      <c r="AD100"/>
      <c r="AE100"/>
      <c r="AF100"/>
      <c r="AG100"/>
      <c r="AH100"/>
      <c r="AI100"/>
      <c r="AJ100"/>
      <c r="AK100"/>
    </row>
    <row r="101" spans="1:37" ht="63.75" thickBot="1">
      <c r="A101" s="764" t="s">
        <v>253</v>
      </c>
      <c r="B101" s="42"/>
      <c r="C101" s="740" t="s">
        <v>201</v>
      </c>
      <c r="D101" s="360">
        <v>208</v>
      </c>
      <c r="E101" s="512" t="s">
        <v>229</v>
      </c>
      <c r="F101" s="363">
        <v>0.02</v>
      </c>
      <c r="G101" s="42"/>
      <c r="H101" s="361" t="s">
        <v>608</v>
      </c>
      <c r="I101" s="42"/>
      <c r="J101" s="51"/>
      <c r="K101" s="43"/>
      <c r="L101" s="51">
        <f t="shared" si="11"/>
        <v>2059.2</v>
      </c>
      <c r="M101" s="43"/>
      <c r="N101" s="51">
        <f t="shared" si="12"/>
        <v>2206.464</v>
      </c>
      <c r="O101" s="43"/>
      <c r="P101" s="51">
        <f t="shared" si="13"/>
        <v>2358.79488</v>
      </c>
      <c r="Q101" s="349"/>
      <c r="R101" s="51">
        <f t="shared" si="14"/>
        <v>2405.9707775999996</v>
      </c>
      <c r="S101" s="357"/>
      <c r="T101" s="51">
        <f t="shared" si="15"/>
        <v>2454.0901931519998</v>
      </c>
      <c r="U101"/>
      <c r="V101"/>
      <c r="W101"/>
      <c r="X101"/>
      <c r="Y101"/>
      <c r="Z101"/>
      <c r="AA101"/>
      <c r="AB101"/>
      <c r="AC101"/>
      <c r="AD101"/>
      <c r="AE101"/>
      <c r="AF101"/>
      <c r="AG101"/>
      <c r="AH101"/>
      <c r="AI101"/>
      <c r="AJ101"/>
      <c r="AK101"/>
    </row>
    <row r="102" spans="1:37" ht="48" thickBot="1">
      <c r="A102" s="764" t="s">
        <v>18</v>
      </c>
      <c r="B102" s="42"/>
      <c r="C102" s="740" t="s">
        <v>203</v>
      </c>
      <c r="D102" s="360">
        <v>25</v>
      </c>
      <c r="E102" s="512" t="s">
        <v>229</v>
      </c>
      <c r="F102" s="363">
        <v>0.02</v>
      </c>
      <c r="G102" s="42"/>
      <c r="H102" s="361" t="s">
        <v>604</v>
      </c>
      <c r="I102" s="42"/>
      <c r="J102" s="51"/>
      <c r="K102" s="43"/>
      <c r="L102" s="51">
        <f t="shared" si="11"/>
        <v>3125</v>
      </c>
      <c r="M102" s="43"/>
      <c r="N102" s="51">
        <f t="shared" si="12"/>
        <v>3697.5</v>
      </c>
      <c r="O102" s="43"/>
      <c r="P102" s="51">
        <f t="shared" si="13"/>
        <v>4291.65</v>
      </c>
      <c r="Q102" s="349"/>
      <c r="R102" s="51">
        <f t="shared" si="14"/>
        <v>4377.482999999999</v>
      </c>
      <c r="S102" s="357"/>
      <c r="T102" s="51">
        <f t="shared" si="15"/>
        <v>4465.03266</v>
      </c>
      <c r="U102"/>
      <c r="V102"/>
      <c r="W102"/>
      <c r="X102"/>
      <c r="Y102"/>
      <c r="Z102"/>
      <c r="AA102"/>
      <c r="AB102"/>
      <c r="AC102"/>
      <c r="AD102"/>
      <c r="AE102"/>
      <c r="AF102"/>
      <c r="AG102"/>
      <c r="AH102"/>
      <c r="AI102"/>
      <c r="AJ102"/>
      <c r="AK102"/>
    </row>
    <row r="103" spans="1:37" ht="32.25" thickBot="1">
      <c r="A103" s="764" t="s">
        <v>255</v>
      </c>
      <c r="B103" s="42"/>
      <c r="C103" s="740" t="s">
        <v>231</v>
      </c>
      <c r="D103" s="360">
        <v>1500</v>
      </c>
      <c r="E103" s="512" t="s">
        <v>229</v>
      </c>
      <c r="F103" s="363">
        <v>0.02</v>
      </c>
      <c r="G103" s="42"/>
      <c r="H103" s="361" t="s">
        <v>609</v>
      </c>
      <c r="I103" s="42"/>
      <c r="J103" s="51"/>
      <c r="K103" s="43"/>
      <c r="L103" s="51">
        <f t="shared" si="11"/>
        <v>1500</v>
      </c>
      <c r="M103" s="43"/>
      <c r="N103" s="51">
        <f t="shared" si="12"/>
        <v>1530</v>
      </c>
      <c r="O103" s="43"/>
      <c r="P103" s="51">
        <f t="shared" si="13"/>
        <v>1560.6</v>
      </c>
      <c r="Q103" s="349"/>
      <c r="R103" s="51">
        <f t="shared" si="14"/>
        <v>1591.812</v>
      </c>
      <c r="S103" s="357"/>
      <c r="T103" s="51">
        <f t="shared" si="15"/>
        <v>1623.64824</v>
      </c>
      <c r="U103"/>
      <c r="V103"/>
      <c r="W103"/>
      <c r="X103"/>
      <c r="Y103"/>
      <c r="Z103"/>
      <c r="AA103"/>
      <c r="AB103"/>
      <c r="AC103"/>
      <c r="AD103"/>
      <c r="AE103"/>
      <c r="AF103"/>
      <c r="AG103"/>
      <c r="AH103"/>
      <c r="AI103"/>
      <c r="AJ103"/>
      <c r="AK103"/>
    </row>
    <row r="104" spans="1:37" ht="48" thickBot="1">
      <c r="A104" s="764" t="s">
        <v>256</v>
      </c>
      <c r="B104" s="42"/>
      <c r="C104" s="740" t="s">
        <v>231</v>
      </c>
      <c r="D104" s="360">
        <v>5000</v>
      </c>
      <c r="E104" s="512" t="s">
        <v>229</v>
      </c>
      <c r="F104" s="363">
        <v>0.02</v>
      </c>
      <c r="G104" s="42"/>
      <c r="H104" s="362" t="s">
        <v>610</v>
      </c>
      <c r="I104" s="42"/>
      <c r="J104" s="51">
        <v>5000</v>
      </c>
      <c r="K104" s="43"/>
      <c r="L104" s="51">
        <f t="shared" si="11"/>
        <v>5000</v>
      </c>
      <c r="M104" s="43"/>
      <c r="N104" s="51">
        <f t="shared" si="12"/>
        <v>5100</v>
      </c>
      <c r="O104" s="43"/>
      <c r="P104" s="51">
        <f t="shared" si="13"/>
        <v>5202</v>
      </c>
      <c r="Q104" s="349"/>
      <c r="R104" s="51">
        <f t="shared" si="14"/>
        <v>5306.04</v>
      </c>
      <c r="S104" s="357"/>
      <c r="T104" s="51">
        <f t="shared" si="15"/>
        <v>5412.1608</v>
      </c>
      <c r="U104"/>
      <c r="V104"/>
      <c r="W104"/>
      <c r="X104"/>
      <c r="Y104"/>
      <c r="Z104"/>
      <c r="AA104"/>
      <c r="AB104"/>
      <c r="AC104"/>
      <c r="AD104"/>
      <c r="AE104"/>
      <c r="AF104"/>
      <c r="AG104"/>
      <c r="AH104"/>
      <c r="AI104"/>
      <c r="AJ104"/>
      <c r="AK104"/>
    </row>
    <row r="105" spans="1:37" ht="48" thickBot="1">
      <c r="A105" s="764" t="s">
        <v>257</v>
      </c>
      <c r="B105" s="42"/>
      <c r="C105" s="740" t="s">
        <v>201</v>
      </c>
      <c r="D105" s="360">
        <v>80</v>
      </c>
      <c r="E105" s="512" t="s">
        <v>229</v>
      </c>
      <c r="F105" s="363">
        <v>0.02</v>
      </c>
      <c r="G105" s="42"/>
      <c r="H105" s="361" t="s">
        <v>604</v>
      </c>
      <c r="I105" s="42"/>
      <c r="J105" s="51"/>
      <c r="K105" s="43"/>
      <c r="L105" s="51">
        <f t="shared" si="11"/>
        <v>791.9999999999999</v>
      </c>
      <c r="M105" s="43"/>
      <c r="N105" s="51">
        <f t="shared" si="12"/>
        <v>848.6399999999999</v>
      </c>
      <c r="O105" s="43"/>
      <c r="P105" s="51">
        <f t="shared" si="13"/>
        <v>907.2287999999999</v>
      </c>
      <c r="Q105" s="349"/>
      <c r="R105" s="51">
        <f t="shared" si="14"/>
        <v>925.3733759999998</v>
      </c>
      <c r="S105" s="357"/>
      <c r="T105" s="51">
        <f t="shared" si="15"/>
        <v>943.8808435199999</v>
      </c>
      <c r="U105"/>
      <c r="V105"/>
      <c r="W105"/>
      <c r="X105"/>
      <c r="Y105"/>
      <c r="Z105"/>
      <c r="AA105"/>
      <c r="AB105"/>
      <c r="AC105"/>
      <c r="AD105"/>
      <c r="AE105"/>
      <c r="AF105"/>
      <c r="AG105"/>
      <c r="AH105"/>
      <c r="AI105"/>
      <c r="AJ105"/>
      <c r="AK105"/>
    </row>
    <row r="106" spans="1:37" ht="48" thickBot="1">
      <c r="A106" s="299" t="s">
        <v>675</v>
      </c>
      <c r="B106" s="42"/>
      <c r="C106" s="740" t="s">
        <v>7</v>
      </c>
      <c r="D106" s="360"/>
      <c r="E106" s="512" t="s">
        <v>229</v>
      </c>
      <c r="F106" s="363"/>
      <c r="G106" s="42"/>
      <c r="H106" s="361" t="s">
        <v>678</v>
      </c>
      <c r="I106" s="42"/>
      <c r="J106" s="51">
        <f>Calculations!B73</f>
        <v>10000</v>
      </c>
      <c r="K106" s="43"/>
      <c r="L106" s="51">
        <f>Calculations!C73</f>
        <v>20000</v>
      </c>
      <c r="M106" s="43"/>
      <c r="N106" s="51">
        <f>Calculations!D73</f>
        <v>10000</v>
      </c>
      <c r="O106" s="43"/>
      <c r="P106" s="51">
        <f>Calculations!E73</f>
        <v>5000</v>
      </c>
      <c r="Q106" s="349"/>
      <c r="R106" s="51">
        <f>Calculations!F73</f>
        <v>5000</v>
      </c>
      <c r="S106" s="357"/>
      <c r="T106" s="51">
        <f>Calculations!G73</f>
        <v>5000</v>
      </c>
      <c r="U106"/>
      <c r="V106"/>
      <c r="W106"/>
      <c r="X106"/>
      <c r="Y106"/>
      <c r="Z106"/>
      <c r="AA106"/>
      <c r="AB106"/>
      <c r="AC106"/>
      <c r="AD106"/>
      <c r="AE106"/>
      <c r="AF106"/>
      <c r="AG106"/>
      <c r="AH106"/>
      <c r="AI106"/>
      <c r="AJ106"/>
      <c r="AK106"/>
    </row>
    <row r="107" spans="1:37" ht="16.5" thickBot="1">
      <c r="A107" s="299"/>
      <c r="B107" s="46"/>
      <c r="C107" s="740"/>
      <c r="D107" s="360"/>
      <c r="E107" s="512" t="s">
        <v>229</v>
      </c>
      <c r="F107" s="363"/>
      <c r="G107" s="46"/>
      <c r="H107" s="362"/>
      <c r="I107" s="46"/>
      <c r="J107" s="51"/>
      <c r="K107" s="43"/>
      <c r="L107" s="51">
        <f t="shared" si="11"/>
        <v>0</v>
      </c>
      <c r="M107" s="43"/>
      <c r="N107" s="51">
        <f t="shared" si="12"/>
        <v>0</v>
      </c>
      <c r="O107" s="43"/>
      <c r="P107" s="51">
        <f t="shared" si="13"/>
        <v>0</v>
      </c>
      <c r="Q107" s="349"/>
      <c r="R107" s="51">
        <f t="shared" si="14"/>
        <v>0</v>
      </c>
      <c r="S107" s="357"/>
      <c r="T107" s="51">
        <f t="shared" si="15"/>
        <v>0</v>
      </c>
      <c r="U107"/>
      <c r="V107"/>
      <c r="W107"/>
      <c r="X107"/>
      <c r="Y107"/>
      <c r="Z107"/>
      <c r="AA107"/>
      <c r="AB107"/>
      <c r="AC107"/>
      <c r="AD107"/>
      <c r="AE107"/>
      <c r="AF107"/>
      <c r="AG107"/>
      <c r="AH107"/>
      <c r="AI107"/>
      <c r="AJ107"/>
      <c r="AK107"/>
    </row>
    <row r="108" spans="1:37" ht="16.5" thickBot="1">
      <c r="A108" s="299"/>
      <c r="B108" s="46"/>
      <c r="C108" s="740"/>
      <c r="D108" s="360"/>
      <c r="E108" s="512" t="s">
        <v>229</v>
      </c>
      <c r="F108" s="363"/>
      <c r="G108" s="46"/>
      <c r="H108" s="362"/>
      <c r="I108" s="46"/>
      <c r="J108" s="51"/>
      <c r="K108" s="43"/>
      <c r="L108" s="51">
        <f t="shared" si="11"/>
        <v>0</v>
      </c>
      <c r="M108" s="43"/>
      <c r="N108" s="51">
        <f t="shared" si="12"/>
        <v>0</v>
      </c>
      <c r="O108" s="43"/>
      <c r="P108" s="51">
        <f t="shared" si="13"/>
        <v>0</v>
      </c>
      <c r="Q108" s="349"/>
      <c r="R108" s="51">
        <f t="shared" si="14"/>
        <v>0</v>
      </c>
      <c r="S108" s="357"/>
      <c r="T108" s="51">
        <f t="shared" si="15"/>
        <v>0</v>
      </c>
      <c r="U108"/>
      <c r="V108"/>
      <c r="W108"/>
      <c r="X108"/>
      <c r="Y108"/>
      <c r="Z108"/>
      <c r="AA108"/>
      <c r="AB108"/>
      <c r="AC108"/>
      <c r="AD108"/>
      <c r="AE108"/>
      <c r="AF108"/>
      <c r="AG108"/>
      <c r="AH108"/>
      <c r="AI108"/>
      <c r="AJ108"/>
      <c r="AK108"/>
    </row>
    <row r="109" spans="1:37" ht="16.5" thickBot="1">
      <c r="A109" s="299"/>
      <c r="B109" s="46"/>
      <c r="C109" s="740"/>
      <c r="D109" s="360"/>
      <c r="E109" s="512" t="s">
        <v>229</v>
      </c>
      <c r="F109" s="363"/>
      <c r="G109" s="46"/>
      <c r="H109" s="362"/>
      <c r="I109" s="46"/>
      <c r="J109" s="51"/>
      <c r="K109" s="43"/>
      <c r="L109" s="51">
        <f t="shared" si="11"/>
        <v>0</v>
      </c>
      <c r="M109" s="43"/>
      <c r="N109" s="51">
        <f t="shared" si="12"/>
        <v>0</v>
      </c>
      <c r="O109" s="43"/>
      <c r="P109" s="51">
        <f t="shared" si="13"/>
        <v>0</v>
      </c>
      <c r="Q109" s="349"/>
      <c r="R109" s="51">
        <f t="shared" si="14"/>
        <v>0</v>
      </c>
      <c r="S109" s="357"/>
      <c r="T109" s="51">
        <f t="shared" si="15"/>
        <v>0</v>
      </c>
      <c r="U109"/>
      <c r="V109"/>
      <c r="W109"/>
      <c r="X109"/>
      <c r="Y109"/>
      <c r="Z109"/>
      <c r="AA109"/>
      <c r="AB109"/>
      <c r="AC109"/>
      <c r="AD109"/>
      <c r="AE109"/>
      <c r="AF109"/>
      <c r="AG109"/>
      <c r="AH109"/>
      <c r="AI109"/>
      <c r="AJ109"/>
      <c r="AK109"/>
    </row>
    <row r="110" spans="1:37" ht="16.5" thickBot="1">
      <c r="A110" s="299"/>
      <c r="B110" s="46"/>
      <c r="C110" s="740"/>
      <c r="D110" s="360"/>
      <c r="E110" s="512" t="s">
        <v>229</v>
      </c>
      <c r="F110" s="363"/>
      <c r="G110" s="46"/>
      <c r="H110" s="362"/>
      <c r="I110" s="46"/>
      <c r="J110" s="51"/>
      <c r="K110" s="43"/>
      <c r="L110" s="51">
        <f t="shared" si="11"/>
        <v>0</v>
      </c>
      <c r="M110" s="43"/>
      <c r="N110" s="51">
        <f t="shared" si="12"/>
        <v>0</v>
      </c>
      <c r="O110" s="43"/>
      <c r="P110" s="51">
        <f t="shared" si="13"/>
        <v>0</v>
      </c>
      <c r="Q110" s="349"/>
      <c r="R110" s="51">
        <f t="shared" si="14"/>
        <v>0</v>
      </c>
      <c r="S110" s="357"/>
      <c r="T110" s="51">
        <f t="shared" si="15"/>
        <v>0</v>
      </c>
      <c r="U110"/>
      <c r="V110"/>
      <c r="W110"/>
      <c r="X110"/>
      <c r="Y110"/>
      <c r="Z110"/>
      <c r="AA110"/>
      <c r="AB110"/>
      <c r="AC110"/>
      <c r="AD110"/>
      <c r="AE110"/>
      <c r="AF110"/>
      <c r="AG110"/>
      <c r="AH110"/>
      <c r="AI110"/>
      <c r="AJ110"/>
      <c r="AK110"/>
    </row>
    <row r="111" spans="1:37" ht="16.5" thickBot="1">
      <c r="A111" s="299"/>
      <c r="B111" s="46"/>
      <c r="C111" s="740"/>
      <c r="D111" s="360"/>
      <c r="E111" s="512" t="s">
        <v>229</v>
      </c>
      <c r="F111" s="363"/>
      <c r="G111" s="46"/>
      <c r="H111" s="362"/>
      <c r="I111" s="46"/>
      <c r="J111" s="51"/>
      <c r="K111" s="43"/>
      <c r="L111" s="51">
        <f t="shared" si="11"/>
        <v>0</v>
      </c>
      <c r="M111" s="43"/>
      <c r="N111" s="51">
        <f t="shared" si="12"/>
        <v>0</v>
      </c>
      <c r="O111" s="43"/>
      <c r="P111" s="51">
        <f t="shared" si="13"/>
        <v>0</v>
      </c>
      <c r="Q111" s="349"/>
      <c r="R111" s="51">
        <f t="shared" si="14"/>
        <v>0</v>
      </c>
      <c r="S111" s="357"/>
      <c r="T111" s="51">
        <f t="shared" si="15"/>
        <v>0</v>
      </c>
      <c r="U111"/>
      <c r="V111"/>
      <c r="W111"/>
      <c r="X111"/>
      <c r="Y111"/>
      <c r="Z111"/>
      <c r="AA111"/>
      <c r="AB111"/>
      <c r="AC111"/>
      <c r="AD111"/>
      <c r="AE111"/>
      <c r="AF111"/>
      <c r="AG111"/>
      <c r="AH111"/>
      <c r="AI111"/>
      <c r="AJ111"/>
      <c r="AK111"/>
    </row>
    <row r="112" spans="1:37" ht="16.5" thickBot="1">
      <c r="A112" s="299"/>
      <c r="B112" s="46"/>
      <c r="C112" s="740"/>
      <c r="D112" s="360"/>
      <c r="E112" s="512" t="s">
        <v>229</v>
      </c>
      <c r="F112" s="363"/>
      <c r="G112" s="46"/>
      <c r="H112" s="362"/>
      <c r="I112" s="46"/>
      <c r="J112" s="51"/>
      <c r="K112" s="43"/>
      <c r="L112" s="51">
        <f t="shared" si="11"/>
        <v>0</v>
      </c>
      <c r="M112" s="43"/>
      <c r="N112" s="51">
        <f t="shared" si="12"/>
        <v>0</v>
      </c>
      <c r="O112" s="43"/>
      <c r="P112" s="51">
        <f t="shared" si="13"/>
        <v>0</v>
      </c>
      <c r="Q112" s="349"/>
      <c r="R112" s="51">
        <f t="shared" si="14"/>
        <v>0</v>
      </c>
      <c r="S112" s="357"/>
      <c r="T112" s="51">
        <f t="shared" si="15"/>
        <v>0</v>
      </c>
      <c r="U112"/>
      <c r="V112"/>
      <c r="W112"/>
      <c r="X112"/>
      <c r="Y112"/>
      <c r="Z112"/>
      <c r="AA112"/>
      <c r="AB112"/>
      <c r="AC112"/>
      <c r="AD112"/>
      <c r="AE112"/>
      <c r="AF112"/>
      <c r="AG112"/>
      <c r="AH112"/>
      <c r="AI112"/>
      <c r="AJ112"/>
      <c r="AK112"/>
    </row>
    <row r="113" spans="1:37" ht="16.5" thickBot="1">
      <c r="A113" s="299"/>
      <c r="B113" s="46"/>
      <c r="C113" s="740"/>
      <c r="D113" s="360"/>
      <c r="E113" s="512" t="s">
        <v>229</v>
      </c>
      <c r="F113" s="363"/>
      <c r="G113" s="46"/>
      <c r="H113" s="362"/>
      <c r="I113" s="46"/>
      <c r="J113" s="51"/>
      <c r="K113" s="43"/>
      <c r="L113" s="51">
        <f t="shared" si="11"/>
        <v>0</v>
      </c>
      <c r="M113" s="43"/>
      <c r="N113" s="51">
        <f t="shared" si="12"/>
        <v>0</v>
      </c>
      <c r="O113" s="43"/>
      <c r="P113" s="51">
        <f t="shared" si="13"/>
        <v>0</v>
      </c>
      <c r="Q113" s="349"/>
      <c r="R113" s="51">
        <f t="shared" si="14"/>
        <v>0</v>
      </c>
      <c r="S113" s="357"/>
      <c r="T113" s="51">
        <f t="shared" si="15"/>
        <v>0</v>
      </c>
      <c r="U113"/>
      <c r="V113"/>
      <c r="W113"/>
      <c r="X113"/>
      <c r="Y113"/>
      <c r="Z113"/>
      <c r="AA113"/>
      <c r="AB113"/>
      <c r="AC113"/>
      <c r="AD113"/>
      <c r="AE113"/>
      <c r="AF113"/>
      <c r="AG113"/>
      <c r="AH113"/>
      <c r="AI113"/>
      <c r="AJ113"/>
      <c r="AK113"/>
    </row>
    <row r="114" spans="1:37" ht="16.5" thickBot="1">
      <c r="A114" s="299"/>
      <c r="B114" s="46"/>
      <c r="C114" s="740"/>
      <c r="D114" s="360"/>
      <c r="E114" s="512" t="s">
        <v>229</v>
      </c>
      <c r="F114" s="363"/>
      <c r="G114" s="46"/>
      <c r="H114" s="362"/>
      <c r="I114" s="46"/>
      <c r="J114" s="51"/>
      <c r="K114" s="43"/>
      <c r="L114" s="51">
        <f t="shared" si="11"/>
        <v>0</v>
      </c>
      <c r="M114" s="43"/>
      <c r="N114" s="51">
        <f t="shared" si="12"/>
        <v>0</v>
      </c>
      <c r="O114" s="43"/>
      <c r="P114" s="51">
        <f t="shared" si="13"/>
        <v>0</v>
      </c>
      <c r="Q114" s="349"/>
      <c r="R114" s="51">
        <f t="shared" si="14"/>
        <v>0</v>
      </c>
      <c r="S114" s="357"/>
      <c r="T114" s="51">
        <f t="shared" si="15"/>
        <v>0</v>
      </c>
      <c r="U114"/>
      <c r="V114"/>
      <c r="W114"/>
      <c r="X114"/>
      <c r="Y114"/>
      <c r="Z114"/>
      <c r="AA114"/>
      <c r="AB114"/>
      <c r="AC114"/>
      <c r="AD114"/>
      <c r="AE114"/>
      <c r="AF114"/>
      <c r="AG114"/>
      <c r="AH114"/>
      <c r="AI114"/>
      <c r="AJ114"/>
      <c r="AK114"/>
    </row>
    <row r="115" spans="1:37" ht="16.5" thickBot="1">
      <c r="A115" s="40"/>
      <c r="B115" s="42"/>
      <c r="C115" s="314"/>
      <c r="D115" s="314"/>
      <c r="E115" s="314"/>
      <c r="F115" s="314"/>
      <c r="G115" s="42"/>
      <c r="H115" s="300"/>
      <c r="I115" s="42"/>
      <c r="J115" s="47"/>
      <c r="K115" s="39"/>
      <c r="L115" s="47"/>
      <c r="M115" s="39"/>
      <c r="N115" s="47"/>
      <c r="O115" s="39"/>
      <c r="P115" s="47"/>
      <c r="Q115" s="348"/>
      <c r="R115" s="48"/>
      <c r="S115" s="357"/>
      <c r="T115" s="48"/>
      <c r="U115"/>
      <c r="V115"/>
      <c r="W115"/>
      <c r="X115"/>
      <c r="Y115"/>
      <c r="Z115"/>
      <c r="AA115"/>
      <c r="AB115"/>
      <c r="AC115"/>
      <c r="AD115"/>
      <c r="AE115"/>
      <c r="AF115"/>
      <c r="AG115"/>
      <c r="AH115"/>
      <c r="AI115"/>
      <c r="AJ115"/>
      <c r="AK115"/>
    </row>
    <row r="116" spans="2:37" ht="16.5" thickBot="1">
      <c r="B116" s="38"/>
      <c r="C116" s="313"/>
      <c r="D116" s="313"/>
      <c r="E116" s="313"/>
      <c r="F116" s="313"/>
      <c r="G116" s="38"/>
      <c r="H116" s="302" t="s">
        <v>19</v>
      </c>
      <c r="I116" s="38"/>
      <c r="J116" s="508">
        <f>SUM(J95:J114)</f>
        <v>24900</v>
      </c>
      <c r="K116" s="374"/>
      <c r="L116" s="508">
        <f>SUM(L95:L114)</f>
        <v>72981.2</v>
      </c>
      <c r="M116" s="374"/>
      <c r="N116" s="508">
        <f>SUM(N95:N114)</f>
        <v>56329.204</v>
      </c>
      <c r="O116" s="374"/>
      <c r="P116" s="508">
        <f>SUM(P95:P114)</f>
        <v>53621.34568</v>
      </c>
      <c r="Q116" s="375"/>
      <c r="R116" s="508">
        <f>SUM(R95:R114)</f>
        <v>53869.2725936</v>
      </c>
      <c r="S116" s="371"/>
      <c r="T116" s="508">
        <f>SUM(T95:T114)</f>
        <v>54632.15804547199</v>
      </c>
      <c r="U116"/>
      <c r="V116"/>
      <c r="W116"/>
      <c r="X116"/>
      <c r="Y116"/>
      <c r="Z116"/>
      <c r="AA116"/>
      <c r="AB116"/>
      <c r="AC116"/>
      <c r="AD116"/>
      <c r="AE116"/>
      <c r="AF116"/>
      <c r="AG116"/>
      <c r="AH116"/>
      <c r="AI116"/>
      <c r="AJ116"/>
      <c r="AK116"/>
    </row>
    <row r="117" spans="1:37" ht="16.5" thickBot="1">
      <c r="A117" s="53"/>
      <c r="B117" s="55"/>
      <c r="C117" s="317"/>
      <c r="D117" s="317"/>
      <c r="E117" s="317"/>
      <c r="F117" s="317"/>
      <c r="G117" s="55"/>
      <c r="H117" s="300"/>
      <c r="I117" s="55"/>
      <c r="J117" s="54"/>
      <c r="K117" s="43"/>
      <c r="L117" s="54"/>
      <c r="M117" s="43"/>
      <c r="N117" s="54"/>
      <c r="O117" s="43"/>
      <c r="P117" s="54"/>
      <c r="Q117" s="349"/>
      <c r="R117" s="54"/>
      <c r="S117" s="358"/>
      <c r="T117" s="54"/>
      <c r="U117"/>
      <c r="V117"/>
      <c r="W117"/>
      <c r="X117"/>
      <c r="Y117"/>
      <c r="Z117"/>
      <c r="AA117"/>
      <c r="AB117"/>
      <c r="AC117"/>
      <c r="AD117"/>
      <c r="AE117"/>
      <c r="AF117"/>
      <c r="AG117"/>
      <c r="AH117"/>
      <c r="AI117"/>
      <c r="AJ117"/>
      <c r="AK117"/>
    </row>
    <row r="118" spans="1:37" ht="18.75" customHeight="1" thickBot="1">
      <c r="A118" s="302" t="s">
        <v>263</v>
      </c>
      <c r="B118" s="38"/>
      <c r="C118" s="313"/>
      <c r="D118" s="313"/>
      <c r="E118" s="313"/>
      <c r="F118" s="313"/>
      <c r="G118" s="38"/>
      <c r="H118" s="300"/>
      <c r="I118" s="38"/>
      <c r="J118" s="37"/>
      <c r="K118" s="39"/>
      <c r="L118" s="37"/>
      <c r="M118" s="39"/>
      <c r="N118" s="37"/>
      <c r="O118" s="39"/>
      <c r="P118" s="37"/>
      <c r="Q118" s="348"/>
      <c r="R118" s="32"/>
      <c r="S118" s="357"/>
      <c r="T118" s="32"/>
      <c r="U118"/>
      <c r="V118"/>
      <c r="W118"/>
      <c r="X118"/>
      <c r="Y118"/>
      <c r="Z118"/>
      <c r="AA118"/>
      <c r="AB118"/>
      <c r="AC118"/>
      <c r="AD118"/>
      <c r="AE118"/>
      <c r="AF118"/>
      <c r="AG118"/>
      <c r="AH118"/>
      <c r="AI118"/>
      <c r="AJ118"/>
      <c r="AK118"/>
    </row>
    <row r="119" spans="1:37" ht="32.25" thickBot="1">
      <c r="A119" s="758" t="s">
        <v>483</v>
      </c>
      <c r="B119" s="42"/>
      <c r="C119" s="740" t="s">
        <v>7</v>
      </c>
      <c r="D119" s="360"/>
      <c r="E119" s="515" t="s">
        <v>229</v>
      </c>
      <c r="F119" s="363">
        <v>0</v>
      </c>
      <c r="G119" s="42"/>
      <c r="H119" s="362" t="s">
        <v>707</v>
      </c>
      <c r="I119" s="42"/>
      <c r="J119" s="41"/>
      <c r="K119" s="43"/>
      <c r="L119" s="51">
        <f>Calculations!$B$79*Calculations!$C$79</f>
        <v>188000</v>
      </c>
      <c r="M119" s="43"/>
      <c r="N119" s="51">
        <f>Calculations!$B$79*Calculations!$C$79</f>
        <v>188000</v>
      </c>
      <c r="O119" s="43"/>
      <c r="P119" s="51">
        <f>Calculations!$B$79*Calculations!$C$79</f>
        <v>188000</v>
      </c>
      <c r="Q119" s="349"/>
      <c r="R119" s="51">
        <f>Calculations!$B$79*Calculations!$C$79</f>
        <v>188000</v>
      </c>
      <c r="S119" s="357"/>
      <c r="T119" s="51">
        <f>Calculations!$B$79*Calculations!$C$79</f>
        <v>188000</v>
      </c>
      <c r="U119"/>
      <c r="V119"/>
      <c r="W119"/>
      <c r="X119"/>
      <c r="Y119"/>
      <c r="Z119"/>
      <c r="AA119"/>
      <c r="AB119"/>
      <c r="AC119"/>
      <c r="AD119"/>
      <c r="AE119"/>
      <c r="AF119"/>
      <c r="AG119"/>
      <c r="AH119"/>
      <c r="AI119"/>
      <c r="AJ119"/>
      <c r="AK119"/>
    </row>
    <row r="120" spans="1:37" ht="63.75" thickBot="1">
      <c r="A120" s="757" t="s">
        <v>21</v>
      </c>
      <c r="B120" s="42"/>
      <c r="C120" s="740" t="s">
        <v>231</v>
      </c>
      <c r="D120" s="360">
        <f>Calculations!$B$79*2</f>
        <v>47000</v>
      </c>
      <c r="E120" s="515" t="s">
        <v>229</v>
      </c>
      <c r="F120" s="363">
        <v>0.02</v>
      </c>
      <c r="G120" s="42"/>
      <c r="H120" s="362" t="s">
        <v>708</v>
      </c>
      <c r="I120" s="42"/>
      <c r="J120" s="41"/>
      <c r="K120" s="43"/>
      <c r="L120" s="51">
        <f aca="true" t="shared" si="16" ref="L120:L136">IF($C120="Per Employee",$L$175*$D120,IF($C120="Per Pupil",$D120*$L$177,IF($C120="Fixed Per Year",$D120,0)))</f>
        <v>47000</v>
      </c>
      <c r="M120" s="43"/>
      <c r="N120" s="51">
        <f aca="true" t="shared" si="17" ref="N120:N136">IF($C120="Per Employee",$N$175*$D120,IF($C120="Per Pupil",$D120*$N$177,IF($C120="Fixed Per Year",$D120)))*(1+$F120)^1</f>
        <v>47940</v>
      </c>
      <c r="O120" s="43"/>
      <c r="P120" s="51">
        <f aca="true" t="shared" si="18" ref="P120:P136">IF($C120="Per Employee",$P$175*$D120,IF($C120="Per Pupil",$D120*$P$177,IF($C120="Fixed Per Year",$D120)))*(1+$F120)^2</f>
        <v>48898.8</v>
      </c>
      <c r="Q120" s="349"/>
      <c r="R120" s="51">
        <f aca="true" t="shared" si="19" ref="R120:R136">IF($C120="Per Employee",$R$175*$D120,IF($C120="Per Pupil",$D120*$R$177,IF($C120="Fixed Per Year",$D120)))*(1+$F120)^3</f>
        <v>49876.776</v>
      </c>
      <c r="S120" s="357"/>
      <c r="T120" s="51">
        <f aca="true" t="shared" si="20" ref="T120:T136">IF($C120="Per Employee",$T$175*$D120,IF($C120="Per Pupil",$D120*$T$177,IF($C120="Fixed Per Year",$D120)))*(1+$F120)^4</f>
        <v>50874.311519999996</v>
      </c>
      <c r="U120"/>
      <c r="V120"/>
      <c r="W120"/>
      <c r="X120"/>
      <c r="Y120"/>
      <c r="Z120"/>
      <c r="AA120"/>
      <c r="AB120"/>
      <c r="AC120"/>
      <c r="AD120"/>
      <c r="AE120"/>
      <c r="AF120"/>
      <c r="AG120"/>
      <c r="AH120"/>
      <c r="AI120"/>
      <c r="AJ120"/>
      <c r="AK120"/>
    </row>
    <row r="121" spans="1:37" ht="16.5" thickBot="1">
      <c r="A121" s="757" t="s">
        <v>259</v>
      </c>
      <c r="B121" s="42"/>
      <c r="C121" s="740" t="s">
        <v>231</v>
      </c>
      <c r="D121" s="360">
        <f>Calculations!$B$79*1</f>
        <v>23500</v>
      </c>
      <c r="E121" s="515" t="s">
        <v>229</v>
      </c>
      <c r="F121" s="363">
        <v>0.02</v>
      </c>
      <c r="G121" s="42"/>
      <c r="H121" s="362" t="s">
        <v>709</v>
      </c>
      <c r="I121" s="42"/>
      <c r="J121" s="41"/>
      <c r="K121" s="43"/>
      <c r="L121" s="51">
        <f t="shared" si="16"/>
        <v>23500</v>
      </c>
      <c r="M121" s="43"/>
      <c r="N121" s="51">
        <f t="shared" si="17"/>
        <v>23970</v>
      </c>
      <c r="O121" s="43"/>
      <c r="P121" s="51">
        <f t="shared" si="18"/>
        <v>24449.4</v>
      </c>
      <c r="Q121" s="349"/>
      <c r="R121" s="51">
        <f t="shared" si="19"/>
        <v>24938.388</v>
      </c>
      <c r="S121" s="357"/>
      <c r="T121" s="51">
        <f t="shared" si="20"/>
        <v>25437.155759999998</v>
      </c>
      <c r="U121"/>
      <c r="V121"/>
      <c r="W121"/>
      <c r="X121"/>
      <c r="Y121"/>
      <c r="Z121"/>
      <c r="AA121"/>
      <c r="AB121"/>
      <c r="AC121"/>
      <c r="AD121"/>
      <c r="AE121"/>
      <c r="AF121"/>
      <c r="AG121"/>
      <c r="AH121"/>
      <c r="AI121"/>
      <c r="AJ121"/>
      <c r="AK121"/>
    </row>
    <row r="122" spans="1:37" ht="63.75" thickBot="1">
      <c r="A122" s="757" t="s">
        <v>17</v>
      </c>
      <c r="B122" s="42"/>
      <c r="C122" s="740" t="s">
        <v>231</v>
      </c>
      <c r="D122" s="360">
        <f>Calculations!$B$79*0.05</f>
        <v>1175</v>
      </c>
      <c r="E122" s="515" t="s">
        <v>229</v>
      </c>
      <c r="F122" s="363">
        <v>0.02</v>
      </c>
      <c r="G122" s="42"/>
      <c r="H122" s="362" t="s">
        <v>710</v>
      </c>
      <c r="I122" s="42"/>
      <c r="J122" s="41"/>
      <c r="K122" s="43"/>
      <c r="L122" s="51">
        <f t="shared" si="16"/>
        <v>1175</v>
      </c>
      <c r="M122" s="43"/>
      <c r="N122" s="51">
        <f t="shared" si="17"/>
        <v>1198.5</v>
      </c>
      <c r="O122" s="43"/>
      <c r="P122" s="51">
        <f t="shared" si="18"/>
        <v>1222.47</v>
      </c>
      <c r="Q122" s="349"/>
      <c r="R122" s="51">
        <f t="shared" si="19"/>
        <v>1246.9194</v>
      </c>
      <c r="S122" s="357"/>
      <c r="T122" s="51">
        <f t="shared" si="20"/>
        <v>1271.857788</v>
      </c>
      <c r="U122"/>
      <c r="V122"/>
      <c r="W122"/>
      <c r="X122"/>
      <c r="Y122"/>
      <c r="Z122"/>
      <c r="AA122"/>
      <c r="AB122"/>
      <c r="AC122"/>
      <c r="AD122"/>
      <c r="AE122"/>
      <c r="AF122"/>
      <c r="AG122"/>
      <c r="AH122"/>
      <c r="AI122"/>
      <c r="AJ122"/>
      <c r="AK122"/>
    </row>
    <row r="123" spans="1:37" ht="32.25" thickBot="1">
      <c r="A123" s="757" t="s">
        <v>189</v>
      </c>
      <c r="B123" s="42"/>
      <c r="C123" s="740" t="s">
        <v>231</v>
      </c>
      <c r="D123" s="360">
        <f>Calculations!$B$79*1.7</f>
        <v>39950</v>
      </c>
      <c r="E123" s="515" t="s">
        <v>229</v>
      </c>
      <c r="F123" s="363">
        <v>0.02</v>
      </c>
      <c r="G123" s="42"/>
      <c r="H123" s="362" t="s">
        <v>711</v>
      </c>
      <c r="I123" s="42"/>
      <c r="J123" s="41"/>
      <c r="K123" s="43"/>
      <c r="L123" s="51">
        <f t="shared" si="16"/>
        <v>39950</v>
      </c>
      <c r="M123" s="43"/>
      <c r="N123" s="51">
        <f t="shared" si="17"/>
        <v>40749</v>
      </c>
      <c r="O123" s="43"/>
      <c r="P123" s="51">
        <f t="shared" si="18"/>
        <v>41563.98</v>
      </c>
      <c r="Q123" s="349"/>
      <c r="R123" s="51">
        <f t="shared" si="19"/>
        <v>42395.2596</v>
      </c>
      <c r="S123" s="357"/>
      <c r="T123" s="51">
        <f t="shared" si="20"/>
        <v>43243.164791999996</v>
      </c>
      <c r="U123"/>
      <c r="V123"/>
      <c r="W123"/>
      <c r="X123"/>
      <c r="Y123"/>
      <c r="Z123"/>
      <c r="AA123"/>
      <c r="AB123"/>
      <c r="AC123"/>
      <c r="AD123"/>
      <c r="AE123"/>
      <c r="AF123"/>
      <c r="AG123"/>
      <c r="AH123"/>
      <c r="AI123"/>
      <c r="AJ123"/>
      <c r="AK123"/>
    </row>
    <row r="124" spans="1:37" ht="32.25" thickBot="1">
      <c r="A124" s="757" t="s">
        <v>190</v>
      </c>
      <c r="B124" s="42"/>
      <c r="C124" s="740" t="s">
        <v>231</v>
      </c>
      <c r="D124" s="360">
        <f>Calculations!$B$79*1.5</f>
        <v>35250</v>
      </c>
      <c r="E124" s="515" t="s">
        <v>229</v>
      </c>
      <c r="F124" s="363">
        <v>0.02</v>
      </c>
      <c r="G124" s="42"/>
      <c r="H124" s="362" t="s">
        <v>712</v>
      </c>
      <c r="I124" s="42"/>
      <c r="J124" s="41"/>
      <c r="K124" s="43"/>
      <c r="L124" s="51">
        <f t="shared" si="16"/>
        <v>35250</v>
      </c>
      <c r="M124" s="43"/>
      <c r="N124" s="51">
        <f t="shared" si="17"/>
        <v>35955</v>
      </c>
      <c r="O124" s="43"/>
      <c r="P124" s="51">
        <f t="shared" si="18"/>
        <v>36674.1</v>
      </c>
      <c r="Q124" s="349"/>
      <c r="R124" s="51">
        <f t="shared" si="19"/>
        <v>37407.581999999995</v>
      </c>
      <c r="S124" s="357"/>
      <c r="T124" s="51">
        <f t="shared" si="20"/>
        <v>38155.73364</v>
      </c>
      <c r="U124"/>
      <c r="V124"/>
      <c r="W124"/>
      <c r="X124"/>
      <c r="Y124"/>
      <c r="Z124"/>
      <c r="AA124"/>
      <c r="AB124"/>
      <c r="AC124"/>
      <c r="AD124"/>
      <c r="AE124"/>
      <c r="AF124"/>
      <c r="AG124"/>
      <c r="AH124"/>
      <c r="AI124"/>
      <c r="AJ124"/>
      <c r="AK124"/>
    </row>
    <row r="125" spans="1:37" ht="79.5" thickBot="1">
      <c r="A125" s="757" t="s">
        <v>261</v>
      </c>
      <c r="B125" s="42"/>
      <c r="C125" s="740" t="s">
        <v>231</v>
      </c>
      <c r="D125" s="360">
        <f>Calculations!$B$79*0.4</f>
        <v>9400</v>
      </c>
      <c r="E125" s="515" t="s">
        <v>229</v>
      </c>
      <c r="F125" s="363">
        <v>0.02</v>
      </c>
      <c r="G125" s="42"/>
      <c r="H125" s="362" t="s">
        <v>713</v>
      </c>
      <c r="I125" s="42"/>
      <c r="J125" s="41"/>
      <c r="K125" s="43"/>
      <c r="L125" s="51">
        <f t="shared" si="16"/>
        <v>9400</v>
      </c>
      <c r="M125" s="43"/>
      <c r="N125" s="51">
        <f t="shared" si="17"/>
        <v>9588</v>
      </c>
      <c r="O125" s="43"/>
      <c r="P125" s="51">
        <f t="shared" si="18"/>
        <v>9779.76</v>
      </c>
      <c r="Q125" s="349"/>
      <c r="R125" s="51">
        <f t="shared" si="19"/>
        <v>9975.3552</v>
      </c>
      <c r="S125" s="357"/>
      <c r="T125" s="51">
        <f t="shared" si="20"/>
        <v>10174.862304</v>
      </c>
      <c r="U125"/>
      <c r="V125"/>
      <c r="W125"/>
      <c r="X125"/>
      <c r="Y125"/>
      <c r="Z125"/>
      <c r="AA125"/>
      <c r="AB125"/>
      <c r="AC125"/>
      <c r="AD125"/>
      <c r="AE125"/>
      <c r="AF125"/>
      <c r="AG125"/>
      <c r="AH125"/>
      <c r="AI125"/>
      <c r="AJ125"/>
      <c r="AK125"/>
    </row>
    <row r="126" spans="1:37" ht="95.25" thickBot="1">
      <c r="A126" s="757" t="s">
        <v>262</v>
      </c>
      <c r="B126" s="46"/>
      <c r="C126" s="740" t="s">
        <v>231</v>
      </c>
      <c r="D126" s="360">
        <f>Calculations!$B$79*0.65</f>
        <v>15275</v>
      </c>
      <c r="E126" s="515" t="s">
        <v>229</v>
      </c>
      <c r="F126" s="363">
        <v>0.02</v>
      </c>
      <c r="G126" s="46"/>
      <c r="H126" s="362" t="s">
        <v>714</v>
      </c>
      <c r="I126" s="46"/>
      <c r="J126" s="41"/>
      <c r="K126" s="43"/>
      <c r="L126" s="51">
        <f t="shared" si="16"/>
        <v>15275</v>
      </c>
      <c r="M126" s="43"/>
      <c r="N126" s="51">
        <f t="shared" si="17"/>
        <v>15580.5</v>
      </c>
      <c r="O126" s="43"/>
      <c r="P126" s="51">
        <f t="shared" si="18"/>
        <v>15892.11</v>
      </c>
      <c r="Q126" s="349"/>
      <c r="R126" s="51">
        <f t="shared" si="19"/>
        <v>16209.9522</v>
      </c>
      <c r="S126" s="357"/>
      <c r="T126" s="51">
        <f t="shared" si="20"/>
        <v>16534.151244</v>
      </c>
      <c r="U126"/>
      <c r="V126"/>
      <c r="W126"/>
      <c r="X126"/>
      <c r="Y126"/>
      <c r="Z126"/>
      <c r="AA126"/>
      <c r="AB126"/>
      <c r="AC126"/>
      <c r="AD126"/>
      <c r="AE126"/>
      <c r="AF126"/>
      <c r="AG126"/>
      <c r="AH126"/>
      <c r="AI126"/>
      <c r="AJ126"/>
      <c r="AK126"/>
    </row>
    <row r="127" spans="1:37" ht="16.5" thickBot="1">
      <c r="A127" s="765" t="s">
        <v>22</v>
      </c>
      <c r="B127" s="46"/>
      <c r="C127" s="740"/>
      <c r="D127" s="360"/>
      <c r="E127" s="515" t="s">
        <v>229</v>
      </c>
      <c r="F127" s="363"/>
      <c r="G127" s="46"/>
      <c r="H127" s="362"/>
      <c r="I127" s="46"/>
      <c r="J127" s="41"/>
      <c r="K127" s="43"/>
      <c r="L127" s="51">
        <f t="shared" si="16"/>
        <v>0</v>
      </c>
      <c r="M127" s="43"/>
      <c r="N127" s="51">
        <f t="shared" si="17"/>
        <v>0</v>
      </c>
      <c r="O127" s="43"/>
      <c r="P127" s="51">
        <f t="shared" si="18"/>
        <v>0</v>
      </c>
      <c r="Q127" s="349"/>
      <c r="R127" s="51">
        <f t="shared" si="19"/>
        <v>0</v>
      </c>
      <c r="S127" s="357"/>
      <c r="T127" s="51">
        <f t="shared" si="20"/>
        <v>0</v>
      </c>
      <c r="U127"/>
      <c r="V127"/>
      <c r="W127"/>
      <c r="X127"/>
      <c r="Y127"/>
      <c r="Z127"/>
      <c r="AA127"/>
      <c r="AB127"/>
      <c r="AC127"/>
      <c r="AD127"/>
      <c r="AE127"/>
      <c r="AF127"/>
      <c r="AG127"/>
      <c r="AH127"/>
      <c r="AI127"/>
      <c r="AJ127"/>
      <c r="AK127"/>
    </row>
    <row r="128" spans="1:37" ht="16.5" thickBot="1">
      <c r="A128" s="757" t="s">
        <v>260</v>
      </c>
      <c r="B128" s="46"/>
      <c r="C128" s="740" t="s">
        <v>7</v>
      </c>
      <c r="D128" s="360"/>
      <c r="E128" s="515" t="s">
        <v>229</v>
      </c>
      <c r="F128" s="363"/>
      <c r="G128" s="46"/>
      <c r="H128" s="362"/>
      <c r="I128" s="46"/>
      <c r="J128" s="41"/>
      <c r="K128" s="43"/>
      <c r="L128" s="51">
        <f>Loans!$B$18</f>
        <v>19293.065170682294</v>
      </c>
      <c r="M128" s="43"/>
      <c r="N128" s="51">
        <f>Loans!$B$18</f>
        <v>19293.065170682294</v>
      </c>
      <c r="O128" s="43"/>
      <c r="P128" s="51">
        <f>Loans!$B$18</f>
        <v>19293.065170682294</v>
      </c>
      <c r="Q128" s="349"/>
      <c r="R128" s="51">
        <f>Loans!$B$18</f>
        <v>19293.065170682294</v>
      </c>
      <c r="S128" s="357"/>
      <c r="T128" s="51">
        <f>Loans!$B$18</f>
        <v>19293.065170682294</v>
      </c>
      <c r="U128"/>
      <c r="V128"/>
      <c r="W128"/>
      <c r="X128"/>
      <c r="Y128"/>
      <c r="Z128"/>
      <c r="AA128"/>
      <c r="AB128"/>
      <c r="AC128"/>
      <c r="AD128"/>
      <c r="AE128"/>
      <c r="AF128"/>
      <c r="AG128"/>
      <c r="AH128"/>
      <c r="AI128"/>
      <c r="AJ128"/>
      <c r="AK128"/>
    </row>
    <row r="129" spans="1:37" ht="16.5" thickBot="1">
      <c r="A129" s="287"/>
      <c r="B129" s="46"/>
      <c r="C129" s="740"/>
      <c r="D129" s="360"/>
      <c r="E129" s="515" t="s">
        <v>229</v>
      </c>
      <c r="F129" s="363"/>
      <c r="G129" s="46"/>
      <c r="H129" s="362"/>
      <c r="I129" s="46"/>
      <c r="J129" s="41"/>
      <c r="K129" s="43"/>
      <c r="L129" s="51">
        <f t="shared" si="16"/>
        <v>0</v>
      </c>
      <c r="M129" s="43"/>
      <c r="N129" s="51">
        <f t="shared" si="17"/>
        <v>0</v>
      </c>
      <c r="O129" s="43"/>
      <c r="P129" s="51">
        <f t="shared" si="18"/>
        <v>0</v>
      </c>
      <c r="Q129" s="349"/>
      <c r="R129" s="51">
        <f t="shared" si="19"/>
        <v>0</v>
      </c>
      <c r="S129" s="357"/>
      <c r="T129" s="51">
        <f t="shared" si="20"/>
        <v>0</v>
      </c>
      <c r="U129"/>
      <c r="V129"/>
      <c r="W129"/>
      <c r="X129"/>
      <c r="Y129"/>
      <c r="Z129"/>
      <c r="AA129"/>
      <c r="AB129"/>
      <c r="AC129"/>
      <c r="AD129"/>
      <c r="AE129"/>
      <c r="AF129"/>
      <c r="AG129"/>
      <c r="AH129"/>
      <c r="AI129"/>
      <c r="AJ129"/>
      <c r="AK129"/>
    </row>
    <row r="130" spans="1:37" ht="16.5" thickBot="1">
      <c r="A130" s="287"/>
      <c r="B130" s="46"/>
      <c r="C130" s="740"/>
      <c r="D130" s="360"/>
      <c r="E130" s="515" t="s">
        <v>229</v>
      </c>
      <c r="F130" s="363"/>
      <c r="G130" s="46"/>
      <c r="H130" s="362"/>
      <c r="I130" s="46"/>
      <c r="J130" s="41"/>
      <c r="K130" s="43"/>
      <c r="L130" s="51">
        <f t="shared" si="16"/>
        <v>0</v>
      </c>
      <c r="M130" s="43"/>
      <c r="N130" s="51">
        <f t="shared" si="17"/>
        <v>0</v>
      </c>
      <c r="O130" s="43"/>
      <c r="P130" s="51">
        <f t="shared" si="18"/>
        <v>0</v>
      </c>
      <c r="Q130" s="349"/>
      <c r="R130" s="51">
        <f t="shared" si="19"/>
        <v>0</v>
      </c>
      <c r="S130" s="357"/>
      <c r="T130" s="51">
        <f t="shared" si="20"/>
        <v>0</v>
      </c>
      <c r="U130"/>
      <c r="V130"/>
      <c r="W130"/>
      <c r="X130"/>
      <c r="Y130"/>
      <c r="Z130"/>
      <c r="AA130"/>
      <c r="AB130"/>
      <c r="AC130"/>
      <c r="AD130"/>
      <c r="AE130"/>
      <c r="AF130"/>
      <c r="AG130"/>
      <c r="AH130"/>
      <c r="AI130"/>
      <c r="AJ130"/>
      <c r="AK130"/>
    </row>
    <row r="131" spans="1:37" ht="16.5" thickBot="1">
      <c r="A131" s="287"/>
      <c r="B131" s="46"/>
      <c r="C131" s="740"/>
      <c r="D131" s="360"/>
      <c r="E131" s="515" t="s">
        <v>229</v>
      </c>
      <c r="F131" s="363"/>
      <c r="G131" s="46"/>
      <c r="H131" s="362"/>
      <c r="I131" s="46"/>
      <c r="J131" s="41"/>
      <c r="K131" s="43"/>
      <c r="L131" s="51">
        <f t="shared" si="16"/>
        <v>0</v>
      </c>
      <c r="M131" s="43"/>
      <c r="N131" s="51">
        <f t="shared" si="17"/>
        <v>0</v>
      </c>
      <c r="O131" s="43"/>
      <c r="P131" s="51">
        <f t="shared" si="18"/>
        <v>0</v>
      </c>
      <c r="Q131" s="349"/>
      <c r="R131" s="51">
        <f t="shared" si="19"/>
        <v>0</v>
      </c>
      <c r="S131" s="357"/>
      <c r="T131" s="51">
        <f t="shared" si="20"/>
        <v>0</v>
      </c>
      <c r="U131"/>
      <c r="V131"/>
      <c r="W131"/>
      <c r="X131"/>
      <c r="Y131"/>
      <c r="Z131"/>
      <c r="AA131"/>
      <c r="AB131"/>
      <c r="AC131"/>
      <c r="AD131"/>
      <c r="AE131"/>
      <c r="AF131"/>
      <c r="AG131"/>
      <c r="AH131"/>
      <c r="AI131"/>
      <c r="AJ131"/>
      <c r="AK131"/>
    </row>
    <row r="132" spans="1:37" ht="16.5" thickBot="1">
      <c r="A132" s="287"/>
      <c r="B132" s="46"/>
      <c r="C132" s="740"/>
      <c r="D132" s="360"/>
      <c r="E132" s="515" t="s">
        <v>229</v>
      </c>
      <c r="F132" s="363"/>
      <c r="G132" s="46"/>
      <c r="H132" s="362"/>
      <c r="I132" s="46"/>
      <c r="J132" s="41"/>
      <c r="K132" s="43"/>
      <c r="L132" s="51">
        <f t="shared" si="16"/>
        <v>0</v>
      </c>
      <c r="M132" s="43"/>
      <c r="N132" s="51">
        <f t="shared" si="17"/>
        <v>0</v>
      </c>
      <c r="O132" s="43"/>
      <c r="P132" s="51">
        <f t="shared" si="18"/>
        <v>0</v>
      </c>
      <c r="Q132" s="349"/>
      <c r="R132" s="51">
        <f t="shared" si="19"/>
        <v>0</v>
      </c>
      <c r="S132" s="357"/>
      <c r="T132" s="51">
        <f t="shared" si="20"/>
        <v>0</v>
      </c>
      <c r="U132"/>
      <c r="V132"/>
      <c r="W132"/>
      <c r="X132"/>
      <c r="Y132"/>
      <c r="Z132"/>
      <c r="AA132"/>
      <c r="AB132"/>
      <c r="AC132"/>
      <c r="AD132"/>
      <c r="AE132"/>
      <c r="AF132"/>
      <c r="AG132"/>
      <c r="AH132"/>
      <c r="AI132"/>
      <c r="AJ132"/>
      <c r="AK132"/>
    </row>
    <row r="133" spans="1:37" ht="16.5" thickBot="1">
      <c r="A133" s="287"/>
      <c r="B133" s="46"/>
      <c r="C133" s="740"/>
      <c r="D133" s="360"/>
      <c r="E133" s="515" t="s">
        <v>229</v>
      </c>
      <c r="F133" s="363"/>
      <c r="G133" s="46"/>
      <c r="H133" s="362"/>
      <c r="I133" s="46"/>
      <c r="J133" s="41"/>
      <c r="K133" s="43"/>
      <c r="L133" s="51">
        <f t="shared" si="16"/>
        <v>0</v>
      </c>
      <c r="M133" s="43"/>
      <c r="N133" s="51">
        <f t="shared" si="17"/>
        <v>0</v>
      </c>
      <c r="O133" s="43"/>
      <c r="P133" s="51">
        <f t="shared" si="18"/>
        <v>0</v>
      </c>
      <c r="Q133" s="349"/>
      <c r="R133" s="51">
        <f t="shared" si="19"/>
        <v>0</v>
      </c>
      <c r="S133" s="357"/>
      <c r="T133" s="51">
        <f t="shared" si="20"/>
        <v>0</v>
      </c>
      <c r="U133"/>
      <c r="V133"/>
      <c r="W133"/>
      <c r="X133"/>
      <c r="Y133"/>
      <c r="Z133"/>
      <c r="AA133"/>
      <c r="AB133"/>
      <c r="AC133"/>
      <c r="AD133"/>
      <c r="AE133"/>
      <c r="AF133"/>
      <c r="AG133"/>
      <c r="AH133"/>
      <c r="AI133"/>
      <c r="AJ133"/>
      <c r="AK133"/>
    </row>
    <row r="134" spans="1:37" ht="16.5" thickBot="1">
      <c r="A134" s="287"/>
      <c r="B134" s="46"/>
      <c r="C134" s="740"/>
      <c r="D134" s="360"/>
      <c r="E134" s="515" t="s">
        <v>229</v>
      </c>
      <c r="F134" s="363"/>
      <c r="G134" s="46"/>
      <c r="H134" s="362"/>
      <c r="I134" s="46"/>
      <c r="J134" s="41"/>
      <c r="K134" s="43"/>
      <c r="L134" s="51">
        <f t="shared" si="16"/>
        <v>0</v>
      </c>
      <c r="M134" s="43"/>
      <c r="N134" s="51">
        <f t="shared" si="17"/>
        <v>0</v>
      </c>
      <c r="O134" s="43"/>
      <c r="P134" s="51">
        <f t="shared" si="18"/>
        <v>0</v>
      </c>
      <c r="Q134" s="349"/>
      <c r="R134" s="51">
        <f t="shared" si="19"/>
        <v>0</v>
      </c>
      <c r="S134" s="357"/>
      <c r="T134" s="51">
        <f t="shared" si="20"/>
        <v>0</v>
      </c>
      <c r="U134"/>
      <c r="V134"/>
      <c r="W134"/>
      <c r="X134"/>
      <c r="Y134"/>
      <c r="Z134"/>
      <c r="AA134"/>
      <c r="AB134"/>
      <c r="AC134"/>
      <c r="AD134"/>
      <c r="AE134"/>
      <c r="AF134"/>
      <c r="AG134"/>
      <c r="AH134"/>
      <c r="AI134"/>
      <c r="AJ134"/>
      <c r="AK134"/>
    </row>
    <row r="135" spans="1:37" ht="16.5" thickBot="1">
      <c r="A135" s="287"/>
      <c r="B135" s="46"/>
      <c r="C135" s="740"/>
      <c r="D135" s="360"/>
      <c r="E135" s="515" t="s">
        <v>229</v>
      </c>
      <c r="F135" s="363"/>
      <c r="G135" s="46"/>
      <c r="H135" s="362"/>
      <c r="I135" s="46"/>
      <c r="J135" s="41"/>
      <c r="K135" s="43"/>
      <c r="L135" s="51">
        <f t="shared" si="16"/>
        <v>0</v>
      </c>
      <c r="M135" s="43"/>
      <c r="N135" s="51">
        <f t="shared" si="17"/>
        <v>0</v>
      </c>
      <c r="O135" s="43"/>
      <c r="P135" s="51">
        <f t="shared" si="18"/>
        <v>0</v>
      </c>
      <c r="Q135" s="349"/>
      <c r="R135" s="51">
        <f t="shared" si="19"/>
        <v>0</v>
      </c>
      <c r="S135" s="357"/>
      <c r="T135" s="51">
        <f t="shared" si="20"/>
        <v>0</v>
      </c>
      <c r="U135"/>
      <c r="V135"/>
      <c r="W135"/>
      <c r="X135"/>
      <c r="Y135"/>
      <c r="Z135"/>
      <c r="AA135"/>
      <c r="AB135"/>
      <c r="AC135"/>
      <c r="AD135"/>
      <c r="AE135"/>
      <c r="AF135"/>
      <c r="AG135"/>
      <c r="AH135"/>
      <c r="AI135"/>
      <c r="AJ135"/>
      <c r="AK135"/>
    </row>
    <row r="136" spans="1:37" ht="16.5" thickBot="1">
      <c r="A136" s="287"/>
      <c r="B136" s="46"/>
      <c r="C136" s="740"/>
      <c r="D136" s="360"/>
      <c r="E136" s="515" t="s">
        <v>229</v>
      </c>
      <c r="F136" s="363"/>
      <c r="G136" s="46"/>
      <c r="H136" s="362"/>
      <c r="I136" s="46"/>
      <c r="J136" s="41"/>
      <c r="K136" s="43"/>
      <c r="L136" s="51">
        <f t="shared" si="16"/>
        <v>0</v>
      </c>
      <c r="M136" s="43"/>
      <c r="N136" s="51">
        <f t="shared" si="17"/>
        <v>0</v>
      </c>
      <c r="O136" s="43"/>
      <c r="P136" s="51">
        <f t="shared" si="18"/>
        <v>0</v>
      </c>
      <c r="Q136" s="349"/>
      <c r="R136" s="51">
        <f t="shared" si="19"/>
        <v>0</v>
      </c>
      <c r="S136" s="357"/>
      <c r="T136" s="51">
        <f t="shared" si="20"/>
        <v>0</v>
      </c>
      <c r="U136"/>
      <c r="V136"/>
      <c r="W136"/>
      <c r="X136"/>
      <c r="Y136"/>
      <c r="Z136"/>
      <c r="AA136"/>
      <c r="AB136"/>
      <c r="AC136"/>
      <c r="AD136"/>
      <c r="AE136"/>
      <c r="AF136"/>
      <c r="AG136"/>
      <c r="AH136"/>
      <c r="AI136"/>
      <c r="AJ136"/>
      <c r="AK136"/>
    </row>
    <row r="137" spans="1:37" ht="16.5" thickBot="1">
      <c r="A137" s="45"/>
      <c r="B137" s="46"/>
      <c r="C137" s="316"/>
      <c r="D137" s="316"/>
      <c r="E137" s="316"/>
      <c r="F137" s="316"/>
      <c r="G137" s="46"/>
      <c r="H137" s="300"/>
      <c r="I137" s="46"/>
      <c r="J137" s="54"/>
      <c r="K137" s="43"/>
      <c r="L137" s="54"/>
      <c r="M137" s="43"/>
      <c r="N137" s="54"/>
      <c r="O137" s="43"/>
      <c r="P137" s="54"/>
      <c r="Q137" s="349"/>
      <c r="R137" s="56"/>
      <c r="S137" s="358"/>
      <c r="T137" s="56"/>
      <c r="U137"/>
      <c r="V137"/>
      <c r="W137"/>
      <c r="X137"/>
      <c r="Y137"/>
      <c r="Z137"/>
      <c r="AA137"/>
      <c r="AB137"/>
      <c r="AC137"/>
      <c r="AD137"/>
      <c r="AE137"/>
      <c r="AF137"/>
      <c r="AG137"/>
      <c r="AH137"/>
      <c r="AI137"/>
      <c r="AJ137"/>
      <c r="AK137"/>
    </row>
    <row r="138" spans="2:37" ht="16.5" thickBot="1">
      <c r="B138" s="38"/>
      <c r="C138" s="313"/>
      <c r="D138" s="313"/>
      <c r="E138" s="313"/>
      <c r="F138" s="313"/>
      <c r="G138" s="38"/>
      <c r="H138" s="302" t="s">
        <v>20</v>
      </c>
      <c r="I138" s="38"/>
      <c r="J138" s="508">
        <f>SUM(J119:J136)</f>
        <v>0</v>
      </c>
      <c r="K138" s="374"/>
      <c r="L138" s="508">
        <f>SUM(L119:L136)</f>
        <v>378843.06517068227</v>
      </c>
      <c r="M138" s="374"/>
      <c r="N138" s="508">
        <f>SUM(N119:N136)</f>
        <v>382274.06517068227</v>
      </c>
      <c r="O138" s="374"/>
      <c r="P138" s="508">
        <f>SUM(P119:P136)</f>
        <v>385773.6851706822</v>
      </c>
      <c r="Q138" s="375"/>
      <c r="R138" s="508">
        <f>SUM(R119:R136)</f>
        <v>389343.29757068225</v>
      </c>
      <c r="S138" s="371"/>
      <c r="T138" s="508">
        <f>SUM(T119:T136)</f>
        <v>392984.30221868225</v>
      </c>
      <c r="U138"/>
      <c r="V138"/>
      <c r="W138"/>
      <c r="X138"/>
      <c r="Y138"/>
      <c r="Z138"/>
      <c r="AA138"/>
      <c r="AB138"/>
      <c r="AC138"/>
      <c r="AD138"/>
      <c r="AE138"/>
      <c r="AF138"/>
      <c r="AG138"/>
      <c r="AH138"/>
      <c r="AI138"/>
      <c r="AJ138"/>
      <c r="AK138"/>
    </row>
    <row r="139" spans="1:37" ht="16.5" thickBot="1">
      <c r="A139" s="57"/>
      <c r="B139" s="58"/>
      <c r="C139" s="318"/>
      <c r="D139" s="318"/>
      <c r="E139" s="318"/>
      <c r="F139" s="318"/>
      <c r="G139" s="58"/>
      <c r="H139" s="300"/>
      <c r="I139" s="58"/>
      <c r="J139" s="54"/>
      <c r="K139" s="59"/>
      <c r="L139" s="54"/>
      <c r="M139" s="59"/>
      <c r="N139" s="54"/>
      <c r="O139" s="59"/>
      <c r="P139" s="54"/>
      <c r="Q139" s="351"/>
      <c r="R139" s="56"/>
      <c r="S139" s="359"/>
      <c r="T139" s="56"/>
      <c r="U139"/>
      <c r="V139"/>
      <c r="W139"/>
      <c r="X139"/>
      <c r="Y139"/>
      <c r="Z139"/>
      <c r="AA139"/>
      <c r="AB139"/>
      <c r="AC139"/>
      <c r="AD139"/>
      <c r="AE139"/>
      <c r="AF139"/>
      <c r="AG139"/>
      <c r="AH139"/>
      <c r="AI139"/>
      <c r="AJ139"/>
      <c r="AK139"/>
    </row>
    <row r="140" spans="1:37" ht="18.75" customHeight="1" thickBot="1">
      <c r="A140" s="302" t="s">
        <v>258</v>
      </c>
      <c r="B140" s="38"/>
      <c r="C140" s="740"/>
      <c r="D140" s="360"/>
      <c r="E140" s="515" t="s">
        <v>229</v>
      </c>
      <c r="F140" s="363"/>
      <c r="G140" s="38"/>
      <c r="H140" s="382" t="str">
        <f>A140</f>
        <v>Education Management Organization Fee</v>
      </c>
      <c r="I140" s="38"/>
      <c r="J140" s="478"/>
      <c r="K140" s="376"/>
      <c r="L140" s="364">
        <f>IF($C140="Per Employee",$L$175*$D140,IF($C140="Per Pupil",$D140*$L$177,IF($C140="Fixed Per Year",$D140,0)))</f>
        <v>0</v>
      </c>
      <c r="M140" s="43"/>
      <c r="N140" s="364">
        <f>IF($C140="Per Employee",$N$175*$D140,IF($C140="Per Pupil",$D140*$N$177,IF($C140="Fixed Per Year",$D140)))*(1+$F140)^1</f>
        <v>0</v>
      </c>
      <c r="O140" s="43"/>
      <c r="P140" s="364">
        <f>IF($C140="Per Employee",$P$175*$D140,IF($C140="Per Pupil",$D140*$P$177,IF($C140="Fixed Per Year",$D140)))*(1+$F140)^2</f>
        <v>0</v>
      </c>
      <c r="Q140" s="349"/>
      <c r="R140" s="364">
        <f>IF($C140="Per Employee",$R$175*$D140,IF($C140="Per Pupil",$D140*$R$177,IF($C140="Fixed Per Year",$D140)))*(1+$F140)^3</f>
        <v>0</v>
      </c>
      <c r="S140" s="357"/>
      <c r="T140" s="364">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18"/>
      <c r="D141" s="318"/>
      <c r="E141" s="318"/>
      <c r="F141" s="318"/>
      <c r="G141" s="58"/>
      <c r="H141" s="300"/>
      <c r="I141" s="58"/>
      <c r="J141" s="54"/>
      <c r="K141" s="59"/>
      <c r="L141" s="54"/>
      <c r="M141" s="59"/>
      <c r="N141" s="54"/>
      <c r="O141" s="59"/>
      <c r="P141" s="54"/>
      <c r="Q141" s="351"/>
      <c r="R141" s="56"/>
      <c r="S141" s="359"/>
      <c r="T141" s="56"/>
      <c r="U141"/>
      <c r="V141"/>
      <c r="W141"/>
      <c r="X141"/>
      <c r="Y141"/>
      <c r="Z141"/>
      <c r="AA141"/>
      <c r="AB141"/>
      <c r="AC141"/>
      <c r="AD141"/>
      <c r="AE141"/>
      <c r="AF141"/>
      <c r="AG141"/>
      <c r="AH141"/>
      <c r="AI141"/>
      <c r="AJ141"/>
      <c r="AK141"/>
    </row>
    <row r="142" spans="1:37" ht="18.75" customHeight="1" thickBot="1">
      <c r="A142" s="380" t="s">
        <v>264</v>
      </c>
      <c r="B142" s="55"/>
      <c r="C142" s="317"/>
      <c r="D142" s="317"/>
      <c r="E142" s="317"/>
      <c r="F142" s="317"/>
      <c r="G142" s="55"/>
      <c r="H142" s="300"/>
      <c r="I142" s="55"/>
      <c r="J142" s="44"/>
      <c r="K142" s="43"/>
      <c r="L142" s="44"/>
      <c r="M142" s="43"/>
      <c r="N142" s="44"/>
      <c r="O142" s="43"/>
      <c r="P142" s="44"/>
      <c r="Q142" s="349"/>
      <c r="R142" s="34"/>
      <c r="S142" s="358"/>
      <c r="T142" s="34"/>
      <c r="U142"/>
      <c r="V142"/>
      <c r="W142"/>
      <c r="X142"/>
      <c r="Y142"/>
      <c r="Z142"/>
      <c r="AA142"/>
      <c r="AB142"/>
      <c r="AC142"/>
      <c r="AD142"/>
      <c r="AE142"/>
      <c r="AF142"/>
      <c r="AG142"/>
      <c r="AH142"/>
      <c r="AI142"/>
      <c r="AJ142"/>
      <c r="AK142"/>
    </row>
    <row r="143" spans="1:37" ht="16.5" thickBot="1">
      <c r="A143" s="763" t="s">
        <v>22</v>
      </c>
      <c r="B143" s="42"/>
      <c r="C143" s="740" t="s">
        <v>203</v>
      </c>
      <c r="D143" s="360">
        <v>70</v>
      </c>
      <c r="E143" s="515" t="s">
        <v>229</v>
      </c>
      <c r="F143" s="363"/>
      <c r="G143" s="42"/>
      <c r="H143" s="362" t="s">
        <v>718</v>
      </c>
      <c r="I143" s="42"/>
      <c r="J143" s="41"/>
      <c r="K143" s="43"/>
      <c r="L143" s="51">
        <f>'CMO Costs'!F79</f>
        <v>8750</v>
      </c>
      <c r="M143" s="43"/>
      <c r="N143" s="51">
        <f>'CMO Costs'!G79</f>
        <v>10150</v>
      </c>
      <c r="O143" s="43"/>
      <c r="P143" s="51">
        <f>'CMO Costs'!H79</f>
        <v>11550</v>
      </c>
      <c r="Q143" s="349"/>
      <c r="R143" s="51">
        <f>'CMO Costs'!I79</f>
        <v>11550</v>
      </c>
      <c r="S143" s="357"/>
      <c r="T143" s="51">
        <f>'CMO Costs'!J79</f>
        <v>11550</v>
      </c>
      <c r="U143"/>
      <c r="V143"/>
      <c r="W143"/>
      <c r="X143"/>
      <c r="Y143"/>
      <c r="Z143"/>
      <c r="AA143"/>
      <c r="AB143"/>
      <c r="AC143"/>
      <c r="AD143"/>
      <c r="AE143"/>
      <c r="AF143"/>
      <c r="AG143"/>
      <c r="AH143"/>
      <c r="AI143"/>
      <c r="AJ143"/>
      <c r="AK143"/>
    </row>
    <row r="144" spans="1:37" ht="16.5" thickBot="1">
      <c r="A144" s="764" t="s">
        <v>265</v>
      </c>
      <c r="B144" s="42"/>
      <c r="C144" s="740"/>
      <c r="D144" s="360"/>
      <c r="E144" s="515" t="s">
        <v>229</v>
      </c>
      <c r="F144" s="363"/>
      <c r="G144" s="42"/>
      <c r="H144" s="362"/>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49"/>
      <c r="R144" s="51">
        <f aca="true" t="shared" si="24" ref="R144:R155">IF($C144="Per Employee",$R$175*$D144,IF($C144="Per Pupil",$D144*$R$177,IF($C144="Fixed Per Year",$D144)))*(1+$F144)^3</f>
        <v>0</v>
      </c>
      <c r="S144" s="357"/>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64" t="s">
        <v>56</v>
      </c>
      <c r="B145" s="42"/>
      <c r="C145" s="740"/>
      <c r="D145" s="360"/>
      <c r="E145" s="515" t="s">
        <v>229</v>
      </c>
      <c r="F145" s="363"/>
      <c r="G145" s="42"/>
      <c r="H145" s="362"/>
      <c r="I145" s="42"/>
      <c r="J145" s="41"/>
      <c r="K145" s="43"/>
      <c r="L145" s="51">
        <f t="shared" si="21"/>
        <v>0</v>
      </c>
      <c r="M145" s="43"/>
      <c r="N145" s="51">
        <f t="shared" si="22"/>
        <v>0</v>
      </c>
      <c r="O145" s="43"/>
      <c r="P145" s="51">
        <f t="shared" si="23"/>
        <v>0</v>
      </c>
      <c r="Q145" s="349"/>
      <c r="R145" s="51">
        <f t="shared" si="24"/>
        <v>0</v>
      </c>
      <c r="S145" s="357"/>
      <c r="T145" s="51">
        <f t="shared" si="25"/>
        <v>0</v>
      </c>
      <c r="V145"/>
      <c r="W145"/>
      <c r="X145"/>
      <c r="Y145"/>
      <c r="Z145"/>
      <c r="AA145"/>
      <c r="AB145"/>
      <c r="AC145"/>
      <c r="AD145"/>
      <c r="AE145"/>
      <c r="AF145"/>
      <c r="AG145"/>
      <c r="AH145"/>
      <c r="AI145"/>
      <c r="AJ145"/>
      <c r="AK145"/>
    </row>
    <row r="146" spans="1:37" ht="32.25" thickBot="1">
      <c r="A146" s="764" t="s">
        <v>266</v>
      </c>
      <c r="B146" s="42"/>
      <c r="C146" s="740" t="s">
        <v>7</v>
      </c>
      <c r="D146" s="360"/>
      <c r="E146" s="515" t="s">
        <v>229</v>
      </c>
      <c r="F146" s="363"/>
      <c r="G146" s="42"/>
      <c r="H146" s="362" t="s">
        <v>692</v>
      </c>
      <c r="I146" s="42"/>
      <c r="J146" s="41"/>
      <c r="K146" s="43"/>
      <c r="L146" s="51">
        <f>Calculations!B28</f>
        <v>250000</v>
      </c>
      <c r="M146" s="43"/>
      <c r="N146" s="51">
        <f t="shared" si="22"/>
        <v>0</v>
      </c>
      <c r="O146" s="43"/>
      <c r="P146" s="51">
        <f t="shared" si="23"/>
        <v>0</v>
      </c>
      <c r="Q146" s="349"/>
      <c r="R146" s="51">
        <f t="shared" si="24"/>
        <v>0</v>
      </c>
      <c r="S146" s="357"/>
      <c r="T146" s="51">
        <f t="shared" si="25"/>
        <v>0</v>
      </c>
      <c r="V146"/>
      <c r="W146"/>
      <c r="X146"/>
      <c r="Y146"/>
      <c r="Z146"/>
      <c r="AA146"/>
      <c r="AB146"/>
      <c r="AC146"/>
      <c r="AD146"/>
      <c r="AE146"/>
      <c r="AF146"/>
      <c r="AG146"/>
      <c r="AH146"/>
      <c r="AI146"/>
      <c r="AJ146"/>
      <c r="AK146"/>
    </row>
    <row r="147" spans="1:37" ht="16.5" thickBot="1">
      <c r="A147" s="764" t="s">
        <v>23</v>
      </c>
      <c r="B147" s="42"/>
      <c r="C147" s="740"/>
      <c r="D147" s="360"/>
      <c r="E147" s="515" t="s">
        <v>229</v>
      </c>
      <c r="F147" s="363"/>
      <c r="G147" s="42"/>
      <c r="H147" s="362"/>
      <c r="I147" s="42"/>
      <c r="J147" s="41"/>
      <c r="K147" s="43"/>
      <c r="L147" s="51">
        <f t="shared" si="21"/>
        <v>0</v>
      </c>
      <c r="M147" s="43"/>
      <c r="N147" s="51">
        <f t="shared" si="22"/>
        <v>0</v>
      </c>
      <c r="O147" s="43"/>
      <c r="P147" s="51">
        <f t="shared" si="23"/>
        <v>0</v>
      </c>
      <c r="Q147" s="349"/>
      <c r="R147" s="51">
        <f t="shared" si="24"/>
        <v>0</v>
      </c>
      <c r="S147" s="357"/>
      <c r="T147" s="51">
        <f t="shared" si="25"/>
        <v>0</v>
      </c>
      <c r="V147"/>
      <c r="W147"/>
      <c r="X147"/>
      <c r="Y147"/>
      <c r="Z147"/>
      <c r="AA147"/>
      <c r="AB147"/>
      <c r="AC147"/>
      <c r="AD147"/>
      <c r="AE147"/>
      <c r="AF147"/>
      <c r="AG147"/>
      <c r="AH147"/>
      <c r="AI147"/>
      <c r="AJ147"/>
      <c r="AK147"/>
    </row>
    <row r="148" spans="1:37" ht="16.5" thickBot="1">
      <c r="A148" s="299" t="s">
        <v>635</v>
      </c>
      <c r="B148" s="42"/>
      <c r="C148" s="740" t="s">
        <v>7</v>
      </c>
      <c r="D148" s="360"/>
      <c r="E148" s="515" t="s">
        <v>229</v>
      </c>
      <c r="F148" s="363"/>
      <c r="G148" s="42"/>
      <c r="H148" s="362" t="s">
        <v>718</v>
      </c>
      <c r="I148" s="42"/>
      <c r="J148" s="41">
        <f>'CMO Costs'!E76</f>
        <v>81050.17999151835</v>
      </c>
      <c r="K148" s="43"/>
      <c r="L148" s="41">
        <f>'CMO Costs'!F76</f>
        <v>111755.40409158527</v>
      </c>
      <c r="M148" s="43"/>
      <c r="N148" s="41">
        <f>'CMO Costs'!G76</f>
        <v>125658.60932011208</v>
      </c>
      <c r="O148" s="43"/>
      <c r="P148" s="41">
        <f>'CMO Costs'!H76</f>
        <v>142314.87463826762</v>
      </c>
      <c r="Q148" s="349"/>
      <c r="R148" s="41">
        <f>'CMO Costs'!I76</f>
        <v>145161.17213103297</v>
      </c>
      <c r="S148" s="357"/>
      <c r="T148" s="41">
        <f>'CMO Costs'!J76</f>
        <v>148064.39557365366</v>
      </c>
      <c r="V148"/>
      <c r="W148"/>
      <c r="X148"/>
      <c r="Y148"/>
      <c r="Z148"/>
      <c r="AA148"/>
      <c r="AB148"/>
      <c r="AC148"/>
      <c r="AD148"/>
      <c r="AE148"/>
      <c r="AF148"/>
      <c r="AG148"/>
      <c r="AH148"/>
      <c r="AI148"/>
      <c r="AJ148"/>
      <c r="AK148"/>
    </row>
    <row r="149" spans="1:37" ht="16.5" thickBot="1">
      <c r="A149" s="299"/>
      <c r="B149" s="42"/>
      <c r="C149" s="740"/>
      <c r="D149" s="360"/>
      <c r="E149" s="515" t="s">
        <v>229</v>
      </c>
      <c r="F149" s="363"/>
      <c r="G149" s="42"/>
      <c r="H149" s="362"/>
      <c r="I149" s="42"/>
      <c r="J149" s="41"/>
      <c r="K149" s="43"/>
      <c r="L149" s="51">
        <f t="shared" si="21"/>
        <v>0</v>
      </c>
      <c r="M149" s="43"/>
      <c r="N149" s="51">
        <f t="shared" si="22"/>
        <v>0</v>
      </c>
      <c r="O149" s="43"/>
      <c r="P149" s="51">
        <f t="shared" si="23"/>
        <v>0</v>
      </c>
      <c r="Q149" s="349"/>
      <c r="R149" s="51">
        <f t="shared" si="24"/>
        <v>0</v>
      </c>
      <c r="S149" s="357"/>
      <c r="T149" s="51">
        <f t="shared" si="25"/>
        <v>0</v>
      </c>
      <c r="V149"/>
      <c r="W149"/>
      <c r="X149"/>
      <c r="Y149"/>
      <c r="Z149"/>
      <c r="AA149"/>
      <c r="AB149"/>
      <c r="AC149"/>
      <c r="AD149"/>
      <c r="AE149"/>
      <c r="AF149"/>
      <c r="AG149"/>
      <c r="AH149"/>
      <c r="AI149"/>
      <c r="AJ149"/>
      <c r="AK149"/>
    </row>
    <row r="150" spans="1:37" ht="16.5" thickBot="1">
      <c r="A150" s="299"/>
      <c r="B150" s="42"/>
      <c r="C150" s="740"/>
      <c r="D150" s="360"/>
      <c r="E150" s="515" t="s">
        <v>229</v>
      </c>
      <c r="F150" s="363"/>
      <c r="G150" s="42"/>
      <c r="H150" s="362"/>
      <c r="I150" s="42"/>
      <c r="J150" s="41"/>
      <c r="K150" s="43"/>
      <c r="L150" s="51">
        <f t="shared" si="21"/>
        <v>0</v>
      </c>
      <c r="M150" s="43"/>
      <c r="N150" s="51">
        <f t="shared" si="22"/>
        <v>0</v>
      </c>
      <c r="O150" s="43"/>
      <c r="P150" s="51">
        <f t="shared" si="23"/>
        <v>0</v>
      </c>
      <c r="Q150" s="349"/>
      <c r="R150" s="51">
        <f t="shared" si="24"/>
        <v>0</v>
      </c>
      <c r="S150" s="357"/>
      <c r="T150" s="51">
        <f t="shared" si="25"/>
        <v>0</v>
      </c>
      <c r="V150"/>
      <c r="W150"/>
      <c r="X150"/>
      <c r="Y150"/>
      <c r="Z150"/>
      <c r="AA150"/>
      <c r="AB150"/>
      <c r="AC150"/>
      <c r="AD150"/>
      <c r="AE150"/>
      <c r="AF150"/>
      <c r="AG150"/>
      <c r="AH150"/>
      <c r="AI150"/>
      <c r="AJ150"/>
      <c r="AK150"/>
    </row>
    <row r="151" spans="1:37" ht="16.5" thickBot="1">
      <c r="A151" s="299"/>
      <c r="B151" s="42"/>
      <c r="C151" s="740"/>
      <c r="D151" s="360"/>
      <c r="E151" s="515" t="s">
        <v>229</v>
      </c>
      <c r="F151" s="363"/>
      <c r="G151" s="42"/>
      <c r="H151" s="362"/>
      <c r="I151" s="42"/>
      <c r="J151" s="41"/>
      <c r="K151" s="43"/>
      <c r="L151" s="51">
        <f t="shared" si="21"/>
        <v>0</v>
      </c>
      <c r="M151" s="43"/>
      <c r="N151" s="51">
        <f t="shared" si="22"/>
        <v>0</v>
      </c>
      <c r="O151" s="43"/>
      <c r="P151" s="51">
        <f t="shared" si="23"/>
        <v>0</v>
      </c>
      <c r="Q151" s="349"/>
      <c r="R151" s="51">
        <f t="shared" si="24"/>
        <v>0</v>
      </c>
      <c r="S151" s="357"/>
      <c r="T151" s="51">
        <f t="shared" si="25"/>
        <v>0</v>
      </c>
      <c r="V151"/>
      <c r="W151"/>
      <c r="X151"/>
      <c r="Y151"/>
      <c r="Z151"/>
      <c r="AA151"/>
      <c r="AB151"/>
      <c r="AC151"/>
      <c r="AD151"/>
      <c r="AE151"/>
      <c r="AF151"/>
      <c r="AG151"/>
      <c r="AH151"/>
      <c r="AI151"/>
      <c r="AJ151"/>
      <c r="AK151"/>
    </row>
    <row r="152" spans="1:37" ht="16.5" thickBot="1">
      <c r="A152" s="299"/>
      <c r="B152" s="42"/>
      <c r="C152" s="740"/>
      <c r="D152" s="360"/>
      <c r="E152" s="515" t="s">
        <v>229</v>
      </c>
      <c r="F152" s="363"/>
      <c r="G152" s="42"/>
      <c r="H152" s="362"/>
      <c r="I152" s="42"/>
      <c r="J152" s="41"/>
      <c r="K152" s="43"/>
      <c r="L152" s="51">
        <f t="shared" si="21"/>
        <v>0</v>
      </c>
      <c r="M152" s="43"/>
      <c r="N152" s="51">
        <f t="shared" si="22"/>
        <v>0</v>
      </c>
      <c r="O152" s="43"/>
      <c r="P152" s="51">
        <f t="shared" si="23"/>
        <v>0</v>
      </c>
      <c r="Q152" s="349"/>
      <c r="R152" s="51">
        <f t="shared" si="24"/>
        <v>0</v>
      </c>
      <c r="S152" s="357"/>
      <c r="T152" s="51">
        <f t="shared" si="25"/>
        <v>0</v>
      </c>
      <c r="V152"/>
      <c r="W152"/>
      <c r="X152"/>
      <c r="Y152"/>
      <c r="Z152"/>
      <c r="AA152"/>
      <c r="AB152"/>
      <c r="AC152"/>
      <c r="AD152"/>
      <c r="AE152"/>
      <c r="AF152"/>
      <c r="AG152"/>
      <c r="AH152"/>
      <c r="AI152"/>
      <c r="AJ152"/>
      <c r="AK152"/>
    </row>
    <row r="153" spans="1:37" ht="16.5" thickBot="1">
      <c r="A153" s="299"/>
      <c r="B153" s="46"/>
      <c r="C153" s="740"/>
      <c r="D153" s="360"/>
      <c r="E153" s="515" t="s">
        <v>229</v>
      </c>
      <c r="F153" s="363"/>
      <c r="G153" s="46"/>
      <c r="H153" s="362"/>
      <c r="I153" s="46"/>
      <c r="J153" s="41"/>
      <c r="K153" s="43"/>
      <c r="L153" s="51">
        <f t="shared" si="21"/>
        <v>0</v>
      </c>
      <c r="M153" s="43"/>
      <c r="N153" s="51">
        <f t="shared" si="22"/>
        <v>0</v>
      </c>
      <c r="O153" s="43"/>
      <c r="P153" s="51">
        <f t="shared" si="23"/>
        <v>0</v>
      </c>
      <c r="Q153" s="349"/>
      <c r="R153" s="51">
        <f t="shared" si="24"/>
        <v>0</v>
      </c>
      <c r="S153" s="357"/>
      <c r="T153" s="51">
        <f t="shared" si="25"/>
        <v>0</v>
      </c>
      <c r="V153"/>
      <c r="W153"/>
      <c r="X153"/>
      <c r="Y153"/>
      <c r="Z153"/>
      <c r="AA153"/>
      <c r="AB153"/>
      <c r="AC153"/>
      <c r="AD153"/>
      <c r="AE153"/>
      <c r="AF153"/>
      <c r="AG153"/>
      <c r="AH153"/>
      <c r="AI153"/>
      <c r="AJ153"/>
      <c r="AK153"/>
    </row>
    <row r="154" spans="1:37" ht="16.5" thickBot="1">
      <c r="A154" s="299"/>
      <c r="B154" s="46"/>
      <c r="C154" s="740"/>
      <c r="D154" s="360"/>
      <c r="E154" s="515" t="s">
        <v>229</v>
      </c>
      <c r="F154" s="363"/>
      <c r="G154" s="46"/>
      <c r="H154" s="362"/>
      <c r="I154" s="46"/>
      <c r="J154" s="41"/>
      <c r="K154" s="43"/>
      <c r="L154" s="51">
        <f t="shared" si="21"/>
        <v>0</v>
      </c>
      <c r="M154" s="43"/>
      <c r="N154" s="51">
        <f t="shared" si="22"/>
        <v>0</v>
      </c>
      <c r="O154" s="43"/>
      <c r="P154" s="51">
        <f t="shared" si="23"/>
        <v>0</v>
      </c>
      <c r="Q154" s="349"/>
      <c r="R154" s="51">
        <f t="shared" si="24"/>
        <v>0</v>
      </c>
      <c r="S154" s="357"/>
      <c r="T154" s="51">
        <f t="shared" si="25"/>
        <v>0</v>
      </c>
      <c r="V154"/>
      <c r="W154"/>
      <c r="X154"/>
      <c r="Y154"/>
      <c r="Z154"/>
      <c r="AA154"/>
      <c r="AB154"/>
      <c r="AC154"/>
      <c r="AD154"/>
      <c r="AE154"/>
      <c r="AF154"/>
      <c r="AG154"/>
      <c r="AH154"/>
      <c r="AI154"/>
      <c r="AJ154"/>
      <c r="AK154"/>
    </row>
    <row r="155" spans="1:37" ht="16.5" thickBot="1">
      <c r="A155" s="299"/>
      <c r="B155" s="46"/>
      <c r="C155" s="740"/>
      <c r="D155" s="360"/>
      <c r="E155" s="515" t="s">
        <v>229</v>
      </c>
      <c r="F155" s="363"/>
      <c r="G155" s="46"/>
      <c r="H155" s="362"/>
      <c r="I155" s="46"/>
      <c r="J155" s="41"/>
      <c r="K155" s="43"/>
      <c r="L155" s="51">
        <f t="shared" si="21"/>
        <v>0</v>
      </c>
      <c r="M155" s="43"/>
      <c r="N155" s="51">
        <f t="shared" si="22"/>
        <v>0</v>
      </c>
      <c r="O155" s="43"/>
      <c r="P155" s="51">
        <f t="shared" si="23"/>
        <v>0</v>
      </c>
      <c r="Q155" s="349"/>
      <c r="R155" s="51">
        <f t="shared" si="24"/>
        <v>0</v>
      </c>
      <c r="S155" s="357"/>
      <c r="T155" s="51">
        <f t="shared" si="25"/>
        <v>0</v>
      </c>
      <c r="V155"/>
      <c r="W155"/>
      <c r="X155"/>
      <c r="Y155"/>
      <c r="Z155"/>
      <c r="AA155"/>
      <c r="AB155"/>
      <c r="AC155"/>
      <c r="AD155"/>
      <c r="AE155"/>
      <c r="AF155"/>
      <c r="AG155"/>
      <c r="AH155"/>
      <c r="AI155"/>
      <c r="AJ155"/>
      <c r="AK155"/>
    </row>
    <row r="156" spans="1:37" ht="16.5" thickBot="1">
      <c r="A156" s="40"/>
      <c r="B156" s="42"/>
      <c r="C156" s="314"/>
      <c r="D156" s="314"/>
      <c r="E156" s="314"/>
      <c r="F156" s="314"/>
      <c r="G156" s="42"/>
      <c r="H156" s="300"/>
      <c r="I156" s="42"/>
      <c r="J156" s="47"/>
      <c r="K156" s="39"/>
      <c r="L156" s="47"/>
      <c r="M156" s="39"/>
      <c r="N156" s="47"/>
      <c r="O156" s="39"/>
      <c r="P156" s="47"/>
      <c r="Q156" s="348"/>
      <c r="R156" s="48"/>
      <c r="S156" s="357"/>
      <c r="T156" s="48"/>
      <c r="V156"/>
      <c r="W156"/>
      <c r="X156"/>
      <c r="Y156"/>
      <c r="Z156"/>
      <c r="AA156"/>
      <c r="AB156"/>
      <c r="AC156"/>
      <c r="AD156"/>
      <c r="AE156"/>
      <c r="AF156"/>
      <c r="AG156"/>
      <c r="AH156"/>
      <c r="AI156"/>
      <c r="AJ156"/>
      <c r="AK156"/>
    </row>
    <row r="157" spans="2:37" ht="16.5" thickBot="1">
      <c r="B157" s="38"/>
      <c r="C157" s="313"/>
      <c r="D157" s="313"/>
      <c r="E157" s="313"/>
      <c r="F157" s="313"/>
      <c r="G157" s="38"/>
      <c r="H157" s="302" t="s">
        <v>24</v>
      </c>
      <c r="I157" s="38"/>
      <c r="J157" s="507">
        <f>SUM(J143:J155)</f>
        <v>81050.17999151835</v>
      </c>
      <c r="K157" s="372"/>
      <c r="L157" s="507">
        <f>SUM(L143:L155)</f>
        <v>370505.40409158525</v>
      </c>
      <c r="M157" s="372"/>
      <c r="N157" s="507">
        <f>SUM(N143:N155)</f>
        <v>135808.6093201121</v>
      </c>
      <c r="O157" s="372"/>
      <c r="P157" s="507">
        <f>SUM(P143:P155)</f>
        <v>153864.87463826762</v>
      </c>
      <c r="Q157" s="373"/>
      <c r="R157" s="507">
        <f>SUM(R143:R155)</f>
        <v>156711.17213103297</v>
      </c>
      <c r="S157" s="371"/>
      <c r="T157" s="507">
        <f>SUM(T143:T155)</f>
        <v>159614.39557365366</v>
      </c>
      <c r="U157" s="114"/>
      <c r="V157"/>
      <c r="W157"/>
      <c r="X157"/>
      <c r="Y157"/>
      <c r="Z157"/>
      <c r="AA157"/>
      <c r="AB157"/>
      <c r="AC157"/>
      <c r="AD157"/>
      <c r="AE157"/>
      <c r="AF157"/>
      <c r="AG157"/>
      <c r="AH157"/>
      <c r="AI157"/>
      <c r="AJ157"/>
      <c r="AK157"/>
    </row>
    <row r="158" spans="2:37" ht="16.5" thickBot="1">
      <c r="B158" s="62"/>
      <c r="C158" s="319"/>
      <c r="D158" s="319"/>
      <c r="E158" s="319"/>
      <c r="F158" s="319"/>
      <c r="G158" s="62"/>
      <c r="H158" s="61"/>
      <c r="I158" s="62"/>
      <c r="J158" s="29"/>
      <c r="K158" s="63"/>
      <c r="L158" s="29"/>
      <c r="M158" s="63"/>
      <c r="N158" s="29"/>
      <c r="O158" s="63"/>
      <c r="P158" s="29"/>
      <c r="Q158" s="344"/>
      <c r="R158" s="56"/>
      <c r="S158" s="359"/>
      <c r="T158" s="56"/>
      <c r="V158"/>
      <c r="W158"/>
      <c r="X158"/>
      <c r="Y158"/>
      <c r="Z158"/>
      <c r="AA158"/>
      <c r="AB158"/>
      <c r="AC158"/>
      <c r="AD158"/>
      <c r="AE158"/>
      <c r="AF158"/>
      <c r="AG158"/>
      <c r="AH158"/>
      <c r="AI158"/>
      <c r="AJ158"/>
      <c r="AK158"/>
    </row>
    <row r="159" spans="2:37" ht="16.5" thickBot="1">
      <c r="B159" s="64"/>
      <c r="C159" s="320"/>
      <c r="D159" s="320"/>
      <c r="E159" s="320"/>
      <c r="F159" s="320"/>
      <c r="G159" s="64"/>
      <c r="H159" s="305" t="s">
        <v>25</v>
      </c>
      <c r="I159" s="64"/>
      <c r="J159" s="507">
        <f>J64+J92+J116+J138+J140+J157</f>
        <v>153690.17999151835</v>
      </c>
      <c r="K159" s="366"/>
      <c r="L159" s="507">
        <f>L64+L92+L116+L138+L140+L157</f>
        <v>1597503.7942622674</v>
      </c>
      <c r="M159" s="366"/>
      <c r="N159" s="507">
        <f>N64+N92+N116+N138+N140+N157</f>
        <v>1454204.2359907944</v>
      </c>
      <c r="O159" s="366"/>
      <c r="P159" s="507">
        <f>P64+P92+P116+P138+P140+P157</f>
        <v>1585654.19513895</v>
      </c>
      <c r="Q159" s="367"/>
      <c r="R159" s="507">
        <f>R64+R92+R116+R138+R140+R157</f>
        <v>1632633.917738315</v>
      </c>
      <c r="S159" s="368"/>
      <c r="T159" s="507">
        <f>T64+T92+T116+T138+T140+T157</f>
        <v>1665543.2347896681</v>
      </c>
      <c r="V159"/>
      <c r="W159"/>
      <c r="X159"/>
      <c r="Y159"/>
      <c r="Z159"/>
      <c r="AA159"/>
      <c r="AB159"/>
      <c r="AC159"/>
      <c r="AD159"/>
      <c r="AE159"/>
      <c r="AF159"/>
      <c r="AG159"/>
      <c r="AH159"/>
      <c r="AI159"/>
      <c r="AJ159"/>
      <c r="AK159"/>
    </row>
    <row r="160" spans="1:37" ht="16.5" thickBot="1">
      <c r="A160" s="61"/>
      <c r="B160" s="62"/>
      <c r="C160" s="319"/>
      <c r="D160" s="319"/>
      <c r="E160" s="319"/>
      <c r="F160" s="319"/>
      <c r="G160" s="62"/>
      <c r="H160" s="300"/>
      <c r="I160" s="62"/>
      <c r="J160" s="29"/>
      <c r="K160" s="63"/>
      <c r="L160" s="29"/>
      <c r="M160" s="63"/>
      <c r="N160" s="29"/>
      <c r="O160" s="63"/>
      <c r="P160" s="29"/>
      <c r="Q160" s="344"/>
      <c r="R160" s="56"/>
      <c r="S160" s="359"/>
      <c r="T160" s="56"/>
      <c r="V160"/>
      <c r="W160"/>
      <c r="X160"/>
      <c r="Y160"/>
      <c r="Z160"/>
      <c r="AA160"/>
      <c r="AB160"/>
      <c r="AC160"/>
      <c r="AD160"/>
      <c r="AE160"/>
      <c r="AF160"/>
      <c r="AG160"/>
      <c r="AH160"/>
      <c r="AI160"/>
      <c r="AJ160"/>
      <c r="AK160"/>
    </row>
    <row r="161" spans="2:37" ht="16.5" thickBot="1">
      <c r="B161" s="387"/>
      <c r="C161" s="387"/>
      <c r="D161" s="387"/>
      <c r="E161" s="387"/>
      <c r="F161" s="387"/>
      <c r="G161" s="387"/>
      <c r="H161" s="388" t="s">
        <v>30</v>
      </c>
      <c r="I161" s="381"/>
      <c r="J161" s="509">
        <f>J35-J159</f>
        <v>6309.820008481649</v>
      </c>
      <c r="K161" s="365"/>
      <c r="L161" s="509">
        <f>L35-L159</f>
        <v>314517.64199491194</v>
      </c>
      <c r="M161" s="365"/>
      <c r="N161" s="509">
        <f>N35-N159</f>
        <v>292855.65643460094</v>
      </c>
      <c r="O161" s="366"/>
      <c r="P161" s="509">
        <f>P35-P159</f>
        <v>274789.1373391154</v>
      </c>
      <c r="Q161" s="367"/>
      <c r="R161" s="509">
        <f>R35-R159</f>
        <v>231580.05346931168</v>
      </c>
      <c r="S161" s="989"/>
      <c r="T161" s="509">
        <f>T35-T159</f>
        <v>202516.78792211087</v>
      </c>
      <c r="V161"/>
      <c r="W161"/>
      <c r="X161"/>
      <c r="Y161"/>
      <c r="Z161"/>
      <c r="AA161"/>
      <c r="AB161"/>
      <c r="AC161"/>
      <c r="AD161"/>
      <c r="AE161"/>
      <c r="AF161"/>
      <c r="AG161"/>
      <c r="AH161"/>
      <c r="AI161"/>
      <c r="AJ161"/>
      <c r="AK161"/>
    </row>
    <row r="162" spans="1:37" ht="16.5" thickBot="1">
      <c r="A162" s="60"/>
      <c r="B162" s="56"/>
      <c r="C162" s="319"/>
      <c r="D162" s="319"/>
      <c r="E162" s="319"/>
      <c r="F162" s="319"/>
      <c r="G162" s="56"/>
      <c r="H162" s="384"/>
      <c r="I162" s="56"/>
      <c r="J162" s="56"/>
      <c r="K162" s="56"/>
      <c r="L162" s="56"/>
      <c r="M162" s="56"/>
      <c r="N162" s="56"/>
      <c r="O162" s="56"/>
      <c r="P162" s="56"/>
      <c r="Q162" s="352"/>
      <c r="R162" s="56"/>
      <c r="S162" s="359"/>
      <c r="T162" s="56"/>
      <c r="V162"/>
      <c r="W162"/>
      <c r="X162"/>
      <c r="Y162"/>
      <c r="Z162"/>
      <c r="AA162"/>
      <c r="AB162"/>
      <c r="AC162"/>
      <c r="AD162"/>
      <c r="AE162"/>
      <c r="AF162"/>
      <c r="AG162"/>
      <c r="AH162"/>
      <c r="AI162"/>
      <c r="AJ162"/>
      <c r="AK162"/>
    </row>
    <row r="163" spans="1:37" ht="16.5" thickBot="1">
      <c r="A163" s="60"/>
      <c r="B163" s="56"/>
      <c r="C163" s="319"/>
      <c r="D163" s="319"/>
      <c r="E163" s="319"/>
      <c r="F163" s="319"/>
      <c r="G163" s="56"/>
      <c r="H163" s="385" t="s">
        <v>547</v>
      </c>
      <c r="I163" s="56"/>
      <c r="J163" s="506">
        <f>0</f>
        <v>0</v>
      </c>
      <c r="K163" s="56"/>
      <c r="L163" s="510">
        <f>J165</f>
        <v>6309.820008481649</v>
      </c>
      <c r="M163" s="680"/>
      <c r="N163" s="510">
        <f>L165</f>
        <v>320827.46200339356</v>
      </c>
      <c r="O163" s="680"/>
      <c r="P163" s="510">
        <f>N165</f>
        <v>613683.1184379945</v>
      </c>
      <c r="Q163" s="681"/>
      <c r="R163" s="510">
        <f>P165</f>
        <v>888472.2557771099</v>
      </c>
      <c r="S163" s="681"/>
      <c r="T163" s="510">
        <f>R165</f>
        <v>1120052.3092464216</v>
      </c>
      <c r="U163"/>
      <c r="V163"/>
      <c r="W163"/>
      <c r="X163"/>
      <c r="Y163"/>
      <c r="Z163"/>
      <c r="AA163"/>
      <c r="AB163"/>
      <c r="AC163"/>
      <c r="AD163"/>
      <c r="AE163"/>
      <c r="AF163"/>
      <c r="AG163"/>
      <c r="AH163"/>
      <c r="AI163"/>
      <c r="AJ163"/>
      <c r="AK163"/>
    </row>
    <row r="164" spans="1:37" ht="16.5" thickBot="1">
      <c r="A164" s="66"/>
      <c r="B164" s="67"/>
      <c r="D164" s="322"/>
      <c r="E164" s="322"/>
      <c r="F164" s="322"/>
      <c r="G164" s="67"/>
      <c r="H164" s="386" t="s">
        <v>548</v>
      </c>
      <c r="I164" s="67"/>
      <c r="J164" s="510">
        <f>J161</f>
        <v>6309.820008481649</v>
      </c>
      <c r="K164" s="68"/>
      <c r="L164" s="510">
        <f>L161</f>
        <v>314517.64199491194</v>
      </c>
      <c r="M164" s="682"/>
      <c r="N164" s="510">
        <f>N161</f>
        <v>292855.65643460094</v>
      </c>
      <c r="O164" s="682"/>
      <c r="P164" s="510">
        <f>P161</f>
        <v>274789.1373391154</v>
      </c>
      <c r="Q164" s="683"/>
      <c r="R164" s="510">
        <f>R161</f>
        <v>231580.05346931168</v>
      </c>
      <c r="S164" s="683"/>
      <c r="T164" s="510">
        <f>T161</f>
        <v>202516.78792211087</v>
      </c>
      <c r="U164"/>
      <c r="V164"/>
      <c r="W164"/>
      <c r="X164"/>
      <c r="Y164"/>
      <c r="Z164"/>
      <c r="AA164"/>
      <c r="AB164"/>
      <c r="AC164"/>
      <c r="AD164"/>
      <c r="AE164"/>
      <c r="AF164"/>
      <c r="AG164"/>
      <c r="AH164"/>
      <c r="AI164"/>
      <c r="AJ164"/>
      <c r="AK164"/>
    </row>
    <row r="165" spans="1:37" ht="16.5" thickBot="1">
      <c r="A165" s="35"/>
      <c r="B165" s="65"/>
      <c r="D165" s="321"/>
      <c r="E165" s="321"/>
      <c r="F165" s="321"/>
      <c r="G165" s="65"/>
      <c r="H165" s="472" t="s">
        <v>549</v>
      </c>
      <c r="I165" s="65"/>
      <c r="J165" s="510">
        <f>J163+J164</f>
        <v>6309.820008481649</v>
      </c>
      <c r="K165" s="65"/>
      <c r="L165" s="510">
        <f>L163+L164</f>
        <v>320827.46200339356</v>
      </c>
      <c r="M165" s="684"/>
      <c r="N165" s="510">
        <f>N163+N164</f>
        <v>613683.1184379945</v>
      </c>
      <c r="O165" s="684"/>
      <c r="P165" s="510">
        <f>P163+P164</f>
        <v>888472.2557771099</v>
      </c>
      <c r="Q165" s="685"/>
      <c r="R165" s="510">
        <f>R163+R164</f>
        <v>1120052.3092464216</v>
      </c>
      <c r="S165" s="686"/>
      <c r="T165" s="510">
        <f>T163+T164</f>
        <v>1322569.0971685324</v>
      </c>
      <c r="U165"/>
      <c r="V165"/>
      <c r="W165"/>
      <c r="X165"/>
      <c r="Y165"/>
      <c r="Z165"/>
      <c r="AA165"/>
      <c r="AB165"/>
      <c r="AC165"/>
      <c r="AD165"/>
      <c r="AE165"/>
      <c r="AF165"/>
      <c r="AG165"/>
      <c r="AH165"/>
      <c r="AI165"/>
      <c r="AJ165"/>
      <c r="AK165"/>
    </row>
    <row r="166" spans="1:37" ht="15.75">
      <c r="A166" s="35"/>
      <c r="B166" s="35"/>
      <c r="D166" s="323"/>
      <c r="E166" s="323"/>
      <c r="F166" s="323"/>
      <c r="G166" s="35"/>
      <c r="H166" s="35"/>
      <c r="I166" s="35"/>
      <c r="J166" s="69"/>
      <c r="K166" s="35"/>
      <c r="L166" s="69"/>
      <c r="M166" s="35"/>
      <c r="N166" s="69"/>
      <c r="O166" s="35"/>
      <c r="P166" s="69"/>
      <c r="Q166" s="353"/>
      <c r="R166" s="69"/>
      <c r="S166" s="358"/>
      <c r="U166"/>
      <c r="V166"/>
      <c r="W166"/>
      <c r="X166"/>
      <c r="Y166"/>
      <c r="Z166"/>
      <c r="AA166"/>
      <c r="AB166"/>
      <c r="AC166"/>
      <c r="AD166"/>
      <c r="AE166"/>
      <c r="AF166"/>
      <c r="AG166"/>
      <c r="AH166"/>
      <c r="AI166"/>
      <c r="AJ166"/>
      <c r="AK166"/>
    </row>
    <row r="167" spans="1:37" ht="15.75">
      <c r="A167" s="35"/>
      <c r="B167" s="35"/>
      <c r="D167" s="323"/>
      <c r="E167" s="323"/>
      <c r="F167" s="323"/>
      <c r="G167" s="35"/>
      <c r="H167" s="35"/>
      <c r="I167" s="35"/>
      <c r="J167" s="69"/>
      <c r="K167" s="35"/>
      <c r="L167" s="69"/>
      <c r="M167" s="35"/>
      <c r="N167" s="69"/>
      <c r="O167" s="35"/>
      <c r="P167" s="69"/>
      <c r="Q167" s="353"/>
      <c r="R167" s="69"/>
      <c r="S167" s="358"/>
      <c r="U167"/>
      <c r="V167"/>
      <c r="W167"/>
      <c r="X167"/>
      <c r="Y167"/>
      <c r="Z167"/>
      <c r="AA167"/>
      <c r="AB167"/>
      <c r="AC167"/>
      <c r="AD167"/>
      <c r="AE167"/>
      <c r="AF167"/>
      <c r="AG167"/>
      <c r="AH167"/>
      <c r="AI167"/>
      <c r="AJ167"/>
      <c r="AK167"/>
    </row>
    <row r="168" spans="1:37" ht="15.75">
      <c r="A168" s="35"/>
      <c r="B168" s="35"/>
      <c r="D168" s="323"/>
      <c r="E168" s="323"/>
      <c r="F168" s="323"/>
      <c r="G168" s="35"/>
      <c r="H168" s="35"/>
      <c r="I168" s="35"/>
      <c r="J168" s="69"/>
      <c r="K168" s="35"/>
      <c r="L168" s="69"/>
      <c r="M168" s="35"/>
      <c r="N168" s="69"/>
      <c r="O168" s="35"/>
      <c r="P168" s="69"/>
      <c r="Q168" s="353"/>
      <c r="R168" s="69"/>
      <c r="S168" s="358"/>
      <c r="U168"/>
      <c r="V168"/>
      <c r="W168"/>
      <c r="X168"/>
      <c r="Y168"/>
      <c r="Z168"/>
      <c r="AA168"/>
      <c r="AB168"/>
      <c r="AC168"/>
      <c r="AD168"/>
      <c r="AE168"/>
      <c r="AF168"/>
      <c r="AG168"/>
      <c r="AH168"/>
      <c r="AI168"/>
      <c r="AJ168"/>
      <c r="AK168"/>
    </row>
    <row r="169" spans="4:6" ht="12.75">
      <c r="D169" s="5"/>
      <c r="E169" s="5"/>
      <c r="F169" s="5"/>
    </row>
    <row r="171" spans="8:9" ht="12.75">
      <c r="H171" s="166"/>
      <c r="I171" s="166"/>
    </row>
    <row r="172" spans="8:9" ht="13.5" thickBot="1">
      <c r="H172" s="166"/>
      <c r="I172" s="166"/>
    </row>
    <row r="173" spans="8:20" ht="13.5" thickBot="1">
      <c r="H173" s="332"/>
      <c r="I173" s="332"/>
      <c r="J173" s="1154" t="s">
        <v>432</v>
      </c>
      <c r="K173" s="1107"/>
      <c r="L173" s="1107"/>
      <c r="M173" s="1107"/>
      <c r="N173" s="1107"/>
      <c r="O173" s="1107"/>
      <c r="P173" s="1107"/>
      <c r="Q173" s="1107"/>
      <c r="R173" s="1107"/>
      <c r="S173" s="1107"/>
      <c r="T173" s="1108"/>
    </row>
    <row r="174" spans="8:20" ht="16.5" customHeight="1" thickBot="1">
      <c r="H174" s="166"/>
      <c r="I174" s="166"/>
      <c r="J174" s="331" t="s">
        <v>193</v>
      </c>
      <c r="K174" s="842"/>
      <c r="L174" s="328">
        <f>L9</f>
        <v>2016</v>
      </c>
      <c r="M174" s="479"/>
      <c r="N174" s="328">
        <f>N9</f>
        <v>2017</v>
      </c>
      <c r="O174" s="479"/>
      <c r="P174" s="328">
        <f>P9</f>
        <v>2018</v>
      </c>
      <c r="Q174" s="479"/>
      <c r="R174" s="328">
        <f>R9</f>
        <v>2019</v>
      </c>
      <c r="S174" s="479"/>
      <c r="T174" s="328">
        <f>T9</f>
        <v>2020</v>
      </c>
    </row>
    <row r="175" spans="8:20" ht="40.5" customHeight="1" thickBot="1">
      <c r="H175" s="97"/>
      <c r="I175" s="97"/>
      <c r="J175" s="331" t="s">
        <v>204</v>
      </c>
      <c r="K175" s="842"/>
      <c r="L175" s="511">
        <f>Personnel!G191</f>
        <v>9.899999999999999</v>
      </c>
      <c r="M175" s="842"/>
      <c r="N175" s="511">
        <f>Personnel!I191</f>
        <v>10.399999999999999</v>
      </c>
      <c r="O175" s="842"/>
      <c r="P175" s="511">
        <f>Personnel!K191</f>
        <v>10.899999999999999</v>
      </c>
      <c r="Q175" s="842"/>
      <c r="R175" s="511">
        <f>Personnel!M191</f>
        <v>10.899999999999999</v>
      </c>
      <c r="S175" s="842"/>
      <c r="T175" s="511">
        <f>Personnel!O191</f>
        <v>10.899999999999999</v>
      </c>
    </row>
    <row r="176" spans="8:20" ht="40.5" customHeight="1" thickBot="1">
      <c r="H176" s="97"/>
      <c r="I176" s="97"/>
      <c r="J176" s="331" t="s">
        <v>205</v>
      </c>
      <c r="K176" s="842"/>
      <c r="L176" s="404">
        <f>Personnel!G189</f>
        <v>451250</v>
      </c>
      <c r="M176" s="842"/>
      <c r="N176" s="404">
        <f>Personnel!I189</f>
        <v>485775</v>
      </c>
      <c r="O176" s="842"/>
      <c r="P176" s="404">
        <f>Personnel!K189</f>
        <v>521500.5</v>
      </c>
      <c r="Q176" s="842"/>
      <c r="R176" s="404">
        <f>Personnel!M189</f>
        <v>531930.5099999999</v>
      </c>
      <c r="S176" s="842"/>
      <c r="T176" s="404">
        <f>Personnel!O189</f>
        <v>542569.1202</v>
      </c>
    </row>
    <row r="177" spans="8:20" ht="40.5" customHeight="1" thickBot="1">
      <c r="H177" s="97"/>
      <c r="I177" s="97"/>
      <c r="J177" s="331" t="s">
        <v>269</v>
      </c>
      <c r="K177" s="480"/>
      <c r="L177" s="511">
        <f>'Revenues-Fed, State, &amp; Expan. '!E97</f>
        <v>125</v>
      </c>
      <c r="M177" s="480"/>
      <c r="N177" s="511">
        <f>'Revenues-Fed, State, &amp; Expan. '!G97</f>
        <v>145</v>
      </c>
      <c r="O177" s="480"/>
      <c r="P177" s="511">
        <f>'Revenues-Fed, State, &amp; Expan. '!I97</f>
        <v>165</v>
      </c>
      <c r="Q177" s="480"/>
      <c r="R177" s="511">
        <f>'Revenues-Fed, State, &amp; Expan. '!K97</f>
        <v>165</v>
      </c>
      <c r="S177" s="480"/>
      <c r="T177" s="511">
        <f>'Revenues-Fed, State, &amp; Expan. '!M97</f>
        <v>165</v>
      </c>
    </row>
    <row r="178" spans="8:9" ht="12.75">
      <c r="H178" s="97"/>
      <c r="I178" s="97"/>
    </row>
    <row r="209" ht="12.75" hidden="1">
      <c r="C209" s="5">
        <v>2014</v>
      </c>
    </row>
    <row r="210" ht="12.75" hidden="1">
      <c r="C210" s="5">
        <v>2015</v>
      </c>
    </row>
    <row r="211" ht="12.75" hidden="1"/>
    <row r="212" ht="12.75" hidden="1"/>
    <row r="213" ht="15.75" hidden="1">
      <c r="C213" s="312" t="s">
        <v>200</v>
      </c>
    </row>
    <row r="214" ht="15.75" hidden="1">
      <c r="C214" s="322" t="s">
        <v>203</v>
      </c>
    </row>
    <row r="215" ht="15.75" hidden="1">
      <c r="C215" s="312"/>
    </row>
    <row r="216" ht="15.75" hidden="1">
      <c r="C216" s="321"/>
    </row>
    <row r="217" ht="15.75" hidden="1">
      <c r="C217" s="323"/>
    </row>
    <row r="218" ht="15.75" hidden="1">
      <c r="C218" s="323" t="s">
        <v>231</v>
      </c>
    </row>
    <row r="219" ht="15.75" hidden="1">
      <c r="C219" s="323" t="s">
        <v>202</v>
      </c>
    </row>
    <row r="220" ht="12.75" hidden="1">
      <c r="C220" s="5" t="s">
        <v>201</v>
      </c>
    </row>
    <row r="221" ht="12.75" hidden="1">
      <c r="C221" s="5" t="s">
        <v>7</v>
      </c>
    </row>
    <row r="222" ht="12.75" hidden="1"/>
    <row r="223" ht="12.75" hidden="1"/>
    <row r="224" ht="12.75" hidden="1">
      <c r="C224" s="5" t="s">
        <v>231</v>
      </c>
    </row>
    <row r="225" ht="12.75" hidden="1">
      <c r="C225" s="5" t="s">
        <v>203</v>
      </c>
    </row>
    <row r="226" ht="12.75" hidden="1">
      <c r="C226" s="5" t="s">
        <v>201</v>
      </c>
    </row>
    <row r="227" ht="12.75" hidden="1">
      <c r="C227" s="5" t="s">
        <v>7</v>
      </c>
    </row>
    <row r="228" ht="12.75" hidden="1"/>
    <row r="229" ht="12.75" hidden="1"/>
    <row r="230" ht="12.75" hidden="1">
      <c r="C230" s="5" t="s">
        <v>0</v>
      </c>
    </row>
    <row r="231" ht="12.75" hidden="1">
      <c r="C231" s="5" t="s">
        <v>545</v>
      </c>
    </row>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sheetData>
  <sheetProtection password="C9A0" sheet="1"/>
  <mergeCells count="13">
    <mergeCell ref="J173:T173"/>
    <mergeCell ref="L8:T8"/>
    <mergeCell ref="J7:J8"/>
    <mergeCell ref="C37:C39"/>
    <mergeCell ref="D37:D39"/>
    <mergeCell ref="F37:F39"/>
    <mergeCell ref="H37:H39"/>
    <mergeCell ref="E37:E39"/>
    <mergeCell ref="H7:H9"/>
    <mergeCell ref="C7:C9"/>
    <mergeCell ref="D7:D9"/>
    <mergeCell ref="E7:E9"/>
    <mergeCell ref="F7:F9"/>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rintOptions/>
  <pageMargins left="0" right="0" top="0" bottom="0" header="0.3" footer="0.3"/>
  <pageSetup fitToHeight="1" fitToWidth="1" horizontalDpi="600" verticalDpi="600" orientation="landscape" paperSize="5" scale="19" r:id="rId1"/>
</worksheet>
</file>

<file path=xl/worksheets/sheet6.xml><?xml version="1.0" encoding="utf-8"?>
<worksheet xmlns="http://schemas.openxmlformats.org/spreadsheetml/2006/main" xmlns:r="http://schemas.openxmlformats.org/officeDocument/2006/relationships">
  <dimension ref="A1:AE179"/>
  <sheetViews>
    <sheetView tabSelected="1" zoomScale="70" zoomScaleNormal="70" zoomScalePageLayoutView="0" workbookViewId="0" topLeftCell="A148">
      <selection activeCell="A1" sqref="A1"/>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50" customWidth="1"/>
    <col min="12" max="12" width="18.7109375" style="0" customWidth="1"/>
    <col min="13" max="13" width="3.421875" style="350" customWidth="1"/>
    <col min="14" max="14" width="18.7109375" style="0" customWidth="1"/>
    <col min="15" max="15" width="9.140625" style="4" customWidth="1"/>
    <col min="16" max="20" width="12.28125" style="744"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54" t="str">
        <f>'Budget with Assumptions'!A2</f>
        <v>Connected Futures Academy- Campus 5</v>
      </c>
      <c r="B1" s="15"/>
      <c r="C1" s="15"/>
      <c r="D1" s="16"/>
      <c r="E1" s="16"/>
      <c r="F1" s="16"/>
      <c r="G1" s="16"/>
      <c r="H1" s="16"/>
      <c r="I1" s="16"/>
      <c r="J1" s="16"/>
      <c r="K1" s="337"/>
      <c r="L1" s="14"/>
      <c r="M1" s="354"/>
    </row>
    <row r="2" spans="1:13" ht="23.25" customHeight="1" thickBot="1">
      <c r="A2" s="755" t="s">
        <v>415</v>
      </c>
      <c r="B2" s="15"/>
      <c r="C2" s="15"/>
      <c r="D2" s="17"/>
      <c r="E2" s="17"/>
      <c r="F2" s="17"/>
      <c r="G2" s="17"/>
      <c r="H2" s="17"/>
      <c r="I2" s="17"/>
      <c r="J2" s="17"/>
      <c r="K2" s="338"/>
      <c r="L2" s="18"/>
      <c r="M2" s="355"/>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88" t="s">
        <v>192</v>
      </c>
    </row>
    <row r="8" spans="1:20" ht="27.75" customHeight="1" thickBot="1">
      <c r="A8" s="2"/>
      <c r="B8" s="70"/>
      <c r="C8" s="70"/>
      <c r="D8" s="1189"/>
      <c r="E8" s="21"/>
      <c r="F8" s="1180" t="s">
        <v>191</v>
      </c>
      <c r="G8" s="1181"/>
      <c r="H8" s="1181"/>
      <c r="I8" s="1181"/>
      <c r="J8" s="1181"/>
      <c r="K8" s="1181"/>
      <c r="L8" s="1181"/>
      <c r="M8" s="1181"/>
      <c r="N8" s="1182"/>
      <c r="P8" s="1185" t="s">
        <v>412</v>
      </c>
      <c r="Q8" s="1186"/>
      <c r="R8" s="1186"/>
      <c r="S8" s="1186"/>
      <c r="T8" s="1187"/>
    </row>
    <row r="9" spans="1:20" ht="23.25" thickBot="1">
      <c r="A9" s="303" t="s">
        <v>198</v>
      </c>
      <c r="B9" s="2"/>
      <c r="C9" s="2"/>
      <c r="D9" s="756">
        <f>'Budget with Assumptions'!J9</f>
        <v>2015</v>
      </c>
      <c r="E9" s="70"/>
      <c r="F9" s="377">
        <f>'Budget with Assumptions'!L9</f>
        <v>2016</v>
      </c>
      <c r="G9" s="342"/>
      <c r="H9" s="377">
        <f>'Budget with Assumptions'!N9</f>
        <v>2017</v>
      </c>
      <c r="I9" s="342"/>
      <c r="J9" s="377">
        <f>'Budget with Assumptions'!P9</f>
        <v>2018</v>
      </c>
      <c r="K9" s="342"/>
      <c r="L9" s="377">
        <f>'Budget with Assumptions'!R9</f>
        <v>2019</v>
      </c>
      <c r="M9" s="356"/>
      <c r="N9" s="377">
        <f>'Budget with Assumptions'!T9</f>
        <v>2020</v>
      </c>
      <c r="P9" s="969">
        <f>'Budget with Assumptions'!L9</f>
        <v>2016</v>
      </c>
      <c r="Q9" s="969">
        <f>'Budget with Assumptions'!N9</f>
        <v>2017</v>
      </c>
      <c r="R9" s="969">
        <f>'Budget with Assumptions'!P9</f>
        <v>2018</v>
      </c>
      <c r="S9" s="969">
        <f>'Budget with Assumptions'!R9</f>
        <v>2019</v>
      </c>
      <c r="T9" s="969">
        <f>'Budget with Assumptions'!T9</f>
        <v>2020</v>
      </c>
    </row>
    <row r="10" spans="1:20" ht="18">
      <c r="A10" s="473" t="str">
        <f>'Budget with Assumptions'!A10</f>
        <v>CPS Per Capita ( Grades K-3)</v>
      </c>
      <c r="B10" s="24"/>
      <c r="C10" s="24"/>
      <c r="D10" s="378">
        <f>'Budget with Assumptions'!J10</f>
        <v>0</v>
      </c>
      <c r="E10" s="946"/>
      <c r="F10" s="378">
        <f>'Budget with Assumptions'!L10</f>
        <v>0</v>
      </c>
      <c r="G10" s="792"/>
      <c r="H10" s="378">
        <f>'Budget with Assumptions'!N10</f>
        <v>0</v>
      </c>
      <c r="I10" s="792"/>
      <c r="J10" s="378">
        <f>'Budget with Assumptions'!P10</f>
        <v>0</v>
      </c>
      <c r="K10" s="931"/>
      <c r="L10" s="378">
        <f>'Budget with Assumptions'!R10</f>
        <v>0</v>
      </c>
      <c r="M10" s="931"/>
      <c r="N10" s="378">
        <f>'Budget with Assumptions'!T10</f>
        <v>0</v>
      </c>
      <c r="P10" s="970">
        <f>F10/$F$35</f>
        <v>0</v>
      </c>
      <c r="Q10" s="970">
        <f>H10/$H$35</f>
        <v>0</v>
      </c>
      <c r="R10" s="970">
        <f>J10/$J$35</f>
        <v>0</v>
      </c>
      <c r="S10" s="970">
        <f>L10/$L$35</f>
        <v>0</v>
      </c>
      <c r="T10" s="970">
        <f>N10/$N$35</f>
        <v>0</v>
      </c>
    </row>
    <row r="11" spans="1:20" ht="15.75">
      <c r="A11" s="473" t="str">
        <f>'Budget with Assumptions'!A11</f>
        <v>CPS Per Capita (Grades 4-8)</v>
      </c>
      <c r="B11" s="24"/>
      <c r="C11" s="24"/>
      <c r="D11" s="378">
        <f>'Budget with Assumptions'!J11</f>
        <v>0</v>
      </c>
      <c r="E11" s="947"/>
      <c r="F11" s="378">
        <f>'Budget with Assumptions'!L11</f>
        <v>0</v>
      </c>
      <c r="G11" s="948"/>
      <c r="H11" s="378">
        <f>'Budget with Assumptions'!N11</f>
        <v>0</v>
      </c>
      <c r="I11" s="948"/>
      <c r="J11" s="378">
        <f>'Budget with Assumptions'!P11</f>
        <v>0</v>
      </c>
      <c r="K11" s="949"/>
      <c r="L11" s="378">
        <f>'Budget with Assumptions'!R11</f>
        <v>0</v>
      </c>
      <c r="M11" s="945"/>
      <c r="N11" s="378">
        <f>'Budget with Assumptions'!T11</f>
        <v>0</v>
      </c>
      <c r="P11" s="971">
        <f>F11/$F$35</f>
        <v>0</v>
      </c>
      <c r="Q11" s="971">
        <f>H11/$H$35</f>
        <v>0</v>
      </c>
      <c r="R11" s="970">
        <f aca="true" t="shared" si="0" ref="R11:R33">J11/$J$35</f>
        <v>0</v>
      </c>
      <c r="S11" s="970">
        <f aca="true" t="shared" si="1" ref="S11:S33">L11/$L$35</f>
        <v>0</v>
      </c>
      <c r="T11" s="970">
        <f aca="true" t="shared" si="2" ref="T11:T33">N11/$N$35</f>
        <v>0</v>
      </c>
    </row>
    <row r="12" spans="1:20" ht="31.5">
      <c r="A12" s="826" t="str">
        <f>'Budget with Assumptions'!A12</f>
        <v>CPS Per Capita (Grades 6-8)-This only for schools that have HS grades with grades 6-8 for Fiscal Year 2015 and 2016.</v>
      </c>
      <c r="B12" s="24"/>
      <c r="C12" s="24"/>
      <c r="D12" s="378">
        <f>'Budget with Assumptions'!J12</f>
        <v>0</v>
      </c>
      <c r="E12" s="947"/>
      <c r="F12" s="378">
        <f>'Budget with Assumptions'!L12</f>
        <v>0</v>
      </c>
      <c r="G12" s="948"/>
      <c r="H12" s="378">
        <f>'Budget with Assumptions'!N12</f>
        <v>0</v>
      </c>
      <c r="I12" s="948"/>
      <c r="J12" s="378">
        <f>'Budget with Assumptions'!P12</f>
        <v>0</v>
      </c>
      <c r="K12" s="949"/>
      <c r="L12" s="378">
        <f>'Budget with Assumptions'!R12</f>
        <v>0</v>
      </c>
      <c r="M12" s="945"/>
      <c r="N12" s="378">
        <f>'Budget with Assumptions'!T12</f>
        <v>0</v>
      </c>
      <c r="P12" s="971">
        <f aca="true" t="shared" si="3" ref="P12:P33">F12/$F$35</f>
        <v>0</v>
      </c>
      <c r="Q12" s="971">
        <f aca="true" t="shared" si="4" ref="Q12:Q33">H12/$H$35</f>
        <v>0</v>
      </c>
      <c r="R12" s="970">
        <f t="shared" si="0"/>
        <v>0</v>
      </c>
      <c r="S12" s="970">
        <f t="shared" si="1"/>
        <v>0</v>
      </c>
      <c r="T12" s="970">
        <f t="shared" si="2"/>
        <v>0</v>
      </c>
    </row>
    <row r="13" spans="1:20" ht="15.75">
      <c r="A13" s="473" t="str">
        <f>'Budget with Assumptions'!A13</f>
        <v>CPS Per Capita (High School)</v>
      </c>
      <c r="B13" s="24"/>
      <c r="C13" s="24"/>
      <c r="D13" s="378">
        <f>'Budget with Assumptions'!J13</f>
        <v>0</v>
      </c>
      <c r="E13" s="947"/>
      <c r="F13" s="378">
        <f>'Budget with Assumptions'!L13</f>
        <v>973897.8520000001</v>
      </c>
      <c r="G13" s="948"/>
      <c r="H13" s="378">
        <f>'Budget with Assumptions'!N13</f>
        <v>1129932.788</v>
      </c>
      <c r="I13" s="948"/>
      <c r="J13" s="378">
        <f>'Budget with Assumptions'!P13</f>
        <v>1282446.3960000002</v>
      </c>
      <c r="K13" s="949"/>
      <c r="L13" s="378">
        <f>'Budget with Assumptions'!R13</f>
        <v>1282446.3960000002</v>
      </c>
      <c r="M13" s="945"/>
      <c r="N13" s="378">
        <f>'Budget with Assumptions'!T13</f>
        <v>1282446.3960000002</v>
      </c>
      <c r="P13" s="971">
        <f t="shared" si="3"/>
        <v>0.5093550906554818</v>
      </c>
      <c r="Q13" s="971">
        <f t="shared" si="4"/>
        <v>0.6467624795801049</v>
      </c>
      <c r="R13" s="970">
        <f t="shared" si="0"/>
        <v>0.6893230089904501</v>
      </c>
      <c r="S13" s="970">
        <f t="shared" si="1"/>
        <v>0.6879287548570613</v>
      </c>
      <c r="T13" s="970">
        <f t="shared" si="2"/>
        <v>0.6865124141666124</v>
      </c>
    </row>
    <row r="14" spans="1:20" ht="15.75">
      <c r="A14" s="473" t="str">
        <f>'Budget with Assumptions'!A14</f>
        <v>CPS Start-up Funds</v>
      </c>
      <c r="B14" s="24"/>
      <c r="C14" s="24"/>
      <c r="D14" s="378">
        <f>'Budget with Assumptions'!J14</f>
        <v>0</v>
      </c>
      <c r="E14" s="947"/>
      <c r="F14" s="378">
        <f>'Budget with Assumptions'!L14</f>
        <v>125000</v>
      </c>
      <c r="G14" s="948"/>
      <c r="H14" s="378">
        <f>'Budget with Assumptions'!N14</f>
        <v>0</v>
      </c>
      <c r="I14" s="948"/>
      <c r="J14" s="378">
        <f>'Budget with Assumptions'!P14</f>
        <v>0</v>
      </c>
      <c r="K14" s="949"/>
      <c r="L14" s="378">
        <f>'Budget with Assumptions'!R14</f>
        <v>0</v>
      </c>
      <c r="M14" s="945"/>
      <c r="N14" s="378">
        <f>'Budget with Assumptions'!T14</f>
        <v>0</v>
      </c>
      <c r="P14" s="971">
        <f t="shared" si="3"/>
        <v>0.06537583608094376</v>
      </c>
      <c r="Q14" s="971">
        <f t="shared" si="4"/>
        <v>0</v>
      </c>
      <c r="R14" s="970">
        <f t="shared" si="0"/>
        <v>0</v>
      </c>
      <c r="S14" s="970">
        <f t="shared" si="1"/>
        <v>0</v>
      </c>
      <c r="T14" s="970">
        <f t="shared" si="2"/>
        <v>0</v>
      </c>
    </row>
    <row r="15" spans="1:20" ht="15.75">
      <c r="A15" s="473" t="str">
        <f>'Budget with Assumptions'!A15</f>
        <v>CPS Expansion Funds</v>
      </c>
      <c r="B15" s="24"/>
      <c r="C15" s="24"/>
      <c r="D15" s="378">
        <f>'Budget with Assumptions'!J15</f>
        <v>0</v>
      </c>
      <c r="E15" s="947"/>
      <c r="F15" s="378">
        <f>'Budget with Assumptions'!L15</f>
        <v>125000</v>
      </c>
      <c r="G15" s="950"/>
      <c r="H15" s="378">
        <f>'Budget with Assumptions'!N15</f>
        <v>0</v>
      </c>
      <c r="I15" s="950"/>
      <c r="J15" s="378">
        <f>'Budget with Assumptions'!P15</f>
        <v>0</v>
      </c>
      <c r="K15" s="951"/>
      <c r="L15" s="378">
        <f>'Budget with Assumptions'!R15</f>
        <v>0</v>
      </c>
      <c r="M15" s="683"/>
      <c r="N15" s="378">
        <f>'Budget with Assumptions'!T15</f>
        <v>0</v>
      </c>
      <c r="P15" s="971">
        <f t="shared" si="3"/>
        <v>0.06537583608094376</v>
      </c>
      <c r="Q15" s="971">
        <f t="shared" si="4"/>
        <v>0</v>
      </c>
      <c r="R15" s="970">
        <f t="shared" si="0"/>
        <v>0</v>
      </c>
      <c r="S15" s="970">
        <f t="shared" si="1"/>
        <v>0</v>
      </c>
      <c r="T15" s="970">
        <f t="shared" si="2"/>
        <v>0</v>
      </c>
    </row>
    <row r="16" spans="1:20" ht="15.75">
      <c r="A16" s="473" t="str">
        <f>'Budget with Assumptions'!A16</f>
        <v>Non-CPS Facility Supplement </v>
      </c>
      <c r="B16" s="24"/>
      <c r="C16" s="24"/>
      <c r="D16" s="378">
        <f>'Budget with Assumptions'!J16</f>
        <v>0</v>
      </c>
      <c r="E16" s="947"/>
      <c r="F16" s="378">
        <f>'Budget with Assumptions'!L16</f>
        <v>93750</v>
      </c>
      <c r="G16" s="948"/>
      <c r="H16" s="378">
        <f>'Budget with Assumptions'!N16</f>
        <v>108750</v>
      </c>
      <c r="I16" s="948"/>
      <c r="J16" s="378">
        <f>'Budget with Assumptions'!P16</f>
        <v>123750</v>
      </c>
      <c r="K16" s="949"/>
      <c r="L16" s="378">
        <f>'Budget with Assumptions'!R16</f>
        <v>123750</v>
      </c>
      <c r="M16" s="945"/>
      <c r="N16" s="378">
        <f>'Budget with Assumptions'!T16</f>
        <v>123750</v>
      </c>
      <c r="P16" s="971">
        <f t="shared" si="3"/>
        <v>0.049031877060707815</v>
      </c>
      <c r="Q16" s="971">
        <f t="shared" si="4"/>
        <v>0.06224743666287557</v>
      </c>
      <c r="R16" s="970">
        <f t="shared" si="0"/>
        <v>0.06651640382680617</v>
      </c>
      <c r="S16" s="970">
        <f t="shared" si="1"/>
        <v>0.06638186490997892</v>
      </c>
      <c r="T16" s="970">
        <f t="shared" si="2"/>
        <v>0.0662451947450584</v>
      </c>
    </row>
    <row r="17" spans="1:20" ht="15.75">
      <c r="A17" s="473" t="str">
        <f>'Budget with Assumptions'!A17</f>
        <v>SGSA</v>
      </c>
      <c r="B17" s="24"/>
      <c r="C17" s="24"/>
      <c r="D17" s="378">
        <f>'Budget with Assumptions'!J17</f>
        <v>0</v>
      </c>
      <c r="E17" s="947"/>
      <c r="F17" s="378">
        <f>'Budget with Assumptions'!L17</f>
        <v>82160</v>
      </c>
      <c r="G17" s="948"/>
      <c r="H17" s="378">
        <f>'Budget with Assumptions'!N17</f>
        <v>94800</v>
      </c>
      <c r="I17" s="948"/>
      <c r="J17" s="378">
        <f>'Budget with Assumptions'!P17</f>
        <v>108230</v>
      </c>
      <c r="K17" s="949"/>
      <c r="L17" s="378">
        <f>'Budget with Assumptions'!R17</f>
        <v>108230</v>
      </c>
      <c r="M17" s="945"/>
      <c r="N17" s="378">
        <f>'Budget with Assumptions'!T17</f>
        <v>108230</v>
      </c>
      <c r="P17" s="971">
        <f t="shared" si="3"/>
        <v>0.04297022953928271</v>
      </c>
      <c r="Q17" s="971">
        <f t="shared" si="4"/>
        <v>0.054262593063361876</v>
      </c>
      <c r="R17" s="970">
        <f t="shared" si="0"/>
        <v>0.05817430615091096</v>
      </c>
      <c r="S17" s="970">
        <f t="shared" si="1"/>
        <v>0.05805664031682439</v>
      </c>
      <c r="T17" s="970">
        <f t="shared" si="2"/>
        <v>0.0579371105232943</v>
      </c>
    </row>
    <row r="18" spans="1:20" ht="15.75">
      <c r="A18" s="473" t="str">
        <f>'Budget with Assumptions'!A18</f>
        <v>NCLB-Title 1</v>
      </c>
      <c r="B18" s="24"/>
      <c r="C18" s="24"/>
      <c r="D18" s="378">
        <f>'Budget with Assumptions'!J18</f>
        <v>0</v>
      </c>
      <c r="E18" s="947"/>
      <c r="F18" s="378">
        <f>'Budget with Assumptions'!L18</f>
        <v>40300</v>
      </c>
      <c r="G18" s="948"/>
      <c r="H18" s="378">
        <f>'Budget with Assumptions'!N18</f>
        <v>46800</v>
      </c>
      <c r="I18" s="948"/>
      <c r="J18" s="378">
        <f>'Budget with Assumptions'!P18</f>
        <v>53300</v>
      </c>
      <c r="K18" s="949"/>
      <c r="L18" s="378">
        <f>'Budget with Assumptions'!R18</f>
        <v>53300</v>
      </c>
      <c r="M18" s="945"/>
      <c r="N18" s="378">
        <f>'Budget with Assumptions'!T18</f>
        <v>53300</v>
      </c>
      <c r="P18" s="971">
        <f t="shared" si="3"/>
        <v>0.021077169552496267</v>
      </c>
      <c r="Q18" s="971">
        <f t="shared" si="4"/>
        <v>0.02678786239836852</v>
      </c>
      <c r="R18" s="970">
        <f t="shared" si="0"/>
        <v>0.028649085446212273</v>
      </c>
      <c r="S18" s="970">
        <f t="shared" si="1"/>
        <v>0.028591138583449506</v>
      </c>
      <c r="T18" s="970">
        <f t="shared" si="2"/>
        <v>0.028532273777063532</v>
      </c>
    </row>
    <row r="19" spans="1:31" ht="15.75">
      <c r="A19" s="473" t="str">
        <f>'Budget with Assumptions'!A19</f>
        <v>NLCB-Title 2</v>
      </c>
      <c r="B19" s="24"/>
      <c r="C19" s="24"/>
      <c r="D19" s="378">
        <f>'Budget with Assumptions'!J19</f>
        <v>0</v>
      </c>
      <c r="E19" s="947"/>
      <c r="F19" s="378">
        <f>'Budget with Assumptions'!L19</f>
        <v>8000</v>
      </c>
      <c r="G19" s="948"/>
      <c r="H19" s="378">
        <f>'Budget with Assumptions'!N19</f>
        <v>9280</v>
      </c>
      <c r="I19" s="948"/>
      <c r="J19" s="378">
        <f>'Budget with Assumptions'!P19</f>
        <v>10560</v>
      </c>
      <c r="K19" s="949"/>
      <c r="L19" s="378">
        <f>'Budget with Assumptions'!R19</f>
        <v>10560</v>
      </c>
      <c r="M19" s="945"/>
      <c r="N19" s="378">
        <f>'Budget with Assumptions'!T19</f>
        <v>10560</v>
      </c>
      <c r="O19"/>
      <c r="P19" s="971">
        <f t="shared" si="3"/>
        <v>0.0041840535091804</v>
      </c>
      <c r="Q19" s="971">
        <f t="shared" si="4"/>
        <v>0.005311781261898715</v>
      </c>
      <c r="R19" s="970">
        <f t="shared" si="0"/>
        <v>0.005676066459887459</v>
      </c>
      <c r="S19" s="970">
        <f t="shared" si="1"/>
        <v>0.005664585805651534</v>
      </c>
      <c r="T19" s="970">
        <f t="shared" si="2"/>
        <v>0.00565292328491165</v>
      </c>
      <c r="U19"/>
      <c r="V19"/>
      <c r="W19"/>
      <c r="X19"/>
      <c r="Y19"/>
      <c r="Z19"/>
      <c r="AA19"/>
      <c r="AB19"/>
      <c r="AC19"/>
      <c r="AD19"/>
      <c r="AE19"/>
    </row>
    <row r="20" spans="1:31" ht="15.75">
      <c r="A20" s="473" t="str">
        <f>'Budget with Assumptions'!A20</f>
        <v>ELL</v>
      </c>
      <c r="B20" s="24"/>
      <c r="C20" s="24"/>
      <c r="D20" s="378">
        <f>'Budget with Assumptions'!J20</f>
        <v>0</v>
      </c>
      <c r="E20" s="947"/>
      <c r="F20" s="378">
        <f>'Budget with Assumptions'!L20</f>
        <v>0</v>
      </c>
      <c r="G20" s="948"/>
      <c r="H20" s="378">
        <f>'Budget with Assumptions'!N20</f>
        <v>0</v>
      </c>
      <c r="I20" s="948"/>
      <c r="J20" s="378">
        <f>'Budget with Assumptions'!P20</f>
        <v>0</v>
      </c>
      <c r="K20" s="949"/>
      <c r="L20" s="378">
        <f>'Budget with Assumptions'!R20</f>
        <v>0</v>
      </c>
      <c r="M20" s="945"/>
      <c r="N20" s="378">
        <f>'Budget with Assumptions'!T20</f>
        <v>0</v>
      </c>
      <c r="O20"/>
      <c r="P20" s="971">
        <f t="shared" si="3"/>
        <v>0</v>
      </c>
      <c r="Q20" s="971">
        <f t="shared" si="4"/>
        <v>0</v>
      </c>
      <c r="R20" s="970">
        <f t="shared" si="0"/>
        <v>0</v>
      </c>
      <c r="S20" s="970">
        <f t="shared" si="1"/>
        <v>0</v>
      </c>
      <c r="T20" s="970">
        <f t="shared" si="2"/>
        <v>0</v>
      </c>
      <c r="U20"/>
      <c r="V20"/>
      <c r="W20"/>
      <c r="X20"/>
      <c r="Y20"/>
      <c r="Z20"/>
      <c r="AA20"/>
      <c r="AB20"/>
      <c r="AC20"/>
      <c r="AD20"/>
      <c r="AE20"/>
    </row>
    <row r="21" spans="1:31" ht="15.75">
      <c r="A21" s="473" t="str">
        <f>'Budget with Assumptions'!A21</f>
        <v>Special Education Reimbursement </v>
      </c>
      <c r="B21" s="24"/>
      <c r="C21" s="24"/>
      <c r="D21" s="378">
        <f>'Budget with Assumptions'!J21</f>
        <v>0</v>
      </c>
      <c r="E21" s="948"/>
      <c r="F21" s="378">
        <f>'Budget with Assumptions'!L21</f>
        <v>163288.5842571794</v>
      </c>
      <c r="G21" s="948"/>
      <c r="H21" s="378">
        <f>'Budget with Assumptions'!N21</f>
        <v>166512.10442539543</v>
      </c>
      <c r="I21" s="948"/>
      <c r="J21" s="378">
        <f>'Budget with Assumptions'!P21</f>
        <v>169804.7364780651</v>
      </c>
      <c r="K21" s="949"/>
      <c r="L21" s="378">
        <f>'Budget with Assumptions'!R21</f>
        <v>173200.8312076264</v>
      </c>
      <c r="M21" s="945"/>
      <c r="N21" s="378">
        <f>'Budget with Assumptions'!T21</f>
        <v>176664.84783177893</v>
      </c>
      <c r="O21"/>
      <c r="P21" s="971">
        <f t="shared" si="3"/>
        <v>0.08540102174629387</v>
      </c>
      <c r="Q21" s="971">
        <f t="shared" si="4"/>
        <v>0.09530990044893724</v>
      </c>
      <c r="R21" s="970">
        <f t="shared" si="0"/>
        <v>0.09127111453155057</v>
      </c>
      <c r="S21" s="970">
        <f t="shared" si="1"/>
        <v>0.0929082357941068</v>
      </c>
      <c r="T21" s="970">
        <f t="shared" si="2"/>
        <v>0.09457129090280648</v>
      </c>
      <c r="U21"/>
      <c r="V21"/>
      <c r="W21"/>
      <c r="X21"/>
      <c r="Y21"/>
      <c r="Z21"/>
      <c r="AA21"/>
      <c r="AB21"/>
      <c r="AC21"/>
      <c r="AD21"/>
      <c r="AE21"/>
    </row>
    <row r="22" spans="1:31" ht="15.75">
      <c r="A22" s="473" t="str">
        <f>'Budget with Assumptions'!A22</f>
        <v>CPS Incubation Funds</v>
      </c>
      <c r="B22" s="24"/>
      <c r="C22" s="24"/>
      <c r="D22" s="378">
        <f>'Budget with Assumptions'!J22</f>
        <v>160000</v>
      </c>
      <c r="E22" s="948"/>
      <c r="F22" s="378">
        <f>'Budget with Assumptions'!L22</f>
        <v>0</v>
      </c>
      <c r="G22" s="948"/>
      <c r="H22" s="378">
        <f>'Budget with Assumptions'!N22</f>
        <v>0</v>
      </c>
      <c r="I22" s="948"/>
      <c r="J22" s="378">
        <f>'Budget with Assumptions'!P22</f>
        <v>0</v>
      </c>
      <c r="K22" s="949"/>
      <c r="L22" s="378">
        <f>'Budget with Assumptions'!R22</f>
        <v>0</v>
      </c>
      <c r="M22" s="945"/>
      <c r="N22" s="378">
        <f>'Budget with Assumptions'!T22</f>
        <v>0</v>
      </c>
      <c r="O22"/>
      <c r="P22" s="971">
        <f t="shared" si="3"/>
        <v>0</v>
      </c>
      <c r="Q22" s="971">
        <f t="shared" si="4"/>
        <v>0</v>
      </c>
      <c r="R22" s="970">
        <f t="shared" si="0"/>
        <v>0</v>
      </c>
      <c r="S22" s="970">
        <f t="shared" si="1"/>
        <v>0</v>
      </c>
      <c r="T22" s="970">
        <f t="shared" si="2"/>
        <v>0</v>
      </c>
      <c r="U22"/>
      <c r="V22"/>
      <c r="W22"/>
      <c r="X22"/>
      <c r="Y22"/>
      <c r="Z22"/>
      <c r="AA22"/>
      <c r="AB22"/>
      <c r="AC22"/>
      <c r="AD22"/>
      <c r="AE22"/>
    </row>
    <row r="23" spans="1:31" ht="15.75">
      <c r="A23" s="473" t="str">
        <f>'Budget with Assumptions'!A23</f>
        <v>Private Fundraising</v>
      </c>
      <c r="B23" s="24"/>
      <c r="C23" s="24"/>
      <c r="D23" s="378">
        <f>'Budget with Assumptions'!J23</f>
        <v>0</v>
      </c>
      <c r="E23" s="948"/>
      <c r="F23" s="378">
        <f>'Budget with Assumptions'!L23</f>
        <v>260000</v>
      </c>
      <c r="G23" s="948"/>
      <c r="H23" s="378">
        <f>'Budget with Assumptions'!N23</f>
        <v>85000</v>
      </c>
      <c r="I23" s="948"/>
      <c r="J23" s="378">
        <f>'Budget with Assumptions'!P23</f>
        <v>85000</v>
      </c>
      <c r="K23" s="949"/>
      <c r="L23" s="378">
        <f>'Budget with Assumptions'!R23</f>
        <v>85000</v>
      </c>
      <c r="M23" s="945"/>
      <c r="N23" s="378">
        <f>'Budget with Assumptions'!T23</f>
        <v>85000</v>
      </c>
      <c r="O23"/>
      <c r="P23" s="971">
        <f t="shared" si="3"/>
        <v>0.135981739048363</v>
      </c>
      <c r="Q23" s="971">
        <f t="shared" si="4"/>
        <v>0.04865316888592573</v>
      </c>
      <c r="R23" s="970">
        <f t="shared" si="0"/>
        <v>0.04568803495174565</v>
      </c>
      <c r="S23" s="970">
        <f t="shared" si="1"/>
        <v>0.045595624382611784</v>
      </c>
      <c r="T23" s="970">
        <f t="shared" si="2"/>
        <v>0.04550174992589869</v>
      </c>
      <c r="U23"/>
      <c r="V23"/>
      <c r="W23"/>
      <c r="X23"/>
      <c r="Y23"/>
      <c r="Z23"/>
      <c r="AA23"/>
      <c r="AB23"/>
      <c r="AC23"/>
      <c r="AD23"/>
      <c r="AE23"/>
    </row>
    <row r="24" spans="1:31" ht="15.75">
      <c r="A24" s="473" t="str">
        <f>'Budget with Assumptions'!A24</f>
        <v>Student Fees</v>
      </c>
      <c r="B24" s="24"/>
      <c r="C24" s="24"/>
      <c r="D24" s="378">
        <f>'Budget with Assumptions'!J24</f>
        <v>0</v>
      </c>
      <c r="E24" s="948"/>
      <c r="F24" s="378">
        <f>'Budget with Assumptions'!L24</f>
        <v>3125</v>
      </c>
      <c r="G24" s="948"/>
      <c r="H24" s="378">
        <f>'Budget with Assumptions'!N24</f>
        <v>3625</v>
      </c>
      <c r="I24" s="948"/>
      <c r="J24" s="378">
        <f>'Budget with Assumptions'!P24</f>
        <v>4125</v>
      </c>
      <c r="K24" s="949"/>
      <c r="L24" s="378">
        <f>'Budget with Assumptions'!R24</f>
        <v>4125</v>
      </c>
      <c r="M24" s="945"/>
      <c r="N24" s="378">
        <f>'Budget with Assumptions'!T24</f>
        <v>4125</v>
      </c>
      <c r="O24"/>
      <c r="P24" s="971">
        <f t="shared" si="3"/>
        <v>0.0016343959020235937</v>
      </c>
      <c r="Q24" s="971">
        <f t="shared" si="4"/>
        <v>0.0020749145554291855</v>
      </c>
      <c r="R24" s="970">
        <f t="shared" si="0"/>
        <v>0.002217213460893539</v>
      </c>
      <c r="S24" s="970">
        <f t="shared" si="1"/>
        <v>0.0022127288303326305</v>
      </c>
      <c r="T24" s="970">
        <f t="shared" si="2"/>
        <v>0.002208173158168613</v>
      </c>
      <c r="U24"/>
      <c r="V24"/>
      <c r="W24"/>
      <c r="X24"/>
      <c r="Y24"/>
      <c r="Z24"/>
      <c r="AA24"/>
      <c r="AB24"/>
      <c r="AC24"/>
      <c r="AD24"/>
      <c r="AE24"/>
    </row>
    <row r="25" spans="1:31" ht="15.75">
      <c r="A25" s="473" t="str">
        <f>'Budget with Assumptions'!A25</f>
        <v>Erate</v>
      </c>
      <c r="B25" s="24"/>
      <c r="C25" s="24"/>
      <c r="D25" s="378">
        <f>'Budget with Assumptions'!J25</f>
        <v>0</v>
      </c>
      <c r="E25" s="948"/>
      <c r="F25" s="378">
        <f>'Budget with Assumptions'!L25</f>
        <v>0</v>
      </c>
      <c r="G25" s="948"/>
      <c r="H25" s="378">
        <f>'Budget with Assumptions'!N25</f>
        <v>27360</v>
      </c>
      <c r="I25" s="948"/>
      <c r="J25" s="378">
        <f>'Budget with Assumptions'!P25</f>
        <v>23227.2</v>
      </c>
      <c r="K25" s="949"/>
      <c r="L25" s="378">
        <f>'Budget with Assumptions'!R25</f>
        <v>23601.744</v>
      </c>
      <c r="M25" s="945"/>
      <c r="N25" s="378">
        <f>'Budget with Assumptions'!T25</f>
        <v>23983.778879999998</v>
      </c>
      <c r="O25"/>
      <c r="P25" s="971">
        <f t="shared" si="3"/>
        <v>0</v>
      </c>
      <c r="Q25" s="971">
        <f t="shared" si="4"/>
        <v>0.01566059647904621</v>
      </c>
      <c r="R25" s="970">
        <f t="shared" si="0"/>
        <v>0.012484766181543372</v>
      </c>
      <c r="S25" s="970">
        <f t="shared" si="1"/>
        <v>0.012660426519983075</v>
      </c>
      <c r="T25" s="970">
        <f t="shared" si="2"/>
        <v>0.012838869516186006</v>
      </c>
      <c r="U25"/>
      <c r="V25"/>
      <c r="W25"/>
      <c r="X25"/>
      <c r="Y25"/>
      <c r="Z25"/>
      <c r="AA25"/>
      <c r="AB25"/>
      <c r="AC25"/>
      <c r="AD25"/>
      <c r="AE25"/>
    </row>
    <row r="26" spans="1:31" ht="15.75">
      <c r="A26" s="473" t="str">
        <f>'Budget with Assumptions'!A26</f>
        <v>Investment Income</v>
      </c>
      <c r="B26" s="24"/>
      <c r="C26" s="24"/>
      <c r="D26" s="378">
        <f>'Budget with Assumptions'!J26</f>
        <v>0</v>
      </c>
      <c r="E26" s="948"/>
      <c r="F26" s="378">
        <f>'Budget with Assumptions'!L26</f>
        <v>0</v>
      </c>
      <c r="G26" s="948"/>
      <c r="H26" s="378">
        <f>'Budget with Assumptions'!N26</f>
        <v>0</v>
      </c>
      <c r="I26" s="948"/>
      <c r="J26" s="378">
        <f>'Budget with Assumptions'!P26</f>
        <v>0</v>
      </c>
      <c r="K26" s="949"/>
      <c r="L26" s="378">
        <f>'Budget with Assumptions'!R26</f>
        <v>0</v>
      </c>
      <c r="M26" s="945"/>
      <c r="N26" s="378">
        <f>'Budget with Assumptions'!T26</f>
        <v>0</v>
      </c>
      <c r="O26"/>
      <c r="P26" s="971">
        <f t="shared" si="3"/>
        <v>0</v>
      </c>
      <c r="Q26" s="971">
        <f t="shared" si="4"/>
        <v>0</v>
      </c>
      <c r="R26" s="970">
        <f t="shared" si="0"/>
        <v>0</v>
      </c>
      <c r="S26" s="970">
        <f t="shared" si="1"/>
        <v>0</v>
      </c>
      <c r="T26" s="970">
        <f t="shared" si="2"/>
        <v>0</v>
      </c>
      <c r="U26"/>
      <c r="V26"/>
      <c r="W26"/>
      <c r="X26"/>
      <c r="Y26"/>
      <c r="Z26"/>
      <c r="AA26"/>
      <c r="AB26"/>
      <c r="AC26"/>
      <c r="AD26"/>
      <c r="AE26"/>
    </row>
    <row r="27" spans="1:31" ht="15.75">
      <c r="A27" s="473" t="str">
        <f>'Budget with Assumptions'!A27</f>
        <v>Non-Facility Loan Proceeds / Line of Credit</v>
      </c>
      <c r="B27" s="24"/>
      <c r="C27" s="24"/>
      <c r="D27" s="378">
        <f>'Budget with Assumptions'!J27</f>
        <v>0</v>
      </c>
      <c r="E27" s="948"/>
      <c r="F27" s="378">
        <f>'Budget with Assumptions'!L27</f>
        <v>0</v>
      </c>
      <c r="G27" s="948"/>
      <c r="H27" s="378">
        <f>'Budget with Assumptions'!N27</f>
        <v>0</v>
      </c>
      <c r="I27" s="948"/>
      <c r="J27" s="378">
        <f>'Budget with Assumptions'!P27</f>
        <v>0</v>
      </c>
      <c r="K27" s="949"/>
      <c r="L27" s="378">
        <f>'Budget with Assumptions'!R27</f>
        <v>0</v>
      </c>
      <c r="M27" s="945"/>
      <c r="N27" s="378">
        <f>'Budget with Assumptions'!T27</f>
        <v>0</v>
      </c>
      <c r="O27"/>
      <c r="P27" s="971">
        <f t="shared" si="3"/>
        <v>0</v>
      </c>
      <c r="Q27" s="971">
        <f t="shared" si="4"/>
        <v>0</v>
      </c>
      <c r="R27" s="970">
        <f t="shared" si="0"/>
        <v>0</v>
      </c>
      <c r="S27" s="970">
        <f t="shared" si="1"/>
        <v>0</v>
      </c>
      <c r="T27" s="970">
        <f t="shared" si="2"/>
        <v>0</v>
      </c>
      <c r="U27"/>
      <c r="V27"/>
      <c r="W27"/>
      <c r="X27"/>
      <c r="Y27"/>
      <c r="Z27"/>
      <c r="AA27"/>
      <c r="AB27"/>
      <c r="AC27"/>
      <c r="AD27"/>
      <c r="AE27"/>
    </row>
    <row r="28" spans="1:31" ht="15.75">
      <c r="A28" s="473" t="str">
        <f>'Budget with Assumptions'!A28</f>
        <v>Revenue from City Colleges of Chicago</v>
      </c>
      <c r="B28" s="24"/>
      <c r="C28" s="24"/>
      <c r="D28" s="378">
        <f>'Budget with Assumptions'!J28</f>
        <v>0</v>
      </c>
      <c r="E28" s="948"/>
      <c r="F28" s="378">
        <f>'Budget with Assumptions'!L28</f>
        <v>37500</v>
      </c>
      <c r="G28" s="948"/>
      <c r="H28" s="378">
        <f>'Budget with Assumptions'!N28</f>
        <v>75000</v>
      </c>
      <c r="I28" s="948"/>
      <c r="J28" s="378">
        <f>'Budget with Assumptions'!P28</f>
        <v>0</v>
      </c>
      <c r="K28" s="949"/>
      <c r="L28" s="378">
        <f>'Budget with Assumptions'!R28</f>
        <v>0</v>
      </c>
      <c r="M28" s="945"/>
      <c r="N28" s="378">
        <f>'Budget with Assumptions'!T28</f>
        <v>0</v>
      </c>
      <c r="O28"/>
      <c r="P28" s="971">
        <f t="shared" si="3"/>
        <v>0.019612750824283126</v>
      </c>
      <c r="Q28" s="971">
        <f t="shared" si="4"/>
        <v>0.04292926666405212</v>
      </c>
      <c r="R28" s="970">
        <f t="shared" si="0"/>
        <v>0</v>
      </c>
      <c r="S28" s="970">
        <f t="shared" si="1"/>
        <v>0</v>
      </c>
      <c r="T28" s="970">
        <f t="shared" si="2"/>
        <v>0</v>
      </c>
      <c r="U28"/>
      <c r="V28"/>
      <c r="W28"/>
      <c r="X28"/>
      <c r="Y28"/>
      <c r="Z28"/>
      <c r="AA28"/>
      <c r="AB28"/>
      <c r="AC28"/>
      <c r="AD28"/>
      <c r="AE28"/>
    </row>
    <row r="29" spans="1:31" ht="15.75">
      <c r="A29" s="473">
        <f>'Budget with Assumptions'!A29</f>
        <v>0</v>
      </c>
      <c r="B29" s="28"/>
      <c r="C29" s="28"/>
      <c r="D29" s="378">
        <f>'Budget with Assumptions'!J29</f>
        <v>0</v>
      </c>
      <c r="E29" s="948"/>
      <c r="F29" s="378">
        <f>'Budget with Assumptions'!L29</f>
        <v>0</v>
      </c>
      <c r="G29" s="948"/>
      <c r="H29" s="378">
        <f>'Budget with Assumptions'!N29</f>
        <v>0</v>
      </c>
      <c r="I29" s="948"/>
      <c r="J29" s="378">
        <f>'Budget with Assumptions'!P29</f>
        <v>0</v>
      </c>
      <c r="K29" s="949"/>
      <c r="L29" s="378">
        <f>'Budget with Assumptions'!R29</f>
        <v>0</v>
      </c>
      <c r="M29" s="945"/>
      <c r="N29" s="378">
        <f>'Budget with Assumptions'!T29</f>
        <v>0</v>
      </c>
      <c r="O29"/>
      <c r="P29" s="971">
        <f t="shared" si="3"/>
        <v>0</v>
      </c>
      <c r="Q29" s="971">
        <f t="shared" si="4"/>
        <v>0</v>
      </c>
      <c r="R29" s="970">
        <f t="shared" si="0"/>
        <v>0</v>
      </c>
      <c r="S29" s="970">
        <f t="shared" si="1"/>
        <v>0</v>
      </c>
      <c r="T29" s="970">
        <f t="shared" si="2"/>
        <v>0</v>
      </c>
      <c r="U29"/>
      <c r="V29"/>
      <c r="W29"/>
      <c r="X29"/>
      <c r="Y29"/>
      <c r="Z29"/>
      <c r="AA29"/>
      <c r="AB29"/>
      <c r="AC29"/>
      <c r="AD29"/>
      <c r="AE29"/>
    </row>
    <row r="30" spans="1:31" ht="15.75">
      <c r="A30" s="473">
        <f>'Budget with Assumptions'!A30</f>
        <v>0</v>
      </c>
      <c r="B30" s="28"/>
      <c r="C30" s="28"/>
      <c r="D30" s="378">
        <f>'Budget with Assumptions'!J30</f>
        <v>0</v>
      </c>
      <c r="E30" s="948"/>
      <c r="F30" s="378">
        <f>'Budget with Assumptions'!L30</f>
        <v>0</v>
      </c>
      <c r="G30" s="948"/>
      <c r="H30" s="378">
        <f>'Budget with Assumptions'!N30</f>
        <v>0</v>
      </c>
      <c r="I30" s="948"/>
      <c r="J30" s="378">
        <f>'Budget with Assumptions'!P30</f>
        <v>0</v>
      </c>
      <c r="K30" s="949"/>
      <c r="L30" s="378">
        <f>'Budget with Assumptions'!R30</f>
        <v>0</v>
      </c>
      <c r="M30" s="945"/>
      <c r="N30" s="378">
        <f>'Budget with Assumptions'!T30</f>
        <v>0</v>
      </c>
      <c r="O30"/>
      <c r="P30" s="971">
        <f t="shared" si="3"/>
        <v>0</v>
      </c>
      <c r="Q30" s="971">
        <f t="shared" si="4"/>
        <v>0</v>
      </c>
      <c r="R30" s="970">
        <f t="shared" si="0"/>
        <v>0</v>
      </c>
      <c r="S30" s="970">
        <f t="shared" si="1"/>
        <v>0</v>
      </c>
      <c r="T30" s="970">
        <f t="shared" si="2"/>
        <v>0</v>
      </c>
      <c r="U30"/>
      <c r="V30"/>
      <c r="W30"/>
      <c r="X30"/>
      <c r="Y30"/>
      <c r="Z30"/>
      <c r="AA30"/>
      <c r="AB30"/>
      <c r="AC30"/>
      <c r="AD30"/>
      <c r="AE30"/>
    </row>
    <row r="31" spans="1:31" ht="15.75">
      <c r="A31" s="473">
        <f>'Budget with Assumptions'!A31</f>
        <v>0</v>
      </c>
      <c r="B31" s="28"/>
      <c r="C31" s="28"/>
      <c r="D31" s="378">
        <f>'Budget with Assumptions'!J31</f>
        <v>0</v>
      </c>
      <c r="E31" s="948"/>
      <c r="F31" s="378">
        <f>'Budget with Assumptions'!L31</f>
        <v>0</v>
      </c>
      <c r="G31" s="948"/>
      <c r="H31" s="378">
        <f>'Budget with Assumptions'!N31</f>
        <v>0</v>
      </c>
      <c r="I31" s="948"/>
      <c r="J31" s="378">
        <f>'Budget with Assumptions'!P31</f>
        <v>0</v>
      </c>
      <c r="K31" s="949"/>
      <c r="L31" s="378">
        <f>'Budget with Assumptions'!R31</f>
        <v>0</v>
      </c>
      <c r="M31" s="945"/>
      <c r="N31" s="378">
        <f>'Budget with Assumptions'!T31</f>
        <v>0</v>
      </c>
      <c r="O31"/>
      <c r="P31" s="971">
        <f t="shared" si="3"/>
        <v>0</v>
      </c>
      <c r="Q31" s="971">
        <f t="shared" si="4"/>
        <v>0</v>
      </c>
      <c r="R31" s="970">
        <f t="shared" si="0"/>
        <v>0</v>
      </c>
      <c r="S31" s="970">
        <f t="shared" si="1"/>
        <v>0</v>
      </c>
      <c r="T31" s="970">
        <f t="shared" si="2"/>
        <v>0</v>
      </c>
      <c r="U31"/>
      <c r="V31"/>
      <c r="W31"/>
      <c r="X31"/>
      <c r="Y31"/>
      <c r="Z31"/>
      <c r="AA31"/>
      <c r="AB31"/>
      <c r="AC31"/>
      <c r="AD31"/>
      <c r="AE31"/>
    </row>
    <row r="32" spans="1:31" ht="15.75">
      <c r="A32" s="473">
        <f>'Budget with Assumptions'!A32</f>
        <v>0</v>
      </c>
      <c r="B32" s="28"/>
      <c r="C32" s="28"/>
      <c r="D32" s="378">
        <f>'Budget with Assumptions'!J32</f>
        <v>0</v>
      </c>
      <c r="E32" s="948"/>
      <c r="F32" s="378">
        <f>'Budget with Assumptions'!L32</f>
        <v>0</v>
      </c>
      <c r="G32" s="948"/>
      <c r="H32" s="378">
        <f>'Budget with Assumptions'!N32</f>
        <v>0</v>
      </c>
      <c r="I32" s="948"/>
      <c r="J32" s="378">
        <f>'Budget with Assumptions'!P32</f>
        <v>0</v>
      </c>
      <c r="K32" s="949"/>
      <c r="L32" s="378">
        <f>'Budget with Assumptions'!R32</f>
        <v>0</v>
      </c>
      <c r="M32" s="945"/>
      <c r="N32" s="378">
        <f>'Budget with Assumptions'!T32</f>
        <v>0</v>
      </c>
      <c r="O32"/>
      <c r="P32" s="971">
        <f t="shared" si="3"/>
        <v>0</v>
      </c>
      <c r="Q32" s="971">
        <f t="shared" si="4"/>
        <v>0</v>
      </c>
      <c r="R32" s="970">
        <f t="shared" si="0"/>
        <v>0</v>
      </c>
      <c r="S32" s="970">
        <f t="shared" si="1"/>
        <v>0</v>
      </c>
      <c r="T32" s="970">
        <f t="shared" si="2"/>
        <v>0</v>
      </c>
      <c r="U32"/>
      <c r="V32"/>
      <c r="W32"/>
      <c r="X32"/>
      <c r="Y32"/>
      <c r="Z32"/>
      <c r="AA32"/>
      <c r="AB32"/>
      <c r="AC32"/>
      <c r="AD32"/>
      <c r="AE32"/>
    </row>
    <row r="33" spans="1:31" ht="15.75">
      <c r="A33" s="473">
        <f>'Budget with Assumptions'!A33</f>
        <v>0</v>
      </c>
      <c r="B33" s="28"/>
      <c r="C33" s="28"/>
      <c r="D33" s="378">
        <f>'Budget with Assumptions'!J33</f>
        <v>0</v>
      </c>
      <c r="E33" s="948"/>
      <c r="F33" s="378">
        <f>'Budget with Assumptions'!L33</f>
        <v>0</v>
      </c>
      <c r="G33" s="948"/>
      <c r="H33" s="378">
        <f>'Budget with Assumptions'!N33</f>
        <v>0</v>
      </c>
      <c r="I33" s="948"/>
      <c r="J33" s="378">
        <f>'Budget with Assumptions'!P33</f>
        <v>0</v>
      </c>
      <c r="K33" s="952"/>
      <c r="L33" s="378">
        <f>'Budget with Assumptions'!R33</f>
        <v>0</v>
      </c>
      <c r="M33" s="945"/>
      <c r="N33" s="378">
        <f>'Budget with Assumptions'!T33</f>
        <v>0</v>
      </c>
      <c r="O33"/>
      <c r="P33" s="971">
        <f t="shared" si="3"/>
        <v>0</v>
      </c>
      <c r="Q33" s="971">
        <f t="shared" si="4"/>
        <v>0</v>
      </c>
      <c r="R33" s="970">
        <f t="shared" si="0"/>
        <v>0</v>
      </c>
      <c r="S33" s="970">
        <f t="shared" si="1"/>
        <v>0</v>
      </c>
      <c r="T33" s="970">
        <f t="shared" si="2"/>
        <v>0</v>
      </c>
      <c r="U33"/>
      <c r="V33"/>
      <c r="W33"/>
      <c r="X33"/>
      <c r="Y33"/>
      <c r="Z33"/>
      <c r="AA33"/>
      <c r="AB33"/>
      <c r="AC33"/>
      <c r="AD33"/>
      <c r="AE33"/>
    </row>
    <row r="34" spans="1:31" ht="16.5" thickBot="1">
      <c r="A34" s="22"/>
      <c r="B34" s="24"/>
      <c r="C34" s="24"/>
      <c r="D34" s="948"/>
      <c r="E34" s="948"/>
      <c r="F34" s="948"/>
      <c r="G34" s="948"/>
      <c r="H34" s="948"/>
      <c r="I34" s="948"/>
      <c r="J34" s="947"/>
      <c r="K34" s="949"/>
      <c r="L34" s="68"/>
      <c r="M34" s="945"/>
      <c r="N34" s="68"/>
      <c r="O34"/>
      <c r="P34" s="972"/>
      <c r="Q34" s="972"/>
      <c r="R34" s="972"/>
      <c r="S34" s="972"/>
      <c r="T34" s="972"/>
      <c r="U34"/>
      <c r="V34"/>
      <c r="W34"/>
      <c r="X34"/>
      <c r="Y34"/>
      <c r="Z34"/>
      <c r="AA34"/>
      <c r="AB34"/>
      <c r="AC34"/>
      <c r="AD34"/>
      <c r="AE34"/>
    </row>
    <row r="35" spans="2:31" ht="16.5" thickBot="1">
      <c r="B35" s="33"/>
      <c r="C35" s="33"/>
      <c r="D35" s="505">
        <f>SUM(D10:D33)</f>
        <v>160000</v>
      </c>
      <c r="E35" s="369"/>
      <c r="F35" s="505">
        <f>SUM(F10:F33)</f>
        <v>1912021.4362571794</v>
      </c>
      <c r="G35" s="369"/>
      <c r="H35" s="505">
        <f>SUM(H10:H33)</f>
        <v>1747059.8924253953</v>
      </c>
      <c r="I35" s="369"/>
      <c r="J35" s="505">
        <f>SUM(J10:J33)</f>
        <v>1860443.3324780653</v>
      </c>
      <c r="K35" s="370"/>
      <c r="L35" s="505">
        <f>SUM(L10:L33)</f>
        <v>1864213.9712076266</v>
      </c>
      <c r="M35" s="930"/>
      <c r="N35" s="506">
        <f>SUM(N10:N33)</f>
        <v>1868060.022711779</v>
      </c>
      <c r="O35"/>
      <c r="P35" s="973">
        <f>SUM(P10:P34)</f>
        <v>1</v>
      </c>
      <c r="Q35" s="973">
        <f>SUM(Q10:Q34)</f>
        <v>1</v>
      </c>
      <c r="R35" s="973">
        <f>SUM(R10:R34)</f>
        <v>1</v>
      </c>
      <c r="S35" s="973">
        <f>SUM(S10:S34)</f>
        <v>0.9999999999999999</v>
      </c>
      <c r="T35" s="973">
        <f>SUM(T10:T34)</f>
        <v>1</v>
      </c>
      <c r="U35"/>
      <c r="V35"/>
      <c r="W35"/>
      <c r="X35"/>
      <c r="Y35"/>
      <c r="Z35"/>
      <c r="AA35"/>
      <c r="AB35"/>
      <c r="AC35"/>
      <c r="AD35"/>
      <c r="AE35"/>
    </row>
    <row r="36" spans="1:31" ht="15.75">
      <c r="A36" s="27"/>
      <c r="B36" s="28"/>
      <c r="C36" s="28"/>
      <c r="D36" s="948"/>
      <c r="E36" s="948"/>
      <c r="F36" s="948"/>
      <c r="G36" s="948"/>
      <c r="H36" s="948"/>
      <c r="I36" s="948"/>
      <c r="J36" s="948"/>
      <c r="K36" s="953"/>
      <c r="L36" s="68"/>
      <c r="M36" s="945"/>
      <c r="N36" s="68"/>
      <c r="O36"/>
      <c r="P36" s="972"/>
      <c r="Q36" s="972"/>
      <c r="R36" s="972"/>
      <c r="S36" s="972"/>
      <c r="T36" s="972"/>
      <c r="U36"/>
      <c r="V36"/>
      <c r="W36"/>
      <c r="X36"/>
      <c r="Y36"/>
      <c r="Z36"/>
      <c r="AA36"/>
      <c r="AB36"/>
      <c r="AC36"/>
      <c r="AD36"/>
      <c r="AE36"/>
    </row>
    <row r="37" spans="1:31" ht="18" customHeight="1" thickBot="1">
      <c r="A37" s="304" t="s">
        <v>28</v>
      </c>
      <c r="B37" s="28"/>
      <c r="C37" s="28"/>
      <c r="D37" s="948"/>
      <c r="E37" s="948"/>
      <c r="F37" s="948"/>
      <c r="G37" s="948"/>
      <c r="H37" s="948"/>
      <c r="I37" s="948"/>
      <c r="J37" s="948"/>
      <c r="K37" s="953"/>
      <c r="L37" s="68"/>
      <c r="M37" s="945"/>
      <c r="N37" s="68"/>
      <c r="O37"/>
      <c r="P37" s="972"/>
      <c r="Q37" s="972"/>
      <c r="R37" s="972"/>
      <c r="S37" s="972"/>
      <c r="T37" s="972"/>
      <c r="U37"/>
      <c r="V37"/>
      <c r="W37"/>
      <c r="X37"/>
      <c r="Y37"/>
      <c r="Z37"/>
      <c r="AA37"/>
      <c r="AB37"/>
      <c r="AC37"/>
      <c r="AD37"/>
      <c r="AE37"/>
    </row>
    <row r="38" spans="1:31" ht="18" customHeight="1" thickBot="1">
      <c r="A38" s="22"/>
      <c r="B38" s="28"/>
      <c r="C38" s="28"/>
      <c r="D38" s="948"/>
      <c r="E38" s="948"/>
      <c r="F38" s="948"/>
      <c r="G38" s="948"/>
      <c r="H38" s="948"/>
      <c r="I38" s="948"/>
      <c r="J38" s="948"/>
      <c r="K38" s="953"/>
      <c r="L38" s="68"/>
      <c r="M38" s="945"/>
      <c r="N38" s="68"/>
      <c r="O38"/>
      <c r="P38" s="972"/>
      <c r="Q38" s="972"/>
      <c r="R38" s="972"/>
      <c r="S38" s="972"/>
      <c r="T38" s="972"/>
      <c r="U38"/>
      <c r="V38" s="1185" t="s">
        <v>414</v>
      </c>
      <c r="W38" s="1186"/>
      <c r="X38" s="1186"/>
      <c r="Y38" s="1186"/>
      <c r="Z38" s="1187"/>
      <c r="AA38"/>
      <c r="AB38"/>
      <c r="AC38"/>
      <c r="AD38"/>
      <c r="AE38"/>
    </row>
    <row r="39" spans="1:31" ht="32.25" customHeight="1" thickBot="1">
      <c r="A39" s="749" t="s">
        <v>9</v>
      </c>
      <c r="B39" s="24"/>
      <c r="C39" s="24"/>
      <c r="D39" s="954"/>
      <c r="E39" s="954"/>
      <c r="F39" s="954"/>
      <c r="G39" s="954"/>
      <c r="H39" s="954"/>
      <c r="I39" s="954"/>
      <c r="J39" s="954"/>
      <c r="K39" s="955"/>
      <c r="L39" s="954"/>
      <c r="M39" s="945"/>
      <c r="N39" s="954"/>
      <c r="O39"/>
      <c r="P39" s="1185" t="s">
        <v>413</v>
      </c>
      <c r="Q39" s="1186"/>
      <c r="R39" s="1186"/>
      <c r="S39" s="1186"/>
      <c r="T39" s="1187"/>
      <c r="U39"/>
      <c r="V39" s="969">
        <f>P9</f>
        <v>2016</v>
      </c>
      <c r="W39" s="969">
        <f>Q9</f>
        <v>2017</v>
      </c>
      <c r="X39" s="969">
        <f>R9</f>
        <v>2018</v>
      </c>
      <c r="Y39" s="969">
        <f>S9</f>
        <v>2019</v>
      </c>
      <c r="Z39" s="969">
        <f>T9</f>
        <v>2020</v>
      </c>
      <c r="AA39"/>
      <c r="AB39"/>
      <c r="AC39"/>
      <c r="AD39"/>
      <c r="AE39"/>
    </row>
    <row r="40" spans="1:31" ht="15.75">
      <c r="A40" s="758" t="str">
        <f>'Budget with Assumptions'!A40</f>
        <v>Classroom Supplies (consumables)</v>
      </c>
      <c r="B40" s="38"/>
      <c r="C40" s="38"/>
      <c r="D40" s="378">
        <f>'Budget with Assumptions'!J40</f>
        <v>0</v>
      </c>
      <c r="E40" s="956"/>
      <c r="F40" s="378">
        <f>'Budget with Assumptions'!L40</f>
        <v>3125</v>
      </c>
      <c r="G40" s="956"/>
      <c r="H40" s="378">
        <f>'Budget with Assumptions'!N40</f>
        <v>3697.5</v>
      </c>
      <c r="I40" s="956"/>
      <c r="J40" s="378">
        <f>'Budget with Assumptions'!P40</f>
        <v>4291.65</v>
      </c>
      <c r="K40" s="957"/>
      <c r="L40" s="378">
        <f>'Budget with Assumptions'!R40</f>
        <v>4377.482999999999</v>
      </c>
      <c r="M40" s="945"/>
      <c r="N40" s="378">
        <f>'Budget with Assumptions'!T40</f>
        <v>4465.03266</v>
      </c>
      <c r="O40"/>
      <c r="P40" s="970">
        <f aca="true" t="shared" si="5" ref="P40:P62">F40/$F$159</f>
        <v>0.0019561768874815947</v>
      </c>
      <c r="Q40" s="970">
        <f aca="true" t="shared" si="6" ref="Q40:Q62">H40/$H$159</f>
        <v>0.0025426277193318575</v>
      </c>
      <c r="R40" s="970">
        <f aca="true" t="shared" si="7" ref="R40:R62">J40/$J$159</f>
        <v>0.002706548510486503</v>
      </c>
      <c r="S40" s="970">
        <f aca="true" t="shared" si="8" ref="S40:S62">L40/$L$159</f>
        <v>0.0026812397760694077</v>
      </c>
      <c r="T40" s="970">
        <f aca="true" t="shared" si="9" ref="T40:T62">N40/$N$159</f>
        <v>0.0026808266316568257</v>
      </c>
      <c r="U40"/>
      <c r="V40" s="977">
        <f>F40/$F$178</f>
        <v>25</v>
      </c>
      <c r="W40" s="977">
        <f>H40/$H$178</f>
        <v>25.5</v>
      </c>
      <c r="X40" s="977">
        <f>J40/$J$178</f>
        <v>26.009999999999998</v>
      </c>
      <c r="Y40" s="977">
        <f>L40/$L$178</f>
        <v>26.530199999999997</v>
      </c>
      <c r="Z40" s="977">
        <f>N40/$N$178</f>
        <v>27.060803999999997</v>
      </c>
      <c r="AA40"/>
      <c r="AB40"/>
      <c r="AC40"/>
      <c r="AD40"/>
      <c r="AE40"/>
    </row>
    <row r="41" spans="1:31" ht="15.75">
      <c r="A41" s="758" t="str">
        <f>'Budget with Assumptions'!A41</f>
        <v>Educational Materials (non-consumables)</v>
      </c>
      <c r="B41" s="42"/>
      <c r="C41" s="42"/>
      <c r="D41" s="378">
        <f>'Budget with Assumptions'!J41</f>
        <v>0</v>
      </c>
      <c r="E41" s="956"/>
      <c r="F41" s="378">
        <f>'Budget with Assumptions'!L41</f>
        <v>18750</v>
      </c>
      <c r="G41" s="956"/>
      <c r="H41" s="378">
        <f>'Budget with Assumptions'!N41</f>
        <v>22185</v>
      </c>
      <c r="I41" s="956"/>
      <c r="J41" s="378">
        <f>'Budget with Assumptions'!P41</f>
        <v>25749.9</v>
      </c>
      <c r="K41" s="957"/>
      <c r="L41" s="378">
        <f>'Budget with Assumptions'!R41</f>
        <v>26264.897999999997</v>
      </c>
      <c r="M41" s="945"/>
      <c r="N41" s="378">
        <f>'Budget with Assumptions'!T41</f>
        <v>26790.19596</v>
      </c>
      <c r="O41"/>
      <c r="P41" s="970">
        <f t="shared" si="5"/>
        <v>0.011737061324889568</v>
      </c>
      <c r="Q41" s="970">
        <f t="shared" si="6"/>
        <v>0.015255766315991145</v>
      </c>
      <c r="R41" s="970">
        <f t="shared" si="7"/>
        <v>0.01623929106291902</v>
      </c>
      <c r="S41" s="970">
        <f t="shared" si="8"/>
        <v>0.016087438656416448</v>
      </c>
      <c r="T41" s="970">
        <f t="shared" si="9"/>
        <v>0.016084959789940956</v>
      </c>
      <c r="U41"/>
      <c r="V41" s="977">
        <f aca="true" t="shared" si="10" ref="V41:V62">F41/$F$178</f>
        <v>150</v>
      </c>
      <c r="W41" s="977">
        <f aca="true" t="shared" si="11" ref="W41:W62">H41/$H$178</f>
        <v>153</v>
      </c>
      <c r="X41" s="977">
        <f aca="true" t="shared" si="12" ref="X41:X62">J41/$J$178</f>
        <v>156.06</v>
      </c>
      <c r="Y41" s="977">
        <f aca="true" t="shared" si="13" ref="Y41:Y62">L41/$L$178</f>
        <v>159.1812</v>
      </c>
      <c r="Z41" s="977">
        <f aca="true" t="shared" si="14" ref="Z41:Z62">N41/$N$178</f>
        <v>162.364824</v>
      </c>
      <c r="AA41"/>
      <c r="AB41"/>
      <c r="AC41"/>
      <c r="AD41"/>
      <c r="AE41"/>
    </row>
    <row r="42" spans="1:31" ht="15.75">
      <c r="A42" s="758" t="str">
        <f>'Budget with Assumptions'!A42</f>
        <v>Student Testing &amp; Assessment</v>
      </c>
      <c r="B42" s="42"/>
      <c r="C42" s="42"/>
      <c r="D42" s="378">
        <f>'Budget with Assumptions'!J42</f>
        <v>0</v>
      </c>
      <c r="E42" s="956"/>
      <c r="F42" s="378">
        <f>'Budget with Assumptions'!L42</f>
        <v>5000</v>
      </c>
      <c r="G42" s="956"/>
      <c r="H42" s="378">
        <f>'Budget with Assumptions'!N42</f>
        <v>5916</v>
      </c>
      <c r="I42" s="956"/>
      <c r="J42" s="378">
        <f>'Budget with Assumptions'!P42</f>
        <v>6866.64</v>
      </c>
      <c r="K42" s="957"/>
      <c r="L42" s="378">
        <f>'Budget with Assumptions'!R42</f>
        <v>7003.9728</v>
      </c>
      <c r="M42" s="945"/>
      <c r="N42" s="378">
        <f>'Budget with Assumptions'!T42</f>
        <v>7144.052256</v>
      </c>
      <c r="O42"/>
      <c r="P42" s="970">
        <f t="shared" si="5"/>
        <v>0.0031298830199705512</v>
      </c>
      <c r="Q42" s="970">
        <f t="shared" si="6"/>
        <v>0.004068204350930972</v>
      </c>
      <c r="R42" s="970">
        <f t="shared" si="7"/>
        <v>0.004330477616778405</v>
      </c>
      <c r="S42" s="970">
        <f t="shared" si="8"/>
        <v>0.004289983641711053</v>
      </c>
      <c r="T42" s="970">
        <f t="shared" si="9"/>
        <v>0.004289322610650921</v>
      </c>
      <c r="U42"/>
      <c r="V42" s="977">
        <f t="shared" si="10"/>
        <v>40</v>
      </c>
      <c r="W42" s="977">
        <f t="shared" si="11"/>
        <v>40.8</v>
      </c>
      <c r="X42" s="977">
        <f t="shared" si="12"/>
        <v>41.616</v>
      </c>
      <c r="Y42" s="977">
        <f t="shared" si="13"/>
        <v>42.448319999999995</v>
      </c>
      <c r="Z42" s="977">
        <f t="shared" si="14"/>
        <v>43.2972864</v>
      </c>
      <c r="AA42"/>
      <c r="AB42"/>
      <c r="AC42"/>
      <c r="AD42"/>
      <c r="AE42"/>
    </row>
    <row r="43" spans="1:31" ht="15.75">
      <c r="A43" s="758" t="str">
        <f>'Budget with Assumptions'!A43</f>
        <v>Student Recruitment</v>
      </c>
      <c r="B43" s="42"/>
      <c r="C43" s="42"/>
      <c r="D43" s="378">
        <f>'Budget with Assumptions'!J43</f>
        <v>4125</v>
      </c>
      <c r="E43" s="956"/>
      <c r="F43" s="378">
        <f>'Budget with Assumptions'!L43</f>
        <v>1500</v>
      </c>
      <c r="G43" s="956"/>
      <c r="H43" s="378">
        <f>'Budget with Assumptions'!N43</f>
        <v>1500</v>
      </c>
      <c r="I43" s="956"/>
      <c r="J43" s="378">
        <f>'Budget with Assumptions'!P43</f>
        <v>1000</v>
      </c>
      <c r="K43" s="957"/>
      <c r="L43" s="378">
        <f>'Budget with Assumptions'!R43</f>
        <v>1000</v>
      </c>
      <c r="M43" s="945"/>
      <c r="N43" s="378">
        <f>'Budget with Assumptions'!T43</f>
        <v>1000</v>
      </c>
      <c r="O43"/>
      <c r="P43" s="970">
        <f t="shared" si="5"/>
        <v>0.0009389649059911655</v>
      </c>
      <c r="Q43" s="970">
        <f t="shared" si="6"/>
        <v>0.0010314919753881776</v>
      </c>
      <c r="R43" s="970">
        <f t="shared" si="7"/>
        <v>0.000630654529257163</v>
      </c>
      <c r="S43" s="970">
        <f t="shared" si="8"/>
        <v>0.0006125071818826956</v>
      </c>
      <c r="T43" s="970">
        <f t="shared" si="9"/>
        <v>0.0006004047082730243</v>
      </c>
      <c r="U43"/>
      <c r="V43" s="977">
        <f t="shared" si="10"/>
        <v>12</v>
      </c>
      <c r="W43" s="977">
        <f t="shared" si="11"/>
        <v>10.344827586206897</v>
      </c>
      <c r="X43" s="977">
        <f t="shared" si="12"/>
        <v>6.0606060606060606</v>
      </c>
      <c r="Y43" s="977">
        <f t="shared" si="13"/>
        <v>6.0606060606060606</v>
      </c>
      <c r="Z43" s="977">
        <f t="shared" si="14"/>
        <v>6.0606060606060606</v>
      </c>
      <c r="AA43"/>
      <c r="AB43"/>
      <c r="AC43"/>
      <c r="AD43"/>
      <c r="AE43"/>
    </row>
    <row r="44" spans="1:31" ht="15.75">
      <c r="A44" s="758" t="str">
        <f>'Budget with Assumptions'!A44</f>
        <v>Instructional Equipment (non-computer)</v>
      </c>
      <c r="B44" s="42"/>
      <c r="C44" s="42"/>
      <c r="D44" s="378">
        <f>'Budget with Assumptions'!J44</f>
        <v>0</v>
      </c>
      <c r="E44" s="956"/>
      <c r="F44" s="378">
        <f>'Budget with Assumptions'!L44</f>
        <v>12500</v>
      </c>
      <c r="G44" s="956"/>
      <c r="H44" s="378">
        <f>'Budget with Assumptions'!N44</f>
        <v>14790</v>
      </c>
      <c r="I44" s="956"/>
      <c r="J44" s="378">
        <f>'Budget with Assumptions'!P44</f>
        <v>17166.6</v>
      </c>
      <c r="K44" s="957"/>
      <c r="L44" s="378">
        <f>'Budget with Assumptions'!R44</f>
        <v>17509.931999999997</v>
      </c>
      <c r="M44" s="945"/>
      <c r="N44" s="378">
        <f>'Budget with Assumptions'!T44</f>
        <v>17860.13064</v>
      </c>
      <c r="O44"/>
      <c r="P44" s="970">
        <f t="shared" si="5"/>
        <v>0.007824707549926379</v>
      </c>
      <c r="Q44" s="970">
        <f t="shared" si="6"/>
        <v>0.01017051087732743</v>
      </c>
      <c r="R44" s="970">
        <f t="shared" si="7"/>
        <v>0.010826194041946012</v>
      </c>
      <c r="S44" s="970">
        <f t="shared" si="8"/>
        <v>0.01072495910427763</v>
      </c>
      <c r="T44" s="970">
        <f t="shared" si="9"/>
        <v>0.010723306526627303</v>
      </c>
      <c r="U44"/>
      <c r="V44" s="977">
        <f t="shared" si="10"/>
        <v>100</v>
      </c>
      <c r="W44" s="977">
        <f t="shared" si="11"/>
        <v>102</v>
      </c>
      <c r="X44" s="977">
        <f t="shared" si="12"/>
        <v>104.03999999999999</v>
      </c>
      <c r="Y44" s="977">
        <f t="shared" si="13"/>
        <v>106.12079999999999</v>
      </c>
      <c r="Z44" s="977">
        <f t="shared" si="14"/>
        <v>108.24321599999999</v>
      </c>
      <c r="AA44"/>
      <c r="AB44"/>
      <c r="AC44"/>
      <c r="AD44"/>
      <c r="AE44"/>
    </row>
    <row r="45" spans="1:31" ht="15.75">
      <c r="A45" s="758" t="str">
        <f>'Budget with Assumptions'!A45</f>
        <v>Technology Equipment (e.g., computers, LAN, software, etc.)</v>
      </c>
      <c r="B45" s="42"/>
      <c r="C45" s="42"/>
      <c r="D45" s="378">
        <f>'Budget with Assumptions'!J45</f>
        <v>0</v>
      </c>
      <c r="E45" s="956"/>
      <c r="F45" s="378">
        <f>'Budget with Assumptions'!L45</f>
        <v>83750</v>
      </c>
      <c r="G45" s="956"/>
      <c r="H45" s="378">
        <f>'Budget with Assumptions'!N45</f>
        <v>61100</v>
      </c>
      <c r="I45" s="956"/>
      <c r="J45" s="378">
        <f>'Budget with Assumptions'!P45</f>
        <v>64700</v>
      </c>
      <c r="K45" s="957"/>
      <c r="L45" s="378">
        <f>'Budget with Assumptions'!R45</f>
        <v>59700</v>
      </c>
      <c r="M45" s="945"/>
      <c r="N45" s="378">
        <f>'Budget with Assumptions'!T45</f>
        <v>59700</v>
      </c>
      <c r="O45"/>
      <c r="P45" s="970">
        <f t="shared" si="5"/>
        <v>0.052425540584506734</v>
      </c>
      <c r="Q45" s="970">
        <f t="shared" si="6"/>
        <v>0.0420161064641451</v>
      </c>
      <c r="R45" s="970">
        <f t="shared" si="7"/>
        <v>0.04080334804293844</v>
      </c>
      <c r="S45" s="970">
        <f t="shared" si="8"/>
        <v>0.03656667875839693</v>
      </c>
      <c r="T45" s="970">
        <f t="shared" si="9"/>
        <v>0.03584416108389955</v>
      </c>
      <c r="U45"/>
      <c r="V45" s="977">
        <f t="shared" si="10"/>
        <v>670</v>
      </c>
      <c r="W45" s="977">
        <f t="shared" si="11"/>
        <v>421.37931034482756</v>
      </c>
      <c r="X45" s="977">
        <f t="shared" si="12"/>
        <v>392.1212121212121</v>
      </c>
      <c r="Y45" s="977">
        <f t="shared" si="13"/>
        <v>361.8181818181818</v>
      </c>
      <c r="Z45" s="977">
        <f t="shared" si="14"/>
        <v>361.8181818181818</v>
      </c>
      <c r="AA45"/>
      <c r="AB45"/>
      <c r="AC45"/>
      <c r="AD45"/>
      <c r="AE45"/>
    </row>
    <row r="46" spans="1:31" ht="15.75">
      <c r="A46" s="758" t="str">
        <f>'Budget with Assumptions'!A46</f>
        <v>Furniture</v>
      </c>
      <c r="B46" s="42"/>
      <c r="C46" s="42"/>
      <c r="D46" s="378">
        <f>'Budget with Assumptions'!J46</f>
        <v>10000</v>
      </c>
      <c r="E46" s="956"/>
      <c r="F46" s="378">
        <f>'Budget with Assumptions'!L46</f>
        <v>1600</v>
      </c>
      <c r="G46" s="956"/>
      <c r="H46" s="378">
        <f>'Budget with Assumptions'!N46</f>
        <v>1600</v>
      </c>
      <c r="I46" s="956"/>
      <c r="J46" s="378">
        <f>'Budget with Assumptions'!P46</f>
        <v>0</v>
      </c>
      <c r="K46" s="957"/>
      <c r="L46" s="378">
        <f>'Budget with Assumptions'!R46</f>
        <v>0</v>
      </c>
      <c r="M46" s="945"/>
      <c r="N46" s="378">
        <f>'Budget with Assumptions'!T46</f>
        <v>0</v>
      </c>
      <c r="O46"/>
      <c r="P46" s="970">
        <f t="shared" si="5"/>
        <v>0.0010015625663905765</v>
      </c>
      <c r="Q46" s="970">
        <f t="shared" si="6"/>
        <v>0.0011002581070807228</v>
      </c>
      <c r="R46" s="970">
        <f t="shared" si="7"/>
        <v>0</v>
      </c>
      <c r="S46" s="970">
        <f t="shared" si="8"/>
        <v>0</v>
      </c>
      <c r="T46" s="970">
        <f t="shared" si="9"/>
        <v>0</v>
      </c>
      <c r="U46"/>
      <c r="V46" s="977">
        <f t="shared" si="10"/>
        <v>12.8</v>
      </c>
      <c r="W46" s="977">
        <f t="shared" si="11"/>
        <v>11.03448275862069</v>
      </c>
      <c r="X46" s="977">
        <f t="shared" si="12"/>
        <v>0</v>
      </c>
      <c r="Y46" s="977">
        <f t="shared" si="13"/>
        <v>0</v>
      </c>
      <c r="Z46" s="977">
        <f t="shared" si="14"/>
        <v>0</v>
      </c>
      <c r="AA46"/>
      <c r="AB46"/>
      <c r="AC46"/>
      <c r="AD46"/>
      <c r="AE46"/>
    </row>
    <row r="47" spans="1:31" ht="15.75">
      <c r="A47" s="758" t="str">
        <f>'Budget with Assumptions'!A47</f>
        <v>Technology Contracted Services</v>
      </c>
      <c r="B47" s="42"/>
      <c r="C47" s="42"/>
      <c r="D47" s="378">
        <f>'Budget with Assumptions'!J47</f>
        <v>0</v>
      </c>
      <c r="E47" s="956"/>
      <c r="F47" s="378">
        <f>'Budget with Assumptions'!L47</f>
        <v>0</v>
      </c>
      <c r="G47" s="956"/>
      <c r="H47" s="378">
        <f>'Budget with Assumptions'!N47</f>
        <v>0</v>
      </c>
      <c r="I47" s="956"/>
      <c r="J47" s="378">
        <f>'Budget with Assumptions'!P47</f>
        <v>0</v>
      </c>
      <c r="K47" s="957"/>
      <c r="L47" s="378">
        <f>'Budget with Assumptions'!R47</f>
        <v>0</v>
      </c>
      <c r="M47" s="945"/>
      <c r="N47" s="378">
        <f>'Budget with Assumptions'!T47</f>
        <v>0</v>
      </c>
      <c r="O47"/>
      <c r="P47" s="970">
        <f t="shared" si="5"/>
        <v>0</v>
      </c>
      <c r="Q47" s="970">
        <f t="shared" si="6"/>
        <v>0</v>
      </c>
      <c r="R47" s="970">
        <f t="shared" si="7"/>
        <v>0</v>
      </c>
      <c r="S47" s="970">
        <f t="shared" si="8"/>
        <v>0</v>
      </c>
      <c r="T47" s="970">
        <f t="shared" si="9"/>
        <v>0</v>
      </c>
      <c r="U47"/>
      <c r="V47" s="977">
        <f t="shared" si="10"/>
        <v>0</v>
      </c>
      <c r="W47" s="977">
        <f t="shared" si="11"/>
        <v>0</v>
      </c>
      <c r="X47" s="977">
        <f t="shared" si="12"/>
        <v>0</v>
      </c>
      <c r="Y47" s="977">
        <f t="shared" si="13"/>
        <v>0</v>
      </c>
      <c r="Z47" s="977">
        <f t="shared" si="14"/>
        <v>0</v>
      </c>
      <c r="AA47"/>
      <c r="AB47"/>
      <c r="AC47"/>
      <c r="AD47"/>
      <c r="AE47"/>
    </row>
    <row r="48" spans="1:31" ht="15.75">
      <c r="A48" s="758" t="str">
        <f>'Budget with Assumptions'!A48</f>
        <v>Technology Leases</v>
      </c>
      <c r="B48" s="42"/>
      <c r="C48" s="42"/>
      <c r="D48" s="378">
        <f>'Budget with Assumptions'!J48</f>
        <v>0</v>
      </c>
      <c r="E48" s="956"/>
      <c r="F48" s="378">
        <f>'Budget with Assumptions'!L48</f>
        <v>0</v>
      </c>
      <c r="G48" s="956"/>
      <c r="H48" s="378">
        <f>'Budget with Assumptions'!N48</f>
        <v>0</v>
      </c>
      <c r="I48" s="956"/>
      <c r="J48" s="378">
        <f>'Budget with Assumptions'!P48</f>
        <v>0</v>
      </c>
      <c r="K48" s="957"/>
      <c r="L48" s="378">
        <f>'Budget with Assumptions'!R48</f>
        <v>0</v>
      </c>
      <c r="M48" s="945"/>
      <c r="N48" s="378">
        <f>'Budget with Assumptions'!T48</f>
        <v>0</v>
      </c>
      <c r="O48"/>
      <c r="P48" s="970">
        <f t="shared" si="5"/>
        <v>0</v>
      </c>
      <c r="Q48" s="970">
        <f t="shared" si="6"/>
        <v>0</v>
      </c>
      <c r="R48" s="970">
        <f t="shared" si="7"/>
        <v>0</v>
      </c>
      <c r="S48" s="970">
        <f t="shared" si="8"/>
        <v>0</v>
      </c>
      <c r="T48" s="970">
        <f t="shared" si="9"/>
        <v>0</v>
      </c>
      <c r="U48"/>
      <c r="V48" s="977">
        <f t="shared" si="10"/>
        <v>0</v>
      </c>
      <c r="W48" s="977">
        <f t="shared" si="11"/>
        <v>0</v>
      </c>
      <c r="X48" s="977">
        <f t="shared" si="12"/>
        <v>0</v>
      </c>
      <c r="Y48" s="977">
        <f t="shared" si="13"/>
        <v>0</v>
      </c>
      <c r="Z48" s="977">
        <f t="shared" si="14"/>
        <v>0</v>
      </c>
      <c r="AA48"/>
      <c r="AB48"/>
      <c r="AC48"/>
      <c r="AD48"/>
      <c r="AE48"/>
    </row>
    <row r="49" spans="1:31" ht="15.75">
      <c r="A49" s="758" t="str">
        <f>'Budget with Assumptions'!A49</f>
        <v>Extracurricular Expenses</v>
      </c>
      <c r="B49" s="42"/>
      <c r="C49" s="42"/>
      <c r="D49" s="378">
        <f>'Budget with Assumptions'!J49</f>
        <v>0</v>
      </c>
      <c r="E49" s="956"/>
      <c r="F49" s="378">
        <f>'Budget with Assumptions'!L49</f>
        <v>6250</v>
      </c>
      <c r="G49" s="956"/>
      <c r="H49" s="378">
        <f>'Budget with Assumptions'!N49</f>
        <v>7395</v>
      </c>
      <c r="I49" s="956"/>
      <c r="J49" s="378">
        <f>'Budget with Assumptions'!P49</f>
        <v>8583.3</v>
      </c>
      <c r="K49" s="957"/>
      <c r="L49" s="378">
        <f>'Budget with Assumptions'!R49</f>
        <v>8754.965999999999</v>
      </c>
      <c r="M49" s="945"/>
      <c r="N49" s="378">
        <f>'Budget with Assumptions'!T49</f>
        <v>8930.06532</v>
      </c>
      <c r="O49"/>
      <c r="P49" s="970">
        <f t="shared" si="5"/>
        <v>0.0039123537749631895</v>
      </c>
      <c r="Q49" s="970">
        <f t="shared" si="6"/>
        <v>0.005085255438663715</v>
      </c>
      <c r="R49" s="970">
        <f t="shared" si="7"/>
        <v>0.005413097020973006</v>
      </c>
      <c r="S49" s="970">
        <f t="shared" si="8"/>
        <v>0.005362479552138815</v>
      </c>
      <c r="T49" s="970">
        <f t="shared" si="9"/>
        <v>0.005361653263313651</v>
      </c>
      <c r="U49"/>
      <c r="V49" s="977">
        <f t="shared" si="10"/>
        <v>50</v>
      </c>
      <c r="W49" s="977">
        <f t="shared" si="11"/>
        <v>51</v>
      </c>
      <c r="X49" s="977">
        <f t="shared" si="12"/>
        <v>52.019999999999996</v>
      </c>
      <c r="Y49" s="977">
        <f t="shared" si="13"/>
        <v>53.060399999999994</v>
      </c>
      <c r="Z49" s="977">
        <f t="shared" si="14"/>
        <v>54.121607999999995</v>
      </c>
      <c r="AA49"/>
      <c r="AB49"/>
      <c r="AC49"/>
      <c r="AD49"/>
      <c r="AE49"/>
    </row>
    <row r="50" spans="1:31" ht="15.75">
      <c r="A50" s="758" t="str">
        <f>'Budget with Assumptions'!A50</f>
        <v>Misc. Outside Services (i.e., Consultants, non-employee compensation)</v>
      </c>
      <c r="B50" s="42"/>
      <c r="C50" s="42"/>
      <c r="D50" s="378">
        <f>'Budget with Assumptions'!J50</f>
        <v>0</v>
      </c>
      <c r="E50" s="956"/>
      <c r="F50" s="378">
        <f>'Budget with Assumptions'!L50</f>
        <v>0</v>
      </c>
      <c r="G50" s="956"/>
      <c r="H50" s="378">
        <f>'Budget with Assumptions'!N50</f>
        <v>0</v>
      </c>
      <c r="I50" s="956"/>
      <c r="J50" s="378">
        <f>'Budget with Assumptions'!P50</f>
        <v>0</v>
      </c>
      <c r="K50" s="957"/>
      <c r="L50" s="378">
        <f>'Budget with Assumptions'!R50</f>
        <v>0</v>
      </c>
      <c r="M50" s="945"/>
      <c r="N50" s="378">
        <f>'Budget with Assumptions'!T50</f>
        <v>0</v>
      </c>
      <c r="O50"/>
      <c r="P50" s="970">
        <f t="shared" si="5"/>
        <v>0</v>
      </c>
      <c r="Q50" s="970">
        <f t="shared" si="6"/>
        <v>0</v>
      </c>
      <c r="R50" s="970">
        <f t="shared" si="7"/>
        <v>0</v>
      </c>
      <c r="S50" s="970">
        <f t="shared" si="8"/>
        <v>0</v>
      </c>
      <c r="T50" s="970">
        <f t="shared" si="9"/>
        <v>0</v>
      </c>
      <c r="U50"/>
      <c r="V50" s="977">
        <f t="shared" si="10"/>
        <v>0</v>
      </c>
      <c r="W50" s="977">
        <f t="shared" si="11"/>
        <v>0</v>
      </c>
      <c r="X50" s="977">
        <f t="shared" si="12"/>
        <v>0</v>
      </c>
      <c r="Y50" s="977">
        <f t="shared" si="13"/>
        <v>0</v>
      </c>
      <c r="Z50" s="977">
        <f t="shared" si="14"/>
        <v>0</v>
      </c>
      <c r="AA50"/>
      <c r="AB50"/>
      <c r="AC50"/>
      <c r="AD50"/>
      <c r="AE50"/>
    </row>
    <row r="51" spans="1:31" ht="31.5">
      <c r="A51" s="927" t="str">
        <f>'Budget with Assumptions'!A51</f>
        <v>Special Education Contracted Services (teaching and clinicians) that are 100% reimbursable under CPS's policy</v>
      </c>
      <c r="B51" s="42"/>
      <c r="C51" s="42"/>
      <c r="D51" s="378">
        <f>'Budget with Assumptions'!J51</f>
        <v>0</v>
      </c>
      <c r="E51" s="956"/>
      <c r="F51" s="378">
        <f>'Budget with Assumptions'!L51</f>
        <v>0</v>
      </c>
      <c r="G51" s="956"/>
      <c r="H51" s="378">
        <f>'Budget with Assumptions'!N51</f>
        <v>0</v>
      </c>
      <c r="I51" s="956"/>
      <c r="J51" s="378">
        <f>'Budget with Assumptions'!P51</f>
        <v>0</v>
      </c>
      <c r="K51" s="957"/>
      <c r="L51" s="378">
        <f>'Budget with Assumptions'!R51</f>
        <v>0</v>
      </c>
      <c r="M51" s="945"/>
      <c r="N51" s="378">
        <f>'Budget with Assumptions'!T51</f>
        <v>0</v>
      </c>
      <c r="O51"/>
      <c r="P51" s="970">
        <f t="shared" si="5"/>
        <v>0</v>
      </c>
      <c r="Q51" s="970">
        <f t="shared" si="6"/>
        <v>0</v>
      </c>
      <c r="R51" s="970">
        <f t="shared" si="7"/>
        <v>0</v>
      </c>
      <c r="S51" s="970">
        <f t="shared" si="8"/>
        <v>0</v>
      </c>
      <c r="T51" s="970">
        <f t="shared" si="9"/>
        <v>0</v>
      </c>
      <c r="U51"/>
      <c r="V51" s="977">
        <f t="shared" si="10"/>
        <v>0</v>
      </c>
      <c r="W51" s="977">
        <f t="shared" si="11"/>
        <v>0</v>
      </c>
      <c r="X51" s="977">
        <f t="shared" si="12"/>
        <v>0</v>
      </c>
      <c r="Y51" s="977">
        <f t="shared" si="13"/>
        <v>0</v>
      </c>
      <c r="Z51" s="977">
        <f t="shared" si="14"/>
        <v>0</v>
      </c>
      <c r="AA51"/>
      <c r="AB51"/>
      <c r="AC51"/>
      <c r="AD51"/>
      <c r="AE51"/>
    </row>
    <row r="52" spans="1:31" ht="15.75">
      <c r="A52" s="758" t="str">
        <f>'Budget with Assumptions'!A52</f>
        <v>Special Education Expenses that will NOT be reimbursed by CPS</v>
      </c>
      <c r="B52" s="42"/>
      <c r="C52" s="42"/>
      <c r="D52" s="378">
        <f>'Budget with Assumptions'!J52</f>
        <v>0</v>
      </c>
      <c r="E52" s="956"/>
      <c r="F52" s="378">
        <f>'Budget with Assumptions'!L52</f>
        <v>0</v>
      </c>
      <c r="G52" s="956"/>
      <c r="H52" s="378">
        <f>'Budget with Assumptions'!N52</f>
        <v>0</v>
      </c>
      <c r="I52" s="956"/>
      <c r="J52" s="378">
        <f>'Budget with Assumptions'!P52</f>
        <v>0</v>
      </c>
      <c r="K52" s="957"/>
      <c r="L52" s="378">
        <f>'Budget with Assumptions'!R52</f>
        <v>0</v>
      </c>
      <c r="M52" s="945"/>
      <c r="N52" s="378">
        <f>'Budget with Assumptions'!T52</f>
        <v>0</v>
      </c>
      <c r="O52"/>
      <c r="P52" s="970">
        <f t="shared" si="5"/>
        <v>0</v>
      </c>
      <c r="Q52" s="970">
        <f t="shared" si="6"/>
        <v>0</v>
      </c>
      <c r="R52" s="970">
        <f t="shared" si="7"/>
        <v>0</v>
      </c>
      <c r="S52" s="970">
        <f t="shared" si="8"/>
        <v>0</v>
      </c>
      <c r="T52" s="970">
        <f t="shared" si="9"/>
        <v>0</v>
      </c>
      <c r="U52"/>
      <c r="V52" s="977">
        <f t="shared" si="10"/>
        <v>0</v>
      </c>
      <c r="W52" s="977">
        <f t="shared" si="11"/>
        <v>0</v>
      </c>
      <c r="X52" s="977">
        <f t="shared" si="12"/>
        <v>0</v>
      </c>
      <c r="Y52" s="977">
        <f t="shared" si="13"/>
        <v>0</v>
      </c>
      <c r="Z52" s="977">
        <f t="shared" si="14"/>
        <v>0</v>
      </c>
      <c r="AA52"/>
      <c r="AB52"/>
      <c r="AC52"/>
      <c r="AD52"/>
      <c r="AE52"/>
    </row>
    <row r="53" spans="1:31" ht="15.75">
      <c r="A53" s="758" t="str">
        <f>'Budget with Assumptions'!A53</f>
        <v>Contracted Substitute Teachers</v>
      </c>
      <c r="B53" s="42"/>
      <c r="C53" s="42"/>
      <c r="D53" s="378">
        <f>'Budget with Assumptions'!J53</f>
        <v>0</v>
      </c>
      <c r="E53" s="956"/>
      <c r="F53" s="378">
        <f>'Budget with Assumptions'!L53</f>
        <v>0</v>
      </c>
      <c r="G53" s="956"/>
      <c r="H53" s="378">
        <f>'Budget with Assumptions'!N53</f>
        <v>0</v>
      </c>
      <c r="I53" s="956"/>
      <c r="J53" s="378">
        <f>'Budget with Assumptions'!P53</f>
        <v>0</v>
      </c>
      <c r="K53" s="957"/>
      <c r="L53" s="378">
        <f>'Budget with Assumptions'!R53</f>
        <v>0</v>
      </c>
      <c r="M53" s="945"/>
      <c r="N53" s="378">
        <f>'Budget with Assumptions'!T53</f>
        <v>0</v>
      </c>
      <c r="O53"/>
      <c r="P53" s="970">
        <f t="shared" si="5"/>
        <v>0</v>
      </c>
      <c r="Q53" s="970">
        <f t="shared" si="6"/>
        <v>0</v>
      </c>
      <c r="R53" s="970">
        <f t="shared" si="7"/>
        <v>0</v>
      </c>
      <c r="S53" s="970">
        <f t="shared" si="8"/>
        <v>0</v>
      </c>
      <c r="T53" s="970">
        <f t="shared" si="9"/>
        <v>0</v>
      </c>
      <c r="U53"/>
      <c r="V53" s="977">
        <f t="shared" si="10"/>
        <v>0</v>
      </c>
      <c r="W53" s="977">
        <f t="shared" si="11"/>
        <v>0</v>
      </c>
      <c r="X53" s="977">
        <f t="shared" si="12"/>
        <v>0</v>
      </c>
      <c r="Y53" s="977">
        <f t="shared" si="13"/>
        <v>0</v>
      </c>
      <c r="Z53" s="977">
        <f t="shared" si="14"/>
        <v>0</v>
      </c>
      <c r="AA53"/>
      <c r="AB53"/>
      <c r="AC53"/>
      <c r="AD53"/>
      <c r="AE53"/>
    </row>
    <row r="54" spans="1:31" ht="15.75">
      <c r="A54" s="758" t="str">
        <f>'Budget with Assumptions'!A54</f>
        <v>Dual Enrollment</v>
      </c>
      <c r="B54" s="42"/>
      <c r="C54" s="42"/>
      <c r="D54" s="378">
        <f>'Budget with Assumptions'!J54</f>
        <v>0</v>
      </c>
      <c r="E54" s="956"/>
      <c r="F54" s="378">
        <f>'Budget with Assumptions'!L54</f>
        <v>75000</v>
      </c>
      <c r="G54" s="956"/>
      <c r="H54" s="378">
        <f>'Budget with Assumptions'!N54</f>
        <v>150000</v>
      </c>
      <c r="I54" s="956"/>
      <c r="J54" s="378">
        <f>'Budget with Assumptions'!P54</f>
        <v>207000</v>
      </c>
      <c r="K54" s="957"/>
      <c r="L54" s="378">
        <f>'Budget with Assumptions'!R54</f>
        <v>238000</v>
      </c>
      <c r="M54" s="945"/>
      <c r="N54" s="378">
        <f>'Budget with Assumptions'!T54</f>
        <v>249000</v>
      </c>
      <c r="O54"/>
      <c r="P54" s="970">
        <f t="shared" si="5"/>
        <v>0.046948245299558274</v>
      </c>
      <c r="Q54" s="970">
        <f t="shared" si="6"/>
        <v>0.10314919753881775</v>
      </c>
      <c r="R54" s="970">
        <f t="shared" si="7"/>
        <v>0.13054548755623271</v>
      </c>
      <c r="S54" s="970">
        <f t="shared" si="8"/>
        <v>0.14577670928808156</v>
      </c>
      <c r="T54" s="970">
        <f t="shared" si="9"/>
        <v>0.14950077235998308</v>
      </c>
      <c r="U54"/>
      <c r="V54" s="977">
        <f t="shared" si="10"/>
        <v>600</v>
      </c>
      <c r="W54" s="977">
        <f t="shared" si="11"/>
        <v>1034.4827586206898</v>
      </c>
      <c r="X54" s="977">
        <f t="shared" si="12"/>
        <v>1254.5454545454545</v>
      </c>
      <c r="Y54" s="977">
        <f t="shared" si="13"/>
        <v>1442.4242424242425</v>
      </c>
      <c r="Z54" s="977">
        <f t="shared" si="14"/>
        <v>1509.090909090909</v>
      </c>
      <c r="AA54"/>
      <c r="AB54"/>
      <c r="AC54"/>
      <c r="AD54"/>
      <c r="AE54"/>
    </row>
    <row r="55" spans="1:31" ht="15.75">
      <c r="A55" s="758">
        <f>'Budget with Assumptions'!A55</f>
        <v>0</v>
      </c>
      <c r="B55" s="42"/>
      <c r="C55" s="42"/>
      <c r="D55" s="378">
        <f>'Budget with Assumptions'!J55</f>
        <v>0</v>
      </c>
      <c r="E55" s="956"/>
      <c r="F55" s="378">
        <f>'Budget with Assumptions'!L55</f>
        <v>0</v>
      </c>
      <c r="G55" s="956"/>
      <c r="H55" s="378">
        <f>'Budget with Assumptions'!N55</f>
        <v>0</v>
      </c>
      <c r="I55" s="956"/>
      <c r="J55" s="378">
        <f>'Budget with Assumptions'!P55</f>
        <v>0</v>
      </c>
      <c r="K55" s="957"/>
      <c r="L55" s="378">
        <f>'Budget with Assumptions'!R55</f>
        <v>0</v>
      </c>
      <c r="M55" s="945"/>
      <c r="N55" s="378">
        <f>'Budget with Assumptions'!T55</f>
        <v>0</v>
      </c>
      <c r="O55"/>
      <c r="P55" s="970">
        <f t="shared" si="5"/>
        <v>0</v>
      </c>
      <c r="Q55" s="970">
        <f t="shared" si="6"/>
        <v>0</v>
      </c>
      <c r="R55" s="970">
        <f t="shared" si="7"/>
        <v>0</v>
      </c>
      <c r="S55" s="970">
        <f t="shared" si="8"/>
        <v>0</v>
      </c>
      <c r="T55" s="970">
        <f t="shared" si="9"/>
        <v>0</v>
      </c>
      <c r="U55"/>
      <c r="V55" s="977">
        <f t="shared" si="10"/>
        <v>0</v>
      </c>
      <c r="W55" s="977">
        <f t="shared" si="11"/>
        <v>0</v>
      </c>
      <c r="X55" s="977">
        <f t="shared" si="12"/>
        <v>0</v>
      </c>
      <c r="Y55" s="977">
        <f t="shared" si="13"/>
        <v>0</v>
      </c>
      <c r="Z55" s="977">
        <f t="shared" si="14"/>
        <v>0</v>
      </c>
      <c r="AA55"/>
      <c r="AB55"/>
      <c r="AC55"/>
      <c r="AD55"/>
      <c r="AE55"/>
    </row>
    <row r="56" spans="1:31" ht="15.75">
      <c r="A56" s="758">
        <f>'Budget with Assumptions'!A56</f>
        <v>0</v>
      </c>
      <c r="B56" s="42"/>
      <c r="C56" s="42"/>
      <c r="D56" s="378">
        <f>'Budget with Assumptions'!J56</f>
        <v>0</v>
      </c>
      <c r="E56" s="956"/>
      <c r="F56" s="378">
        <f>'Budget with Assumptions'!L56</f>
        <v>0</v>
      </c>
      <c r="G56" s="956"/>
      <c r="H56" s="378">
        <f>'Budget with Assumptions'!N56</f>
        <v>0</v>
      </c>
      <c r="I56" s="956"/>
      <c r="J56" s="378">
        <f>'Budget with Assumptions'!P56</f>
        <v>0</v>
      </c>
      <c r="K56" s="957"/>
      <c r="L56" s="378">
        <f>'Budget with Assumptions'!R56</f>
        <v>0</v>
      </c>
      <c r="M56" s="945"/>
      <c r="N56" s="378">
        <f>'Budget with Assumptions'!T56</f>
        <v>0</v>
      </c>
      <c r="O56"/>
      <c r="P56" s="970">
        <f t="shared" si="5"/>
        <v>0</v>
      </c>
      <c r="Q56" s="970">
        <f t="shared" si="6"/>
        <v>0</v>
      </c>
      <c r="R56" s="970">
        <f t="shared" si="7"/>
        <v>0</v>
      </c>
      <c r="S56" s="970">
        <f t="shared" si="8"/>
        <v>0</v>
      </c>
      <c r="T56" s="970">
        <f t="shared" si="9"/>
        <v>0</v>
      </c>
      <c r="U56"/>
      <c r="V56" s="977">
        <f t="shared" si="10"/>
        <v>0</v>
      </c>
      <c r="W56" s="977">
        <f t="shared" si="11"/>
        <v>0</v>
      </c>
      <c r="X56" s="977">
        <f t="shared" si="12"/>
        <v>0</v>
      </c>
      <c r="Y56" s="977">
        <f t="shared" si="13"/>
        <v>0</v>
      </c>
      <c r="Z56" s="977">
        <f t="shared" si="14"/>
        <v>0</v>
      </c>
      <c r="AA56"/>
      <c r="AB56"/>
      <c r="AC56"/>
      <c r="AD56"/>
      <c r="AE56"/>
    </row>
    <row r="57" spans="1:31" ht="15.75">
      <c r="A57" s="758">
        <f>'Budget with Assumptions'!A57</f>
        <v>0</v>
      </c>
      <c r="B57" s="42"/>
      <c r="C57" s="42"/>
      <c r="D57" s="378">
        <f>'Budget with Assumptions'!J57</f>
        <v>0</v>
      </c>
      <c r="E57" s="956"/>
      <c r="F57" s="378">
        <f>'Budget with Assumptions'!L57</f>
        <v>0</v>
      </c>
      <c r="G57" s="956"/>
      <c r="H57" s="378">
        <f>'Budget with Assumptions'!N57</f>
        <v>0</v>
      </c>
      <c r="I57" s="956"/>
      <c r="J57" s="378">
        <f>'Budget with Assumptions'!P57</f>
        <v>0</v>
      </c>
      <c r="K57" s="957"/>
      <c r="L57" s="378">
        <f>'Budget with Assumptions'!R57</f>
        <v>0</v>
      </c>
      <c r="M57" s="945"/>
      <c r="N57" s="378">
        <f>'Budget with Assumptions'!T57</f>
        <v>0</v>
      </c>
      <c r="O57"/>
      <c r="P57" s="970">
        <f t="shared" si="5"/>
        <v>0</v>
      </c>
      <c r="Q57" s="970">
        <f t="shared" si="6"/>
        <v>0</v>
      </c>
      <c r="R57" s="970">
        <f t="shared" si="7"/>
        <v>0</v>
      </c>
      <c r="S57" s="970">
        <f t="shared" si="8"/>
        <v>0</v>
      </c>
      <c r="T57" s="970">
        <f t="shared" si="9"/>
        <v>0</v>
      </c>
      <c r="U57"/>
      <c r="V57" s="977">
        <f t="shared" si="10"/>
        <v>0</v>
      </c>
      <c r="W57" s="977">
        <f t="shared" si="11"/>
        <v>0</v>
      </c>
      <c r="X57" s="977">
        <f t="shared" si="12"/>
        <v>0</v>
      </c>
      <c r="Y57" s="977">
        <f t="shared" si="13"/>
        <v>0</v>
      </c>
      <c r="Z57" s="977">
        <f t="shared" si="14"/>
        <v>0</v>
      </c>
      <c r="AA57"/>
      <c r="AB57"/>
      <c r="AC57"/>
      <c r="AD57"/>
      <c r="AE57"/>
    </row>
    <row r="58" spans="1:31" ht="15.75">
      <c r="A58" s="758">
        <f>'Budget with Assumptions'!A58</f>
        <v>0</v>
      </c>
      <c r="B58" s="42"/>
      <c r="C58" s="42"/>
      <c r="D58" s="378">
        <f>'Budget with Assumptions'!J58</f>
        <v>0</v>
      </c>
      <c r="E58" s="956"/>
      <c r="F58" s="378">
        <f>'Budget with Assumptions'!L58</f>
        <v>0</v>
      </c>
      <c r="G58" s="956"/>
      <c r="H58" s="378">
        <f>'Budget with Assumptions'!N58</f>
        <v>0</v>
      </c>
      <c r="I58" s="956"/>
      <c r="J58" s="378">
        <f>'Budget with Assumptions'!P58</f>
        <v>0</v>
      </c>
      <c r="K58" s="957"/>
      <c r="L58" s="378">
        <f>'Budget with Assumptions'!R58</f>
        <v>0</v>
      </c>
      <c r="M58" s="945"/>
      <c r="N58" s="378">
        <f>'Budget with Assumptions'!T58</f>
        <v>0</v>
      </c>
      <c r="O58"/>
      <c r="P58" s="970">
        <f t="shared" si="5"/>
        <v>0</v>
      </c>
      <c r="Q58" s="970">
        <f t="shared" si="6"/>
        <v>0</v>
      </c>
      <c r="R58" s="970">
        <f t="shared" si="7"/>
        <v>0</v>
      </c>
      <c r="S58" s="970">
        <f t="shared" si="8"/>
        <v>0</v>
      </c>
      <c r="T58" s="970">
        <f t="shared" si="9"/>
        <v>0</v>
      </c>
      <c r="U58"/>
      <c r="V58" s="977">
        <f t="shared" si="10"/>
        <v>0</v>
      </c>
      <c r="W58" s="977">
        <f t="shared" si="11"/>
        <v>0</v>
      </c>
      <c r="X58" s="977">
        <f t="shared" si="12"/>
        <v>0</v>
      </c>
      <c r="Y58" s="977">
        <f t="shared" si="13"/>
        <v>0</v>
      </c>
      <c r="Z58" s="977">
        <f t="shared" si="14"/>
        <v>0</v>
      </c>
      <c r="AA58"/>
      <c r="AB58"/>
      <c r="AC58"/>
      <c r="AD58"/>
      <c r="AE58"/>
    </row>
    <row r="59" spans="1:31" ht="15.75">
      <c r="A59" s="758">
        <f>'Budget with Assumptions'!A59</f>
        <v>0</v>
      </c>
      <c r="B59" s="42"/>
      <c r="C59" s="42"/>
      <c r="D59" s="378">
        <f>'Budget with Assumptions'!J59</f>
        <v>0</v>
      </c>
      <c r="E59" s="956"/>
      <c r="F59" s="378">
        <f>'Budget with Assumptions'!L59</f>
        <v>0</v>
      </c>
      <c r="G59" s="956"/>
      <c r="H59" s="378">
        <f>'Budget with Assumptions'!N59</f>
        <v>0</v>
      </c>
      <c r="I59" s="956"/>
      <c r="J59" s="378">
        <f>'Budget with Assumptions'!P59</f>
        <v>0</v>
      </c>
      <c r="K59" s="957"/>
      <c r="L59" s="378">
        <f>'Budget with Assumptions'!R59</f>
        <v>0</v>
      </c>
      <c r="M59" s="945"/>
      <c r="N59" s="378">
        <f>'Budget with Assumptions'!T59</f>
        <v>0</v>
      </c>
      <c r="O59"/>
      <c r="P59" s="970">
        <f t="shared" si="5"/>
        <v>0</v>
      </c>
      <c r="Q59" s="970">
        <f t="shared" si="6"/>
        <v>0</v>
      </c>
      <c r="R59" s="970">
        <f t="shared" si="7"/>
        <v>0</v>
      </c>
      <c r="S59" s="970">
        <f t="shared" si="8"/>
        <v>0</v>
      </c>
      <c r="T59" s="970">
        <f t="shared" si="9"/>
        <v>0</v>
      </c>
      <c r="U59"/>
      <c r="V59" s="977">
        <f t="shared" si="10"/>
        <v>0</v>
      </c>
      <c r="W59" s="977">
        <f t="shared" si="11"/>
        <v>0</v>
      </c>
      <c r="X59" s="977">
        <f t="shared" si="12"/>
        <v>0</v>
      </c>
      <c r="Y59" s="977">
        <f t="shared" si="13"/>
        <v>0</v>
      </c>
      <c r="Z59" s="977">
        <f t="shared" si="14"/>
        <v>0</v>
      </c>
      <c r="AA59"/>
      <c r="AB59"/>
      <c r="AC59"/>
      <c r="AD59"/>
      <c r="AE59"/>
    </row>
    <row r="60" spans="1:31" ht="15.75">
      <c r="A60" s="758">
        <f>'Budget with Assumptions'!A60</f>
        <v>0</v>
      </c>
      <c r="B60" s="42"/>
      <c r="C60" s="42"/>
      <c r="D60" s="378">
        <f>'Budget with Assumptions'!J60</f>
        <v>0</v>
      </c>
      <c r="E60" s="956"/>
      <c r="F60" s="378">
        <f>'Budget with Assumptions'!L60</f>
        <v>0</v>
      </c>
      <c r="G60" s="956"/>
      <c r="H60" s="378">
        <f>'Budget with Assumptions'!N60</f>
        <v>0</v>
      </c>
      <c r="I60" s="956"/>
      <c r="J60" s="378">
        <f>'Budget with Assumptions'!P60</f>
        <v>0</v>
      </c>
      <c r="K60" s="957"/>
      <c r="L60" s="378">
        <f>'Budget with Assumptions'!R60</f>
        <v>0</v>
      </c>
      <c r="M60" s="945"/>
      <c r="N60" s="378">
        <f>'Budget with Assumptions'!T60</f>
        <v>0</v>
      </c>
      <c r="O60"/>
      <c r="P60" s="970">
        <f t="shared" si="5"/>
        <v>0</v>
      </c>
      <c r="Q60" s="970">
        <f t="shared" si="6"/>
        <v>0</v>
      </c>
      <c r="R60" s="970">
        <f t="shared" si="7"/>
        <v>0</v>
      </c>
      <c r="S60" s="970">
        <f t="shared" si="8"/>
        <v>0</v>
      </c>
      <c r="T60" s="970">
        <f t="shared" si="9"/>
        <v>0</v>
      </c>
      <c r="U60"/>
      <c r="V60" s="977">
        <f t="shared" si="10"/>
        <v>0</v>
      </c>
      <c r="W60" s="977">
        <f t="shared" si="11"/>
        <v>0</v>
      </c>
      <c r="X60" s="977">
        <f t="shared" si="12"/>
        <v>0</v>
      </c>
      <c r="Y60" s="977">
        <f t="shared" si="13"/>
        <v>0</v>
      </c>
      <c r="Z60" s="977">
        <f t="shared" si="14"/>
        <v>0</v>
      </c>
      <c r="AA60"/>
      <c r="AB60"/>
      <c r="AC60"/>
      <c r="AD60"/>
      <c r="AE60"/>
    </row>
    <row r="61" spans="1:31" ht="15.75">
      <c r="A61" s="758">
        <f>'Budget with Assumptions'!A61</f>
        <v>0</v>
      </c>
      <c r="B61" s="42"/>
      <c r="C61" s="42"/>
      <c r="D61" s="378">
        <f>'Budget with Assumptions'!J61</f>
        <v>0</v>
      </c>
      <c r="E61" s="956"/>
      <c r="F61" s="378">
        <f>'Budget with Assumptions'!L61</f>
        <v>0</v>
      </c>
      <c r="G61" s="956"/>
      <c r="H61" s="378">
        <f>'Budget with Assumptions'!N61</f>
        <v>0</v>
      </c>
      <c r="I61" s="956"/>
      <c r="J61" s="378">
        <f>'Budget with Assumptions'!P61</f>
        <v>0</v>
      </c>
      <c r="K61" s="957"/>
      <c r="L61" s="378">
        <f>'Budget with Assumptions'!R61</f>
        <v>0</v>
      </c>
      <c r="M61" s="945"/>
      <c r="N61" s="378">
        <f>'Budget with Assumptions'!T61</f>
        <v>0</v>
      </c>
      <c r="O61"/>
      <c r="P61" s="970">
        <f t="shared" si="5"/>
        <v>0</v>
      </c>
      <c r="Q61" s="970">
        <f t="shared" si="6"/>
        <v>0</v>
      </c>
      <c r="R61" s="970">
        <f t="shared" si="7"/>
        <v>0</v>
      </c>
      <c r="S61" s="970">
        <f t="shared" si="8"/>
        <v>0</v>
      </c>
      <c r="T61" s="970">
        <f t="shared" si="9"/>
        <v>0</v>
      </c>
      <c r="U61"/>
      <c r="V61" s="977">
        <f t="shared" si="10"/>
        <v>0</v>
      </c>
      <c r="W61" s="977">
        <f t="shared" si="11"/>
        <v>0</v>
      </c>
      <c r="X61" s="977">
        <f t="shared" si="12"/>
        <v>0</v>
      </c>
      <c r="Y61" s="977">
        <f t="shared" si="13"/>
        <v>0</v>
      </c>
      <c r="Z61" s="977">
        <f t="shared" si="14"/>
        <v>0</v>
      </c>
      <c r="AA61"/>
      <c r="AB61"/>
      <c r="AC61"/>
      <c r="AD61"/>
      <c r="AE61"/>
    </row>
    <row r="62" spans="1:31" ht="15.75">
      <c r="A62" s="758">
        <f>'Budget with Assumptions'!A62</f>
        <v>0</v>
      </c>
      <c r="B62" s="42"/>
      <c r="C62" s="42"/>
      <c r="D62" s="378">
        <f>'Budget with Assumptions'!J62</f>
        <v>0</v>
      </c>
      <c r="E62" s="956"/>
      <c r="F62" s="378">
        <f>'Budget with Assumptions'!L62</f>
        <v>0</v>
      </c>
      <c r="G62" s="956"/>
      <c r="H62" s="378">
        <f>'Budget with Assumptions'!N62</f>
        <v>0</v>
      </c>
      <c r="I62" s="956"/>
      <c r="J62" s="378">
        <f>'Budget with Assumptions'!P62</f>
        <v>0</v>
      </c>
      <c r="K62" s="957"/>
      <c r="L62" s="378">
        <f>'Budget with Assumptions'!R62</f>
        <v>0</v>
      </c>
      <c r="M62" s="945"/>
      <c r="N62" s="378">
        <f>'Budget with Assumptions'!T62</f>
        <v>0</v>
      </c>
      <c r="O62"/>
      <c r="P62" s="970">
        <f t="shared" si="5"/>
        <v>0</v>
      </c>
      <c r="Q62" s="970">
        <f t="shared" si="6"/>
        <v>0</v>
      </c>
      <c r="R62" s="970">
        <f t="shared" si="7"/>
        <v>0</v>
      </c>
      <c r="S62" s="970">
        <f t="shared" si="8"/>
        <v>0</v>
      </c>
      <c r="T62" s="970">
        <f t="shared" si="9"/>
        <v>0</v>
      </c>
      <c r="U62"/>
      <c r="V62" s="977">
        <f t="shared" si="10"/>
        <v>0</v>
      </c>
      <c r="W62" s="977">
        <f t="shared" si="11"/>
        <v>0</v>
      </c>
      <c r="X62" s="977">
        <f t="shared" si="12"/>
        <v>0</v>
      </c>
      <c r="Y62" s="977">
        <f t="shared" si="13"/>
        <v>0</v>
      </c>
      <c r="Z62" s="977">
        <f t="shared" si="14"/>
        <v>0</v>
      </c>
      <c r="AA62"/>
      <c r="AB62"/>
      <c r="AC62"/>
      <c r="AD62"/>
      <c r="AE62"/>
    </row>
    <row r="63" spans="1:31" ht="16.5" thickBot="1">
      <c r="A63" s="40"/>
      <c r="B63" s="42"/>
      <c r="C63" s="42"/>
      <c r="D63" s="792"/>
      <c r="E63" s="792"/>
      <c r="F63" s="792"/>
      <c r="G63" s="792"/>
      <c r="H63" s="792"/>
      <c r="I63" s="792"/>
      <c r="J63" s="792"/>
      <c r="K63" s="931"/>
      <c r="L63" s="792"/>
      <c r="M63" s="931"/>
      <c r="N63" s="792"/>
      <c r="P63" s="972"/>
      <c r="Q63" s="972"/>
      <c r="R63" s="972"/>
      <c r="S63" s="972"/>
      <c r="T63" s="972"/>
      <c r="V63" s="792"/>
      <c r="W63" s="792"/>
      <c r="X63" s="792"/>
      <c r="Y63" s="792"/>
      <c r="Z63" s="792"/>
      <c r="AA63"/>
      <c r="AB63"/>
      <c r="AC63"/>
      <c r="AD63"/>
      <c r="AE63"/>
    </row>
    <row r="64" spans="1:31" ht="16.5" thickBot="1">
      <c r="A64" s="928" t="str">
        <f>'Budget with Assumptions'!H64</f>
        <v>Total Direct Student Costs</v>
      </c>
      <c r="B64" s="42"/>
      <c r="C64" s="42"/>
      <c r="D64" s="508">
        <f>SUM(D40:D62)</f>
        <v>14125</v>
      </c>
      <c r="E64" s="374"/>
      <c r="F64" s="508">
        <f>SUM(F40:F62)</f>
        <v>207475</v>
      </c>
      <c r="G64" s="374"/>
      <c r="H64" s="508">
        <f>SUM(H40:H62)</f>
        <v>268183.5</v>
      </c>
      <c r="I64" s="374"/>
      <c r="J64" s="508">
        <f>SUM(J40:J62)</f>
        <v>335358.09</v>
      </c>
      <c r="K64" s="375"/>
      <c r="L64" s="508">
        <f>SUM(L40:L62)</f>
        <v>362611.25179999997</v>
      </c>
      <c r="M64" s="930"/>
      <c r="N64" s="508">
        <f>SUM(N40:N62)</f>
        <v>374889.476836</v>
      </c>
      <c r="O64"/>
      <c r="P64" s="973">
        <f>SUM(P40:P62)</f>
        <v>0.12987449591367803</v>
      </c>
      <c r="Q64" s="973">
        <f>SUM(Q40:Q62)</f>
        <v>0.18441941878767687</v>
      </c>
      <c r="R64" s="973">
        <f>SUM(R40:R62)</f>
        <v>0.21149509838153127</v>
      </c>
      <c r="S64" s="973">
        <f>SUM(S40:S62)</f>
        <v>0.22210199595897454</v>
      </c>
      <c r="T64" s="973">
        <f>SUM(T40:T62)</f>
        <v>0.22508540697434531</v>
      </c>
      <c r="U64"/>
      <c r="V64" s="978">
        <f>SUM(V40:V62)</f>
        <v>1659.8</v>
      </c>
      <c r="W64" s="978">
        <f>SUM(W40:W62)</f>
        <v>1849.5413793103448</v>
      </c>
      <c r="X64" s="978">
        <f>SUM(X40:X62)</f>
        <v>2032.4732727272726</v>
      </c>
      <c r="Y64" s="978">
        <f>SUM(Y40:Y62)</f>
        <v>2197.64395030303</v>
      </c>
      <c r="Z64" s="978">
        <f>SUM(Z40:Z62)</f>
        <v>2272.057435369697</v>
      </c>
      <c r="AA64"/>
      <c r="AB64"/>
      <c r="AC64"/>
      <c r="AD64"/>
      <c r="AE64"/>
    </row>
    <row r="65" spans="1:31" ht="15.75">
      <c r="A65" s="49"/>
      <c r="B65" s="38"/>
      <c r="C65" s="38"/>
      <c r="D65" s="792"/>
      <c r="E65" s="792"/>
      <c r="F65" s="792"/>
      <c r="G65" s="792"/>
      <c r="H65" s="792"/>
      <c r="I65" s="792"/>
      <c r="J65" s="792"/>
      <c r="K65" s="931"/>
      <c r="L65" s="792"/>
      <c r="M65" s="931"/>
      <c r="N65" s="792"/>
      <c r="P65" s="972"/>
      <c r="Q65" s="972"/>
      <c r="R65" s="972"/>
      <c r="S65" s="972"/>
      <c r="T65" s="972"/>
      <c r="V65" s="792"/>
      <c r="W65" s="792"/>
      <c r="X65" s="792"/>
      <c r="Y65" s="792"/>
      <c r="Z65" s="792"/>
      <c r="AA65"/>
      <c r="AB65"/>
      <c r="AC65"/>
      <c r="AD65"/>
      <c r="AE65"/>
    </row>
    <row r="66" spans="1:31" ht="15.75">
      <c r="A66" s="49"/>
      <c r="B66" s="38"/>
      <c r="C66" s="38"/>
      <c r="D66" s="958"/>
      <c r="E66" s="959"/>
      <c r="F66" s="958"/>
      <c r="G66" s="959"/>
      <c r="H66" s="958"/>
      <c r="I66" s="959"/>
      <c r="J66" s="958"/>
      <c r="K66" s="375"/>
      <c r="L66" s="958"/>
      <c r="M66" s="930"/>
      <c r="N66" s="958"/>
      <c r="O66" s="350"/>
      <c r="P66" s="974"/>
      <c r="Q66" s="974"/>
      <c r="R66" s="974"/>
      <c r="S66" s="974"/>
      <c r="T66" s="974"/>
      <c r="U66" s="350"/>
      <c r="V66" s="979"/>
      <c r="W66" s="979"/>
      <c r="X66" s="979"/>
      <c r="Y66" s="979"/>
      <c r="Z66" s="979"/>
      <c r="AA66" s="350"/>
      <c r="AB66" s="350"/>
      <c r="AC66"/>
      <c r="AD66"/>
      <c r="AE66"/>
    </row>
    <row r="67" spans="1:31" ht="16.5" thickBot="1">
      <c r="A67" s="49"/>
      <c r="B67" s="50"/>
      <c r="C67" s="50"/>
      <c r="D67" s="957"/>
      <c r="E67" s="960"/>
      <c r="F67" s="957"/>
      <c r="G67" s="960"/>
      <c r="H67" s="957"/>
      <c r="I67" s="960"/>
      <c r="J67" s="957"/>
      <c r="K67" s="957"/>
      <c r="L67" s="961"/>
      <c r="M67" s="945"/>
      <c r="N67" s="961"/>
      <c r="O67" s="350"/>
      <c r="P67" s="975"/>
      <c r="Q67" s="975"/>
      <c r="R67" s="975"/>
      <c r="S67" s="975"/>
      <c r="T67" s="975"/>
      <c r="U67" s="350"/>
      <c r="V67" s="931"/>
      <c r="W67" s="931"/>
      <c r="X67" s="931"/>
      <c r="Y67" s="931"/>
      <c r="Z67" s="931"/>
      <c r="AA67" s="350"/>
      <c r="AB67" s="350"/>
      <c r="AC67"/>
      <c r="AD67"/>
      <c r="AE67"/>
    </row>
    <row r="68" spans="1:31" ht="18.75" thickBot="1">
      <c r="A68" s="749" t="s">
        <v>197</v>
      </c>
      <c r="B68" s="50"/>
      <c r="C68" s="50"/>
      <c r="D68" s="962"/>
      <c r="E68" s="956"/>
      <c r="F68" s="962"/>
      <c r="G68" s="956"/>
      <c r="H68" s="962"/>
      <c r="I68" s="956"/>
      <c r="J68" s="962"/>
      <c r="K68" s="957"/>
      <c r="L68" s="68"/>
      <c r="M68" s="945"/>
      <c r="N68" s="68"/>
      <c r="O68"/>
      <c r="P68" s="972"/>
      <c r="Q68" s="972"/>
      <c r="R68" s="972"/>
      <c r="S68" s="972"/>
      <c r="T68" s="972"/>
      <c r="U68"/>
      <c r="V68" s="792"/>
      <c r="W68" s="792"/>
      <c r="X68" s="792"/>
      <c r="Y68" s="792"/>
      <c r="Z68" s="792"/>
      <c r="AA68"/>
      <c r="AB68"/>
      <c r="AC68"/>
      <c r="AD68"/>
      <c r="AE68"/>
    </row>
    <row r="69" spans="1:31" ht="15.75">
      <c r="A69" s="758" t="str">
        <f>'Budget with Assumptions'!A69</f>
        <v>Salaries</v>
      </c>
      <c r="B69" s="38"/>
      <c r="C69" s="38"/>
      <c r="D69" s="378">
        <f>'Budget with Assumptions'!J69</f>
        <v>30000</v>
      </c>
      <c r="E69" s="956"/>
      <c r="F69" s="378">
        <f>'Budget with Assumptions'!L69</f>
        <v>451250</v>
      </c>
      <c r="G69" s="960"/>
      <c r="H69" s="378">
        <f>'Budget with Assumptions'!N69</f>
        <v>485775</v>
      </c>
      <c r="I69" s="960"/>
      <c r="J69" s="378">
        <f>'Budget with Assumptions'!P69</f>
        <v>521500.5</v>
      </c>
      <c r="K69" s="957"/>
      <c r="L69" s="378">
        <f>'Budget with Assumptions'!R69</f>
        <v>531930.5099999999</v>
      </c>
      <c r="M69" s="945"/>
      <c r="N69" s="378">
        <f>'Budget with Assumptions'!T69</f>
        <v>542569.1202</v>
      </c>
      <c r="O69"/>
      <c r="P69" s="971">
        <f aca="true" t="shared" si="15" ref="P69:P90">F69/$F$159</f>
        <v>0.28247194255234226</v>
      </c>
      <c r="Q69" s="971">
        <f aca="true" t="shared" si="16" ref="Q69:Q90">H69/$H$159</f>
        <v>0.33404867622946127</v>
      </c>
      <c r="R69" s="971">
        <f aca="true" t="shared" si="17" ref="R69:R90">J69/$J$159</f>
        <v>0.3288866523348751</v>
      </c>
      <c r="S69" s="971">
        <f aca="true" t="shared" si="18" ref="S69:S90">L69/$L$159</f>
        <v>0.325811257637525</v>
      </c>
      <c r="T69" s="971">
        <f aca="true" t="shared" si="19" ref="T69:T90">N69/$N$159</f>
        <v>0.3257610543316325</v>
      </c>
      <c r="U69"/>
      <c r="V69" s="980">
        <f>F69/$F$178</f>
        <v>3610</v>
      </c>
      <c r="W69" s="980">
        <f>H69/$H$178</f>
        <v>3350.1724137931033</v>
      </c>
      <c r="X69" s="980">
        <f>J69/$J$178</f>
        <v>3160.609090909091</v>
      </c>
      <c r="Y69" s="980">
        <f>L69/$L$178</f>
        <v>3223.821272727272</v>
      </c>
      <c r="Z69" s="980">
        <f>N69/$N$178</f>
        <v>3288.2976981818183</v>
      </c>
      <c r="AA69"/>
      <c r="AB69"/>
      <c r="AC69"/>
      <c r="AD69"/>
      <c r="AE69"/>
    </row>
    <row r="70" spans="1:31" ht="15.75">
      <c r="A70" s="758" t="str">
        <f>'Budget with Assumptions'!A70</f>
        <v>School's Share of Employer Contribution (normal cost) to the CTPF</v>
      </c>
      <c r="B70" s="52"/>
      <c r="C70" s="52"/>
      <c r="D70" s="378">
        <f>'Budget with Assumptions'!J70</f>
        <v>0</v>
      </c>
      <c r="E70" s="956"/>
      <c r="F70" s="378">
        <f>'Budget with Assumptions'!L70</f>
        <v>22260</v>
      </c>
      <c r="G70" s="960"/>
      <c r="H70" s="378">
        <f>'Budget with Assumptions'!N70</f>
        <v>25408.2</v>
      </c>
      <c r="I70" s="960"/>
      <c r="J70" s="378">
        <f>'Budget with Assumptions'!P70</f>
        <v>28673.424</v>
      </c>
      <c r="K70" s="957"/>
      <c r="L70" s="378">
        <f>'Budget with Assumptions'!R70</f>
        <v>29246.892479999995</v>
      </c>
      <c r="M70" s="945"/>
      <c r="N70" s="378">
        <f>'Budget with Assumptions'!T70</f>
        <v>29831.830329599994</v>
      </c>
      <c r="O70"/>
      <c r="P70" s="971">
        <f t="shared" si="15"/>
        <v>0.013934239204908895</v>
      </c>
      <c r="Q70" s="971">
        <f t="shared" si="16"/>
        <v>0.017472236272705263</v>
      </c>
      <c r="R70" s="971">
        <f t="shared" si="17"/>
        <v>0.018083024714911036</v>
      </c>
      <c r="S70" s="971">
        <f t="shared" si="18"/>
        <v>0.017913931691751</v>
      </c>
      <c r="T70" s="971">
        <f t="shared" si="19"/>
        <v>0.017911171386293844</v>
      </c>
      <c r="U70"/>
      <c r="V70" s="980">
        <f aca="true" t="shared" si="20" ref="V70:V90">F70/$F$178</f>
        <v>178.08</v>
      </c>
      <c r="W70" s="980">
        <f aca="true" t="shared" si="21" ref="W70:W90">H70/$H$178</f>
        <v>175.2289655172414</v>
      </c>
      <c r="X70" s="980">
        <f aca="true" t="shared" si="22" ref="X70:X90">J70/$J$178</f>
        <v>173.77832727272727</v>
      </c>
      <c r="Y70" s="980">
        <f aca="true" t="shared" si="23" ref="Y70:Y90">L70/$L$178</f>
        <v>177.25389381818178</v>
      </c>
      <c r="Z70" s="980">
        <f aca="true" t="shared" si="24" ref="Z70:Z90">N70/$N$178</f>
        <v>180.79897169454543</v>
      </c>
      <c r="AA70"/>
      <c r="AB70"/>
      <c r="AC70"/>
      <c r="AD70"/>
      <c r="AE70"/>
    </row>
    <row r="71" spans="1:31" ht="15.75">
      <c r="A71" s="758" t="str">
        <f>'Budget with Assumptions'!A71</f>
        <v>Pension-CTPF(Charter School's Share of 9% of Employee w/h)</v>
      </c>
      <c r="B71" s="52"/>
      <c r="C71" s="52"/>
      <c r="D71" s="378">
        <f>'Budget with Assumptions'!J71</f>
        <v>0</v>
      </c>
      <c r="E71" s="956"/>
      <c r="F71" s="378">
        <f>'Budget with Assumptions'!L71</f>
        <v>0</v>
      </c>
      <c r="G71" s="960"/>
      <c r="H71" s="378">
        <f>'Budget with Assumptions'!N71</f>
        <v>0</v>
      </c>
      <c r="I71" s="960"/>
      <c r="J71" s="378">
        <f>'Budget with Assumptions'!P71</f>
        <v>0</v>
      </c>
      <c r="K71" s="957"/>
      <c r="L71" s="378">
        <f>'Budget with Assumptions'!R71</f>
        <v>0</v>
      </c>
      <c r="M71" s="945"/>
      <c r="N71" s="378">
        <f>'Budget with Assumptions'!T71</f>
        <v>0</v>
      </c>
      <c r="O71"/>
      <c r="P71" s="971">
        <f t="shared" si="15"/>
        <v>0</v>
      </c>
      <c r="Q71" s="971">
        <f t="shared" si="16"/>
        <v>0</v>
      </c>
      <c r="R71" s="971">
        <f t="shared" si="17"/>
        <v>0</v>
      </c>
      <c r="S71" s="971">
        <f t="shared" si="18"/>
        <v>0</v>
      </c>
      <c r="T71" s="971">
        <f t="shared" si="19"/>
        <v>0</v>
      </c>
      <c r="U71"/>
      <c r="V71" s="980">
        <f t="shared" si="20"/>
        <v>0</v>
      </c>
      <c r="W71" s="980">
        <f t="shared" si="21"/>
        <v>0</v>
      </c>
      <c r="X71" s="980">
        <f t="shared" si="22"/>
        <v>0</v>
      </c>
      <c r="Y71" s="980">
        <f t="shared" si="23"/>
        <v>0</v>
      </c>
      <c r="Z71" s="980">
        <f t="shared" si="24"/>
        <v>0</v>
      </c>
      <c r="AA71"/>
      <c r="AB71"/>
      <c r="AC71"/>
      <c r="AD71"/>
      <c r="AE71"/>
    </row>
    <row r="72" spans="1:31" ht="15.75">
      <c r="A72" s="758" t="str">
        <f>'Budget with Assumptions'!A72</f>
        <v>403b</v>
      </c>
      <c r="B72" s="52"/>
      <c r="C72" s="52"/>
      <c r="D72" s="378">
        <f>'Budget with Assumptions'!J72</f>
        <v>1320</v>
      </c>
      <c r="E72" s="956"/>
      <c r="F72" s="378">
        <f>'Budget with Assumptions'!L72</f>
        <v>4774</v>
      </c>
      <c r="G72" s="960"/>
      <c r="H72" s="378">
        <f>'Budget with Assumptions'!N72</f>
        <v>4869.48</v>
      </c>
      <c r="I72" s="960"/>
      <c r="J72" s="378">
        <f>'Budget with Assumptions'!P72</f>
        <v>4966.869599999999</v>
      </c>
      <c r="K72" s="957"/>
      <c r="L72" s="378">
        <f>'Budget with Assumptions'!R72</f>
        <v>5066.206991999999</v>
      </c>
      <c r="M72" s="945"/>
      <c r="N72" s="378">
        <f>'Budget with Assumptions'!T72</f>
        <v>5167.53113184</v>
      </c>
      <c r="O72"/>
      <c r="P72" s="971">
        <f t="shared" si="15"/>
        <v>0.0029884123074678825</v>
      </c>
      <c r="Q72" s="971">
        <f t="shared" si="16"/>
        <v>0.003348553029542148</v>
      </c>
      <c r="R72" s="971">
        <f t="shared" si="17"/>
        <v>0.0031323788094697125</v>
      </c>
      <c r="S72" s="971">
        <f t="shared" si="18"/>
        <v>0.003103088167504328</v>
      </c>
      <c r="T72" s="971">
        <f t="shared" si="19"/>
        <v>0.0031026100217041667</v>
      </c>
      <c r="U72"/>
      <c r="V72" s="980">
        <f t="shared" si="20"/>
        <v>38.192</v>
      </c>
      <c r="W72" s="980">
        <f t="shared" si="21"/>
        <v>33.58262068965517</v>
      </c>
      <c r="X72" s="980">
        <f t="shared" si="22"/>
        <v>30.102239999999995</v>
      </c>
      <c r="Y72" s="980">
        <f t="shared" si="23"/>
        <v>30.704284799999996</v>
      </c>
      <c r="Z72" s="980">
        <f t="shared" si="24"/>
        <v>31.318370496</v>
      </c>
      <c r="AA72"/>
      <c r="AB72"/>
      <c r="AC72"/>
      <c r="AD72"/>
      <c r="AE72"/>
    </row>
    <row r="73" spans="1:31" ht="15.75">
      <c r="A73" s="758" t="str">
        <f>'Budget with Assumptions'!A73</f>
        <v>FICA (employer's share)</v>
      </c>
      <c r="B73" s="52"/>
      <c r="C73" s="52"/>
      <c r="D73" s="378">
        <f>'Budget with Assumptions'!J73</f>
        <v>1860</v>
      </c>
      <c r="E73" s="956"/>
      <c r="F73" s="378">
        <f>'Budget with Assumptions'!L73</f>
        <v>6727</v>
      </c>
      <c r="G73" s="960"/>
      <c r="H73" s="378">
        <f>'Budget with Assumptions'!N73</f>
        <v>6861.54</v>
      </c>
      <c r="I73" s="960"/>
      <c r="J73" s="378">
        <f>'Budget with Assumptions'!P73</f>
        <v>6998.770799999999</v>
      </c>
      <c r="K73" s="957"/>
      <c r="L73" s="378">
        <f>'Budget with Assumptions'!R73</f>
        <v>7138.746216</v>
      </c>
      <c r="M73" s="945"/>
      <c r="N73" s="378">
        <f>'Budget with Assumptions'!T73</f>
        <v>7281.52114032</v>
      </c>
      <c r="O73"/>
      <c r="P73" s="971">
        <f t="shared" si="15"/>
        <v>0.00421094461506838</v>
      </c>
      <c r="Q73" s="971">
        <f t="shared" si="16"/>
        <v>0.004718415632536664</v>
      </c>
      <c r="R73" s="971">
        <f t="shared" si="17"/>
        <v>0.004413806504252777</v>
      </c>
      <c r="S73" s="971">
        <f t="shared" si="18"/>
        <v>0.0043725333269379165</v>
      </c>
      <c r="T73" s="971">
        <f t="shared" si="19"/>
        <v>0.004371859576037689</v>
      </c>
      <c r="U73"/>
      <c r="V73" s="980">
        <f t="shared" si="20"/>
        <v>53.816</v>
      </c>
      <c r="W73" s="980">
        <f t="shared" si="21"/>
        <v>47.320965517241376</v>
      </c>
      <c r="X73" s="980">
        <f t="shared" si="22"/>
        <v>42.41679272727272</v>
      </c>
      <c r="Y73" s="980">
        <f t="shared" si="23"/>
        <v>43.26512858181818</v>
      </c>
      <c r="Z73" s="980">
        <f t="shared" si="24"/>
        <v>44.130431153454545</v>
      </c>
      <c r="AA73"/>
      <c r="AB73"/>
      <c r="AC73"/>
      <c r="AD73"/>
      <c r="AE73"/>
    </row>
    <row r="74" spans="1:31" ht="15.75">
      <c r="A74" s="758" t="str">
        <f>'Budget with Assumptions'!A74</f>
        <v>Medicare (employer's share)</v>
      </c>
      <c r="B74" s="52"/>
      <c r="C74" s="52"/>
      <c r="D74" s="378">
        <f>'Budget with Assumptions'!J74</f>
        <v>435</v>
      </c>
      <c r="E74" s="956"/>
      <c r="F74" s="378">
        <f>'Budget with Assumptions'!L74</f>
        <v>6543.125</v>
      </c>
      <c r="G74" s="960"/>
      <c r="H74" s="378">
        <f>'Budget with Assumptions'!N74</f>
        <v>7043.7375</v>
      </c>
      <c r="I74" s="960"/>
      <c r="J74" s="378">
        <f>'Budget with Assumptions'!P74</f>
        <v>7561.757250000001</v>
      </c>
      <c r="K74" s="957"/>
      <c r="L74" s="378">
        <f>'Budget with Assumptions'!R74</f>
        <v>7712.992394999998</v>
      </c>
      <c r="M74" s="945"/>
      <c r="N74" s="378">
        <f>'Budget with Assumptions'!T74</f>
        <v>7867.2522429</v>
      </c>
      <c r="O74"/>
      <c r="P74" s="971">
        <f t="shared" si="15"/>
        <v>0.004095843167008963</v>
      </c>
      <c r="Q74" s="971">
        <f t="shared" si="16"/>
        <v>0.004843705805327189</v>
      </c>
      <c r="R74" s="971">
        <f t="shared" si="17"/>
        <v>0.004768856458855689</v>
      </c>
      <c r="S74" s="971">
        <f t="shared" si="18"/>
        <v>0.004724263235744112</v>
      </c>
      <c r="T74" s="971">
        <f t="shared" si="19"/>
        <v>0.004723535287808671</v>
      </c>
      <c r="U74"/>
      <c r="V74" s="980">
        <f t="shared" si="20"/>
        <v>52.345</v>
      </c>
      <c r="W74" s="980">
        <f t="shared" si="21"/>
        <v>48.5775</v>
      </c>
      <c r="X74" s="980">
        <f t="shared" si="22"/>
        <v>45.82883181818182</v>
      </c>
      <c r="Y74" s="980">
        <f t="shared" si="23"/>
        <v>46.74540845454545</v>
      </c>
      <c r="Z74" s="980">
        <f t="shared" si="24"/>
        <v>47.680316623636365</v>
      </c>
      <c r="AA74"/>
      <c r="AB74"/>
      <c r="AC74"/>
      <c r="AD74"/>
      <c r="AE74"/>
    </row>
    <row r="75" spans="1:31" ht="15.75">
      <c r="A75" s="758" t="str">
        <f>'Budget with Assumptions'!A75</f>
        <v>Health/Dental/Life Insurance</v>
      </c>
      <c r="B75" s="52"/>
      <c r="C75" s="52"/>
      <c r="D75" s="378">
        <f>'Budget with Assumptions'!J75</f>
        <v>0</v>
      </c>
      <c r="E75" s="956"/>
      <c r="F75" s="378">
        <f>'Budget with Assumptions'!L75</f>
        <v>47519.99999999999</v>
      </c>
      <c r="G75" s="960"/>
      <c r="H75" s="378">
        <f>'Budget with Assumptions'!N75</f>
        <v>50918.399999999994</v>
      </c>
      <c r="I75" s="960"/>
      <c r="J75" s="378">
        <f>'Budget with Assumptions'!P75</f>
        <v>54433.727999999996</v>
      </c>
      <c r="K75" s="957"/>
      <c r="L75" s="378">
        <f>'Budget with Assumptions'!R75</f>
        <v>55522.40255999999</v>
      </c>
      <c r="M75" s="945"/>
      <c r="N75" s="378">
        <f>'Budget with Assumptions'!T75</f>
        <v>56632.85061119999</v>
      </c>
      <c r="O75"/>
      <c r="P75" s="971">
        <f t="shared" si="15"/>
        <v>0.029746408221800115</v>
      </c>
      <c r="Q75" s="971">
        <f t="shared" si="16"/>
        <v>0.03501461399973692</v>
      </c>
      <c r="R75" s="971">
        <f t="shared" si="17"/>
        <v>0.03432887710755245</v>
      </c>
      <c r="S75" s="971">
        <f t="shared" si="18"/>
        <v>0.03400787032338216</v>
      </c>
      <c r="T75" s="971">
        <f t="shared" si="19"/>
        <v>0.034002630149887296</v>
      </c>
      <c r="U75"/>
      <c r="V75" s="980">
        <f t="shared" si="20"/>
        <v>380.15999999999997</v>
      </c>
      <c r="W75" s="980">
        <f t="shared" si="21"/>
        <v>351.1613793103448</v>
      </c>
      <c r="X75" s="980">
        <f t="shared" si="22"/>
        <v>329.9013818181818</v>
      </c>
      <c r="Y75" s="980">
        <f t="shared" si="23"/>
        <v>336.4994094545454</v>
      </c>
      <c r="Z75" s="980">
        <f t="shared" si="24"/>
        <v>343.2293976436363</v>
      </c>
      <c r="AA75"/>
      <c r="AB75"/>
      <c r="AC75"/>
      <c r="AD75"/>
      <c r="AE75"/>
    </row>
    <row r="76" spans="1:31" ht="15.75">
      <c r="A76" s="758" t="str">
        <f>'Budget with Assumptions'!A76</f>
        <v>Workers Compensation</v>
      </c>
      <c r="B76" s="52"/>
      <c r="C76" s="52"/>
      <c r="D76" s="378">
        <f>'Budget with Assumptions'!J76</f>
        <v>0</v>
      </c>
      <c r="E76" s="956"/>
      <c r="F76" s="378">
        <f>'Budget with Assumptions'!L76</f>
        <v>4512.5</v>
      </c>
      <c r="G76" s="956"/>
      <c r="H76" s="378">
        <f>'Budget with Assumptions'!N76</f>
        <v>4857.75</v>
      </c>
      <c r="I76" s="960"/>
      <c r="J76" s="378">
        <f>'Budget with Assumptions'!P76</f>
        <v>5215.005</v>
      </c>
      <c r="K76" s="957"/>
      <c r="L76" s="378">
        <f>'Budget with Assumptions'!R76</f>
        <v>5319.305099999999</v>
      </c>
      <c r="M76" s="945"/>
      <c r="N76" s="378">
        <f>'Budget with Assumptions'!T76</f>
        <v>5425.691202</v>
      </c>
      <c r="O76"/>
      <c r="P76" s="971">
        <f t="shared" si="15"/>
        <v>0.0028247194255234228</v>
      </c>
      <c r="Q76" s="971">
        <f t="shared" si="16"/>
        <v>0.003340486762294613</v>
      </c>
      <c r="R76" s="971">
        <f t="shared" si="17"/>
        <v>0.003288866523348751</v>
      </c>
      <c r="S76" s="971">
        <f t="shared" si="18"/>
        <v>0.0032581125763752497</v>
      </c>
      <c r="T76" s="971">
        <f t="shared" si="19"/>
        <v>0.003257610543316325</v>
      </c>
      <c r="U76"/>
      <c r="V76" s="980">
        <f t="shared" si="20"/>
        <v>36.1</v>
      </c>
      <c r="W76" s="980">
        <f t="shared" si="21"/>
        <v>33.501724137931035</v>
      </c>
      <c r="X76" s="980">
        <f t="shared" si="22"/>
        <v>31.60609090909091</v>
      </c>
      <c r="Y76" s="980">
        <f t="shared" si="23"/>
        <v>32.23821272727272</v>
      </c>
      <c r="Z76" s="980">
        <f t="shared" si="24"/>
        <v>32.88297698181818</v>
      </c>
      <c r="AA76"/>
      <c r="AB76"/>
      <c r="AC76"/>
      <c r="AD76"/>
      <c r="AE76"/>
    </row>
    <row r="77" spans="1:31" ht="15.75">
      <c r="A77" s="758" t="str">
        <f>'Budget with Assumptions'!A77</f>
        <v>State Unemployment Taxes</v>
      </c>
      <c r="B77" s="52"/>
      <c r="C77" s="52"/>
      <c r="D77" s="378">
        <f>'Budget with Assumptions'!J77</f>
        <v>0</v>
      </c>
      <c r="E77" s="956"/>
      <c r="F77" s="378">
        <f>'Budget with Assumptions'!L77</f>
        <v>4512.5</v>
      </c>
      <c r="G77" s="956"/>
      <c r="H77" s="378">
        <f>'Budget with Assumptions'!N77</f>
        <v>4857.75</v>
      </c>
      <c r="I77" s="956"/>
      <c r="J77" s="378">
        <f>'Budget with Assumptions'!P77</f>
        <v>5215.005</v>
      </c>
      <c r="K77" s="957"/>
      <c r="L77" s="378">
        <f>'Budget with Assumptions'!R77</f>
        <v>5319.305099999999</v>
      </c>
      <c r="M77" s="945"/>
      <c r="N77" s="378">
        <f>'Budget with Assumptions'!T77</f>
        <v>5425.691202</v>
      </c>
      <c r="O77"/>
      <c r="P77" s="971">
        <f t="shared" si="15"/>
        <v>0.0028247194255234228</v>
      </c>
      <c r="Q77" s="971">
        <f t="shared" si="16"/>
        <v>0.003340486762294613</v>
      </c>
      <c r="R77" s="971">
        <f t="shared" si="17"/>
        <v>0.003288866523348751</v>
      </c>
      <c r="S77" s="971">
        <f t="shared" si="18"/>
        <v>0.0032581125763752497</v>
      </c>
      <c r="T77" s="971">
        <f t="shared" si="19"/>
        <v>0.003257610543316325</v>
      </c>
      <c r="U77"/>
      <c r="V77" s="980">
        <f t="shared" si="20"/>
        <v>36.1</v>
      </c>
      <c r="W77" s="980">
        <f t="shared" si="21"/>
        <v>33.501724137931035</v>
      </c>
      <c r="X77" s="980">
        <f t="shared" si="22"/>
        <v>31.60609090909091</v>
      </c>
      <c r="Y77" s="980">
        <f t="shared" si="23"/>
        <v>32.23821272727272</v>
      </c>
      <c r="Z77" s="980">
        <f t="shared" si="24"/>
        <v>32.88297698181818</v>
      </c>
      <c r="AA77"/>
      <c r="AB77"/>
      <c r="AC77"/>
      <c r="AD77"/>
      <c r="AE77"/>
    </row>
    <row r="78" spans="1:31" ht="15.75">
      <c r="A78" s="758">
        <f>'Budget with Assumptions'!A78</f>
        <v>0</v>
      </c>
      <c r="B78" s="52"/>
      <c r="C78" s="52"/>
      <c r="D78" s="378">
        <f>'Budget with Assumptions'!J78</f>
        <v>0</v>
      </c>
      <c r="E78" s="956"/>
      <c r="F78" s="378">
        <f>'Budget with Assumptions'!L78</f>
        <v>0</v>
      </c>
      <c r="G78" s="956"/>
      <c r="H78" s="378">
        <f>'Budget with Assumptions'!N78</f>
        <v>0</v>
      </c>
      <c r="I78" s="956"/>
      <c r="J78" s="378">
        <f>'Budget with Assumptions'!P78</f>
        <v>0</v>
      </c>
      <c r="K78" s="957"/>
      <c r="L78" s="378">
        <f>'Budget with Assumptions'!R78</f>
        <v>0</v>
      </c>
      <c r="M78" s="945"/>
      <c r="N78" s="378">
        <f>'Budget with Assumptions'!T78</f>
        <v>0</v>
      </c>
      <c r="O78"/>
      <c r="P78" s="971">
        <f t="shared" si="15"/>
        <v>0</v>
      </c>
      <c r="Q78" s="971">
        <f t="shared" si="16"/>
        <v>0</v>
      </c>
      <c r="R78" s="971">
        <f t="shared" si="17"/>
        <v>0</v>
      </c>
      <c r="S78" s="971">
        <f t="shared" si="18"/>
        <v>0</v>
      </c>
      <c r="T78" s="971">
        <f t="shared" si="19"/>
        <v>0</v>
      </c>
      <c r="U78"/>
      <c r="V78" s="980">
        <f t="shared" si="20"/>
        <v>0</v>
      </c>
      <c r="W78" s="980">
        <f t="shared" si="21"/>
        <v>0</v>
      </c>
      <c r="X78" s="980">
        <f t="shared" si="22"/>
        <v>0</v>
      </c>
      <c r="Y78" s="980">
        <f t="shared" si="23"/>
        <v>0</v>
      </c>
      <c r="Z78" s="980">
        <f t="shared" si="24"/>
        <v>0</v>
      </c>
      <c r="AA78"/>
      <c r="AB78"/>
      <c r="AC78"/>
      <c r="AD78"/>
      <c r="AE78"/>
    </row>
    <row r="79" spans="1:31" ht="15.75">
      <c r="A79" s="758">
        <f>'Budget with Assumptions'!A79</f>
        <v>0</v>
      </c>
      <c r="B79" s="52"/>
      <c r="C79" s="52"/>
      <c r="D79" s="378">
        <f>'Budget with Assumptions'!J79</f>
        <v>0</v>
      </c>
      <c r="E79" s="956"/>
      <c r="F79" s="378">
        <f>'Budget with Assumptions'!L79</f>
        <v>0</v>
      </c>
      <c r="G79" s="956"/>
      <c r="H79" s="378">
        <f>'Budget with Assumptions'!N79</f>
        <v>0</v>
      </c>
      <c r="I79" s="956"/>
      <c r="J79" s="378">
        <f>'Budget with Assumptions'!P79</f>
        <v>0</v>
      </c>
      <c r="K79" s="957"/>
      <c r="L79" s="378">
        <f>'Budget with Assumptions'!R79</f>
        <v>0</v>
      </c>
      <c r="M79" s="945"/>
      <c r="N79" s="378">
        <f>'Budget with Assumptions'!T79</f>
        <v>0</v>
      </c>
      <c r="O79"/>
      <c r="P79" s="971">
        <f t="shared" si="15"/>
        <v>0</v>
      </c>
      <c r="Q79" s="971">
        <f t="shared" si="16"/>
        <v>0</v>
      </c>
      <c r="R79" s="971">
        <f t="shared" si="17"/>
        <v>0</v>
      </c>
      <c r="S79" s="971">
        <f t="shared" si="18"/>
        <v>0</v>
      </c>
      <c r="T79" s="971">
        <f t="shared" si="19"/>
        <v>0</v>
      </c>
      <c r="U79"/>
      <c r="V79" s="980">
        <f t="shared" si="20"/>
        <v>0</v>
      </c>
      <c r="W79" s="980">
        <f t="shared" si="21"/>
        <v>0</v>
      </c>
      <c r="X79" s="980">
        <f t="shared" si="22"/>
        <v>0</v>
      </c>
      <c r="Y79" s="980">
        <f t="shared" si="23"/>
        <v>0</v>
      </c>
      <c r="Z79" s="980">
        <f t="shared" si="24"/>
        <v>0</v>
      </c>
      <c r="AA79"/>
      <c r="AB79"/>
      <c r="AC79"/>
      <c r="AD79"/>
      <c r="AE79"/>
    </row>
    <row r="80" spans="1:31" ht="15.75">
      <c r="A80" s="758">
        <f>'Budget with Assumptions'!A80</f>
        <v>0</v>
      </c>
      <c r="B80" s="52"/>
      <c r="C80" s="52"/>
      <c r="D80" s="378">
        <f>'Budget with Assumptions'!J80</f>
        <v>0</v>
      </c>
      <c r="E80" s="792"/>
      <c r="F80" s="378">
        <f>'Budget with Assumptions'!L80</f>
        <v>0</v>
      </c>
      <c r="G80" s="792"/>
      <c r="H80" s="378">
        <f>'Budget with Assumptions'!N80</f>
        <v>0</v>
      </c>
      <c r="I80" s="792"/>
      <c r="J80" s="378">
        <f>'Budget with Assumptions'!P80</f>
        <v>0</v>
      </c>
      <c r="K80" s="931"/>
      <c r="L80" s="378">
        <f>'Budget with Assumptions'!R80</f>
        <v>0</v>
      </c>
      <c r="M80" s="931"/>
      <c r="N80" s="378">
        <f>'Budget with Assumptions'!T80</f>
        <v>0</v>
      </c>
      <c r="P80" s="971">
        <f t="shared" si="15"/>
        <v>0</v>
      </c>
      <c r="Q80" s="971">
        <f t="shared" si="16"/>
        <v>0</v>
      </c>
      <c r="R80" s="971">
        <f t="shared" si="17"/>
        <v>0</v>
      </c>
      <c r="S80" s="971">
        <f t="shared" si="18"/>
        <v>0</v>
      </c>
      <c r="T80" s="971">
        <f t="shared" si="19"/>
        <v>0</v>
      </c>
      <c r="V80" s="980">
        <f t="shared" si="20"/>
        <v>0</v>
      </c>
      <c r="W80" s="980">
        <f t="shared" si="21"/>
        <v>0</v>
      </c>
      <c r="X80" s="980">
        <f t="shared" si="22"/>
        <v>0</v>
      </c>
      <c r="Y80" s="980">
        <f t="shared" si="23"/>
        <v>0</v>
      </c>
      <c r="Z80" s="980">
        <f t="shared" si="24"/>
        <v>0</v>
      </c>
      <c r="AA80"/>
      <c r="AB80"/>
      <c r="AC80"/>
      <c r="AD80"/>
      <c r="AE80"/>
    </row>
    <row r="81" spans="1:26" ht="15.75">
      <c r="A81" s="758">
        <f>'Budget with Assumptions'!A81</f>
        <v>0</v>
      </c>
      <c r="D81" s="378">
        <f>'Budget with Assumptions'!J81</f>
        <v>0</v>
      </c>
      <c r="E81" s="956"/>
      <c r="F81" s="378">
        <f>'Budget with Assumptions'!L81</f>
        <v>0</v>
      </c>
      <c r="G81" s="956"/>
      <c r="H81" s="378">
        <f>'Budget with Assumptions'!N81</f>
        <v>0</v>
      </c>
      <c r="I81" s="956"/>
      <c r="J81" s="378">
        <f>'Budget with Assumptions'!P81</f>
        <v>0</v>
      </c>
      <c r="K81" s="957"/>
      <c r="L81" s="378">
        <f>'Budget with Assumptions'!R81</f>
        <v>0</v>
      </c>
      <c r="M81" s="945"/>
      <c r="N81" s="378">
        <f>'Budget with Assumptions'!T81</f>
        <v>0</v>
      </c>
      <c r="O81"/>
      <c r="P81" s="971">
        <f t="shared" si="15"/>
        <v>0</v>
      </c>
      <c r="Q81" s="971">
        <f t="shared" si="16"/>
        <v>0</v>
      </c>
      <c r="R81" s="971">
        <f t="shared" si="17"/>
        <v>0</v>
      </c>
      <c r="S81" s="971">
        <f t="shared" si="18"/>
        <v>0</v>
      </c>
      <c r="T81" s="971">
        <f t="shared" si="19"/>
        <v>0</v>
      </c>
      <c r="U81"/>
      <c r="V81" s="980">
        <f t="shared" si="20"/>
        <v>0</v>
      </c>
      <c r="W81" s="980">
        <f t="shared" si="21"/>
        <v>0</v>
      </c>
      <c r="X81" s="980">
        <f t="shared" si="22"/>
        <v>0</v>
      </c>
      <c r="Y81" s="980">
        <f t="shared" si="23"/>
        <v>0</v>
      </c>
      <c r="Z81" s="980">
        <f t="shared" si="24"/>
        <v>0</v>
      </c>
    </row>
    <row r="82" spans="1:31" ht="15.75">
      <c r="A82" s="929" t="str">
        <f>'Budget with Assumptions'!A82</f>
        <v>Employee Related Expenses (non-wage and non-benefit)</v>
      </c>
      <c r="B82" s="52"/>
      <c r="C82" s="52"/>
      <c r="D82" s="378">
        <f>'Budget with Assumptions'!J82</f>
        <v>0</v>
      </c>
      <c r="E82" s="956"/>
      <c r="F82" s="378">
        <f>'Budget with Assumptions'!L82</f>
        <v>0</v>
      </c>
      <c r="G82" s="956"/>
      <c r="H82" s="378">
        <f>'Budget with Assumptions'!N82</f>
        <v>0</v>
      </c>
      <c r="I82" s="956"/>
      <c r="J82" s="378">
        <f>'Budget with Assumptions'!P82</f>
        <v>0</v>
      </c>
      <c r="K82" s="957"/>
      <c r="L82" s="378">
        <f>'Budget with Assumptions'!R82</f>
        <v>0</v>
      </c>
      <c r="M82" s="945"/>
      <c r="N82" s="378">
        <f>'Budget with Assumptions'!T82</f>
        <v>0</v>
      </c>
      <c r="O82"/>
      <c r="P82" s="971">
        <f t="shared" si="15"/>
        <v>0</v>
      </c>
      <c r="Q82" s="971">
        <f t="shared" si="16"/>
        <v>0</v>
      </c>
      <c r="R82" s="971">
        <f t="shared" si="17"/>
        <v>0</v>
      </c>
      <c r="S82" s="971">
        <f t="shared" si="18"/>
        <v>0</v>
      </c>
      <c r="T82" s="971">
        <f t="shared" si="19"/>
        <v>0</v>
      </c>
      <c r="U82"/>
      <c r="V82" s="980">
        <f t="shared" si="20"/>
        <v>0</v>
      </c>
      <c r="W82" s="980">
        <f t="shared" si="21"/>
        <v>0</v>
      </c>
      <c r="X82" s="980">
        <f t="shared" si="22"/>
        <v>0</v>
      </c>
      <c r="Y82" s="980">
        <f t="shared" si="23"/>
        <v>0</v>
      </c>
      <c r="Z82" s="980">
        <f t="shared" si="24"/>
        <v>0</v>
      </c>
      <c r="AA82"/>
      <c r="AB82"/>
      <c r="AC82"/>
      <c r="AD82"/>
      <c r="AE82"/>
    </row>
    <row r="83" spans="1:31" ht="15.75">
      <c r="A83" s="758" t="str">
        <f>'Budget with Assumptions'!A83</f>
        <v>Staff Recruitment</v>
      </c>
      <c r="B83" s="52"/>
      <c r="C83" s="52"/>
      <c r="D83" s="378">
        <f>'Budget with Assumptions'!J83</f>
        <v>0</v>
      </c>
      <c r="E83" s="956"/>
      <c r="F83" s="378">
        <f>'Budget with Assumptions'!L83</f>
        <v>1500</v>
      </c>
      <c r="G83" s="956"/>
      <c r="H83" s="378">
        <f>'Budget with Assumptions'!N83</f>
        <v>1530</v>
      </c>
      <c r="I83" s="956"/>
      <c r="J83" s="378">
        <f>'Budget with Assumptions'!P83</f>
        <v>1560.6</v>
      </c>
      <c r="K83" s="957"/>
      <c r="L83" s="378">
        <f>'Budget with Assumptions'!R83</f>
        <v>1591.812</v>
      </c>
      <c r="M83" s="945"/>
      <c r="N83" s="378">
        <f>'Budget with Assumptions'!T83</f>
        <v>1623.64824</v>
      </c>
      <c r="O83"/>
      <c r="P83" s="971">
        <f t="shared" si="15"/>
        <v>0.0009389649059911655</v>
      </c>
      <c r="Q83" s="971">
        <f t="shared" si="16"/>
        <v>0.0010521218148959411</v>
      </c>
      <c r="R83" s="971">
        <f t="shared" si="17"/>
        <v>0.0009841994583587284</v>
      </c>
      <c r="S83" s="971">
        <f t="shared" si="18"/>
        <v>0.0009749962822070574</v>
      </c>
      <c r="T83" s="971">
        <f t="shared" si="19"/>
        <v>0.0009748460478752095</v>
      </c>
      <c r="U83"/>
      <c r="V83" s="980">
        <f t="shared" si="20"/>
        <v>12</v>
      </c>
      <c r="W83" s="980">
        <f t="shared" si="21"/>
        <v>10.551724137931034</v>
      </c>
      <c r="X83" s="980">
        <f t="shared" si="22"/>
        <v>9.458181818181817</v>
      </c>
      <c r="Y83" s="980">
        <f t="shared" si="23"/>
        <v>9.647345454545453</v>
      </c>
      <c r="Z83" s="980">
        <f t="shared" si="24"/>
        <v>9.840292363636364</v>
      </c>
      <c r="AA83"/>
      <c r="AB83"/>
      <c r="AC83"/>
      <c r="AD83"/>
      <c r="AE83"/>
    </row>
    <row r="84" spans="1:31" ht="15.75">
      <c r="A84" s="758" t="str">
        <f>'Budget with Assumptions'!A84</f>
        <v>Professional Development</v>
      </c>
      <c r="B84" s="52"/>
      <c r="C84" s="52"/>
      <c r="D84" s="378">
        <f>'Budget with Assumptions'!J84</f>
        <v>0</v>
      </c>
      <c r="E84" s="956"/>
      <c r="F84" s="378">
        <f>'Budget with Assumptions'!L84</f>
        <v>14849.999999999998</v>
      </c>
      <c r="G84" s="956"/>
      <c r="H84" s="378">
        <f>'Budget with Assumptions'!N84</f>
        <v>15911.999999999998</v>
      </c>
      <c r="I84" s="956"/>
      <c r="J84" s="378">
        <f>'Budget with Assumptions'!P84</f>
        <v>17010.539999999997</v>
      </c>
      <c r="K84" s="957"/>
      <c r="L84" s="378">
        <f>'Budget with Assumptions'!R84</f>
        <v>17350.750799999998</v>
      </c>
      <c r="M84" s="945"/>
      <c r="N84" s="378">
        <f>'Budget with Assumptions'!T84</f>
        <v>17697.765816</v>
      </c>
      <c r="O84"/>
      <c r="P84" s="971">
        <f t="shared" si="15"/>
        <v>0.009295752569312537</v>
      </c>
      <c r="Q84" s="971">
        <f t="shared" si="16"/>
        <v>0.010942066874917786</v>
      </c>
      <c r="R84" s="971">
        <f t="shared" si="17"/>
        <v>0.010727774096110138</v>
      </c>
      <c r="S84" s="971">
        <f t="shared" si="18"/>
        <v>0.010627459476056925</v>
      </c>
      <c r="T84" s="971">
        <f t="shared" si="19"/>
        <v>0.010625821921839782</v>
      </c>
      <c r="U84"/>
      <c r="V84" s="980">
        <f t="shared" si="20"/>
        <v>118.79999999999998</v>
      </c>
      <c r="W84" s="980">
        <f t="shared" si="21"/>
        <v>109.73793103448274</v>
      </c>
      <c r="X84" s="980">
        <f t="shared" si="22"/>
        <v>103.0941818181818</v>
      </c>
      <c r="Y84" s="980">
        <f t="shared" si="23"/>
        <v>105.15606545454544</v>
      </c>
      <c r="Z84" s="980">
        <f t="shared" si="24"/>
        <v>107.25918676363636</v>
      </c>
      <c r="AA84"/>
      <c r="AB84"/>
      <c r="AC84"/>
      <c r="AD84"/>
      <c r="AE84"/>
    </row>
    <row r="85" spans="1:31" ht="15.75">
      <c r="A85" s="758" t="str">
        <f>'Budget with Assumptions'!A85</f>
        <v>Staff Appreciation</v>
      </c>
      <c r="B85" s="52"/>
      <c r="C85" s="52"/>
      <c r="D85" s="378">
        <f>'Budget with Assumptions'!J85</f>
        <v>0</v>
      </c>
      <c r="E85" s="956"/>
      <c r="F85" s="378">
        <f>'Budget with Assumptions'!L85</f>
        <v>0</v>
      </c>
      <c r="G85" s="956"/>
      <c r="H85" s="378">
        <f>'Budget with Assumptions'!N85</f>
        <v>0</v>
      </c>
      <c r="I85" s="956"/>
      <c r="J85" s="378">
        <f>'Budget with Assumptions'!P85</f>
        <v>0</v>
      </c>
      <c r="K85" s="957"/>
      <c r="L85" s="378">
        <f>'Budget with Assumptions'!R85</f>
        <v>0</v>
      </c>
      <c r="M85" s="945"/>
      <c r="N85" s="378">
        <f>'Budget with Assumptions'!T85</f>
        <v>0</v>
      </c>
      <c r="O85"/>
      <c r="P85" s="971">
        <f t="shared" si="15"/>
        <v>0</v>
      </c>
      <c r="Q85" s="971">
        <f t="shared" si="16"/>
        <v>0</v>
      </c>
      <c r="R85" s="971">
        <f t="shared" si="17"/>
        <v>0</v>
      </c>
      <c r="S85" s="971">
        <f t="shared" si="18"/>
        <v>0</v>
      </c>
      <c r="T85" s="971">
        <f t="shared" si="19"/>
        <v>0</v>
      </c>
      <c r="U85"/>
      <c r="V85" s="980">
        <f t="shared" si="20"/>
        <v>0</v>
      </c>
      <c r="W85" s="980">
        <f t="shared" si="21"/>
        <v>0</v>
      </c>
      <c r="X85" s="980">
        <f t="shared" si="22"/>
        <v>0</v>
      </c>
      <c r="Y85" s="980">
        <f t="shared" si="23"/>
        <v>0</v>
      </c>
      <c r="Z85" s="980">
        <f t="shared" si="24"/>
        <v>0</v>
      </c>
      <c r="AA85"/>
      <c r="AB85"/>
      <c r="AC85"/>
      <c r="AD85"/>
      <c r="AE85"/>
    </row>
    <row r="86" spans="1:31" ht="15.75">
      <c r="A86" s="758" t="str">
        <f>'Budget with Assumptions'!A86</f>
        <v>Substitute Teachers (Contractual)</v>
      </c>
      <c r="B86" s="52"/>
      <c r="C86" s="52"/>
      <c r="D86" s="378">
        <f>'Budget with Assumptions'!J86</f>
        <v>0</v>
      </c>
      <c r="E86" s="956"/>
      <c r="F86" s="378">
        <f>'Budget with Assumptions'!L86</f>
        <v>3250</v>
      </c>
      <c r="G86" s="956"/>
      <c r="H86" s="378">
        <f>'Budget with Assumptions'!N86</f>
        <v>3575</v>
      </c>
      <c r="I86" s="956"/>
      <c r="J86" s="378">
        <f>'Budget with Assumptions'!P86</f>
        <v>3900</v>
      </c>
      <c r="K86" s="957"/>
      <c r="L86" s="378">
        <f>'Budget with Assumptions'!R86</f>
        <v>3900</v>
      </c>
      <c r="M86" s="945"/>
      <c r="N86" s="378">
        <f>'Budget with Assumptions'!T86</f>
        <v>3900</v>
      </c>
      <c r="O86"/>
      <c r="P86" s="971">
        <f t="shared" si="15"/>
        <v>0.0020344239629808583</v>
      </c>
      <c r="Q86" s="971">
        <f t="shared" si="16"/>
        <v>0.00245838920800849</v>
      </c>
      <c r="R86" s="971">
        <f t="shared" si="17"/>
        <v>0.0024595526641029352</v>
      </c>
      <c r="S86" s="971">
        <f t="shared" si="18"/>
        <v>0.002388778009342513</v>
      </c>
      <c r="T86" s="971">
        <f t="shared" si="19"/>
        <v>0.002341578362264795</v>
      </c>
      <c r="U86"/>
      <c r="V86" s="980">
        <f t="shared" si="20"/>
        <v>26</v>
      </c>
      <c r="W86" s="980">
        <f t="shared" si="21"/>
        <v>24.655172413793103</v>
      </c>
      <c r="X86" s="980">
        <f t="shared" si="22"/>
        <v>23.636363636363637</v>
      </c>
      <c r="Y86" s="980">
        <f t="shared" si="23"/>
        <v>23.636363636363637</v>
      </c>
      <c r="Z86" s="980">
        <f t="shared" si="24"/>
        <v>23.636363636363637</v>
      </c>
      <c r="AA86"/>
      <c r="AB86"/>
      <c r="AC86"/>
      <c r="AD86"/>
      <c r="AE86"/>
    </row>
    <row r="87" spans="1:31" ht="15.75">
      <c r="A87" s="758">
        <f>'Budget with Assumptions'!A87</f>
        <v>0</v>
      </c>
      <c r="B87" s="52"/>
      <c r="C87" s="52"/>
      <c r="D87" s="378">
        <f>'Budget with Assumptions'!J87</f>
        <v>0</v>
      </c>
      <c r="E87" s="956"/>
      <c r="F87" s="378">
        <f>'Budget with Assumptions'!L87</f>
        <v>0</v>
      </c>
      <c r="G87" s="956"/>
      <c r="H87" s="378">
        <f>'Budget with Assumptions'!N87</f>
        <v>0</v>
      </c>
      <c r="I87" s="956"/>
      <c r="J87" s="378">
        <f>'Budget with Assumptions'!P87</f>
        <v>0</v>
      </c>
      <c r="K87" s="957"/>
      <c r="L87" s="378">
        <f>'Budget with Assumptions'!R87</f>
        <v>0</v>
      </c>
      <c r="M87" s="945"/>
      <c r="N87" s="378">
        <f>'Budget with Assumptions'!T87</f>
        <v>0</v>
      </c>
      <c r="O87"/>
      <c r="P87" s="971">
        <f t="shared" si="15"/>
        <v>0</v>
      </c>
      <c r="Q87" s="971">
        <f t="shared" si="16"/>
        <v>0</v>
      </c>
      <c r="R87" s="971">
        <f t="shared" si="17"/>
        <v>0</v>
      </c>
      <c r="S87" s="971">
        <f t="shared" si="18"/>
        <v>0</v>
      </c>
      <c r="T87" s="971">
        <f t="shared" si="19"/>
        <v>0</v>
      </c>
      <c r="U87"/>
      <c r="V87" s="980">
        <f t="shared" si="20"/>
        <v>0</v>
      </c>
      <c r="W87" s="980">
        <f t="shared" si="21"/>
        <v>0</v>
      </c>
      <c r="X87" s="980">
        <f t="shared" si="22"/>
        <v>0</v>
      </c>
      <c r="Y87" s="980">
        <f t="shared" si="23"/>
        <v>0</v>
      </c>
      <c r="Z87" s="980">
        <f t="shared" si="24"/>
        <v>0</v>
      </c>
      <c r="AA87"/>
      <c r="AB87"/>
      <c r="AC87"/>
      <c r="AD87"/>
      <c r="AE87"/>
    </row>
    <row r="88" spans="1:31" ht="15.75">
      <c r="A88" s="758">
        <f>'Budget with Assumptions'!A88</f>
        <v>0</v>
      </c>
      <c r="B88" s="52"/>
      <c r="C88" s="52"/>
      <c r="D88" s="378">
        <f>'Budget with Assumptions'!J88</f>
        <v>0</v>
      </c>
      <c r="E88" s="956"/>
      <c r="F88" s="378">
        <f>'Budget with Assumptions'!L88</f>
        <v>0</v>
      </c>
      <c r="G88" s="956"/>
      <c r="H88" s="378">
        <f>'Budget with Assumptions'!N88</f>
        <v>0</v>
      </c>
      <c r="I88" s="956"/>
      <c r="J88" s="378">
        <f>'Budget with Assumptions'!P88</f>
        <v>0</v>
      </c>
      <c r="K88" s="957"/>
      <c r="L88" s="378">
        <f>'Budget with Assumptions'!R88</f>
        <v>0</v>
      </c>
      <c r="M88" s="945"/>
      <c r="N88" s="378">
        <f>'Budget with Assumptions'!T88</f>
        <v>0</v>
      </c>
      <c r="O88"/>
      <c r="P88" s="971">
        <f t="shared" si="15"/>
        <v>0</v>
      </c>
      <c r="Q88" s="971">
        <f t="shared" si="16"/>
        <v>0</v>
      </c>
      <c r="R88" s="971">
        <f t="shared" si="17"/>
        <v>0</v>
      </c>
      <c r="S88" s="971">
        <f t="shared" si="18"/>
        <v>0</v>
      </c>
      <c r="T88" s="971">
        <f t="shared" si="19"/>
        <v>0</v>
      </c>
      <c r="U88"/>
      <c r="V88" s="980">
        <f t="shared" si="20"/>
        <v>0</v>
      </c>
      <c r="W88" s="980">
        <f t="shared" si="21"/>
        <v>0</v>
      </c>
      <c r="X88" s="980">
        <f t="shared" si="22"/>
        <v>0</v>
      </c>
      <c r="Y88" s="980">
        <f t="shared" si="23"/>
        <v>0</v>
      </c>
      <c r="Z88" s="980">
        <f t="shared" si="24"/>
        <v>0</v>
      </c>
      <c r="AA88"/>
      <c r="AB88"/>
      <c r="AC88"/>
      <c r="AD88"/>
      <c r="AE88"/>
    </row>
    <row r="89" spans="1:31" ht="15.75">
      <c r="A89" s="758">
        <f>'Budget with Assumptions'!A89</f>
        <v>0</v>
      </c>
      <c r="B89" s="52"/>
      <c r="C89" s="52"/>
      <c r="D89" s="378">
        <f>'Budget with Assumptions'!J89</f>
        <v>0</v>
      </c>
      <c r="E89" s="956"/>
      <c r="F89" s="378">
        <f>'Budget with Assumptions'!L89</f>
        <v>0</v>
      </c>
      <c r="G89" s="956"/>
      <c r="H89" s="378">
        <f>'Budget with Assumptions'!N89</f>
        <v>0</v>
      </c>
      <c r="I89" s="956"/>
      <c r="J89" s="378">
        <f>'Budget with Assumptions'!P89</f>
        <v>0</v>
      </c>
      <c r="K89" s="957"/>
      <c r="L89" s="378">
        <f>'Budget with Assumptions'!R89</f>
        <v>0</v>
      </c>
      <c r="M89" s="945"/>
      <c r="N89" s="378">
        <f>'Budget with Assumptions'!T89</f>
        <v>0</v>
      </c>
      <c r="O89"/>
      <c r="P89" s="971">
        <f t="shared" si="15"/>
        <v>0</v>
      </c>
      <c r="Q89" s="971">
        <f t="shared" si="16"/>
        <v>0</v>
      </c>
      <c r="R89" s="971">
        <f t="shared" si="17"/>
        <v>0</v>
      </c>
      <c r="S89" s="971">
        <f t="shared" si="18"/>
        <v>0</v>
      </c>
      <c r="T89" s="971">
        <f t="shared" si="19"/>
        <v>0</v>
      </c>
      <c r="U89"/>
      <c r="V89" s="980">
        <f t="shared" si="20"/>
        <v>0</v>
      </c>
      <c r="W89" s="980">
        <f t="shared" si="21"/>
        <v>0</v>
      </c>
      <c r="X89" s="980">
        <f t="shared" si="22"/>
        <v>0</v>
      </c>
      <c r="Y89" s="980">
        <f t="shared" si="23"/>
        <v>0</v>
      </c>
      <c r="Z89" s="980">
        <f t="shared" si="24"/>
        <v>0</v>
      </c>
      <c r="AA89"/>
      <c r="AB89"/>
      <c r="AC89"/>
      <c r="AD89"/>
      <c r="AE89"/>
    </row>
    <row r="90" spans="1:31" ht="15.75">
      <c r="A90" s="758">
        <f>'Budget with Assumptions'!A90</f>
        <v>0</v>
      </c>
      <c r="B90" s="52"/>
      <c r="C90" s="52"/>
      <c r="D90" s="378">
        <f>'Budget with Assumptions'!J90</f>
        <v>0</v>
      </c>
      <c r="E90" s="956"/>
      <c r="F90" s="378">
        <f>'Budget with Assumptions'!L90</f>
        <v>0</v>
      </c>
      <c r="G90" s="956"/>
      <c r="H90" s="378">
        <f>'Budget with Assumptions'!N90</f>
        <v>0</v>
      </c>
      <c r="I90" s="956"/>
      <c r="J90" s="378">
        <f>'Budget with Assumptions'!P90</f>
        <v>0</v>
      </c>
      <c r="K90" s="957"/>
      <c r="L90" s="378">
        <f>'Budget with Assumptions'!R90</f>
        <v>0</v>
      </c>
      <c r="M90" s="945"/>
      <c r="N90" s="378">
        <f>'Budget with Assumptions'!T90</f>
        <v>0</v>
      </c>
      <c r="O90"/>
      <c r="P90" s="971">
        <f t="shared" si="15"/>
        <v>0</v>
      </c>
      <c r="Q90" s="971">
        <f t="shared" si="16"/>
        <v>0</v>
      </c>
      <c r="R90" s="971">
        <f t="shared" si="17"/>
        <v>0</v>
      </c>
      <c r="S90" s="971">
        <f t="shared" si="18"/>
        <v>0</v>
      </c>
      <c r="T90" s="971">
        <f t="shared" si="19"/>
        <v>0</v>
      </c>
      <c r="U90"/>
      <c r="V90" s="980">
        <f t="shared" si="20"/>
        <v>0</v>
      </c>
      <c r="W90" s="980">
        <f t="shared" si="21"/>
        <v>0</v>
      </c>
      <c r="X90" s="980">
        <f t="shared" si="22"/>
        <v>0</v>
      </c>
      <c r="Y90" s="980">
        <f t="shared" si="23"/>
        <v>0</v>
      </c>
      <c r="Z90" s="980">
        <f t="shared" si="24"/>
        <v>0</v>
      </c>
      <c r="AA90"/>
      <c r="AB90"/>
      <c r="AC90"/>
      <c r="AD90"/>
      <c r="AE90"/>
    </row>
    <row r="91" spans="2:31" ht="16.5" thickBot="1">
      <c r="B91" s="52"/>
      <c r="C91" s="52"/>
      <c r="D91" s="963"/>
      <c r="E91" s="956"/>
      <c r="F91" s="963"/>
      <c r="G91" s="956"/>
      <c r="H91" s="963"/>
      <c r="I91" s="956"/>
      <c r="J91" s="963"/>
      <c r="K91" s="957"/>
      <c r="L91" s="937"/>
      <c r="M91" s="945"/>
      <c r="N91" s="937"/>
      <c r="O91"/>
      <c r="P91" s="972"/>
      <c r="Q91" s="972"/>
      <c r="R91" s="972"/>
      <c r="S91" s="972"/>
      <c r="T91" s="972"/>
      <c r="U91"/>
      <c r="V91" s="792"/>
      <c r="W91" s="792"/>
      <c r="X91" s="792"/>
      <c r="Y91" s="792"/>
      <c r="Z91" s="792"/>
      <c r="AA91"/>
      <c r="AB91"/>
      <c r="AC91"/>
      <c r="AD91"/>
      <c r="AE91"/>
    </row>
    <row r="92" spans="1:31" ht="16.5" thickBot="1">
      <c r="A92" s="397" t="str">
        <f>'Budget with Assumptions'!H92</f>
        <v>Total Personnel Costs</v>
      </c>
      <c r="B92" s="42"/>
      <c r="C92" s="42"/>
      <c r="D92" s="508">
        <f>SUM(D69:D90)</f>
        <v>33615</v>
      </c>
      <c r="E92" s="374"/>
      <c r="F92" s="508">
        <f>SUM(F69:F90)</f>
        <v>567699.125</v>
      </c>
      <c r="G92" s="374"/>
      <c r="H92" s="508">
        <f>SUM(H69:H90)</f>
        <v>611608.8575</v>
      </c>
      <c r="I92" s="374"/>
      <c r="J92" s="508">
        <f>SUM(J69:J90)</f>
        <v>657036.1996500001</v>
      </c>
      <c r="K92" s="375"/>
      <c r="L92" s="508">
        <f>SUM(L69:L90)</f>
        <v>670098.9236429998</v>
      </c>
      <c r="M92" s="930"/>
      <c r="N92" s="508">
        <f>SUM(N69:N90)</f>
        <v>683422.90211586</v>
      </c>
      <c r="O92"/>
      <c r="P92" s="751">
        <f>SUM(P69:P90)</f>
        <v>0.3553663703579279</v>
      </c>
      <c r="Q92" s="751">
        <f>SUM(Q69:Q90)</f>
        <v>0.42057975239172085</v>
      </c>
      <c r="R92" s="751">
        <f>SUM(R69:R90)</f>
        <v>0.41436285519518595</v>
      </c>
      <c r="S92" s="751">
        <f>SUM(S69:S90)</f>
        <v>0.4104404033032015</v>
      </c>
      <c r="T92" s="751">
        <f>SUM(T69:T90)</f>
        <v>0.41033032817197657</v>
      </c>
      <c r="U92"/>
      <c r="V92" s="753">
        <f>SUM(V69:V90)</f>
        <v>4541.593000000001</v>
      </c>
      <c r="W92" s="753">
        <f>SUM(W69:W90)</f>
        <v>4217.992120689655</v>
      </c>
      <c r="X92" s="753">
        <f>SUM(X69:X90)</f>
        <v>3982.037573636364</v>
      </c>
      <c r="Y92" s="753">
        <f>SUM(Y69:Y90)</f>
        <v>4061.2055978363633</v>
      </c>
      <c r="Z92" s="753">
        <f>SUM(Z69:Z90)</f>
        <v>4141.956982520363</v>
      </c>
      <c r="AA92"/>
      <c r="AB92"/>
      <c r="AC92"/>
      <c r="AD92"/>
      <c r="AE92"/>
    </row>
    <row r="93" spans="1:31" ht="16.5" thickBot="1">
      <c r="A93" s="49"/>
      <c r="B93" s="38"/>
      <c r="C93" s="38"/>
      <c r="D93" s="792"/>
      <c r="E93" s="792"/>
      <c r="F93" s="792"/>
      <c r="G93" s="792"/>
      <c r="H93" s="792"/>
      <c r="I93" s="792"/>
      <c r="J93" s="792"/>
      <c r="K93" s="931"/>
      <c r="L93" s="792"/>
      <c r="M93" s="931"/>
      <c r="N93" s="792"/>
      <c r="P93" s="972"/>
      <c r="Q93" s="972"/>
      <c r="R93" s="972"/>
      <c r="S93" s="972"/>
      <c r="T93" s="972"/>
      <c r="V93" s="792"/>
      <c r="W93" s="792"/>
      <c r="X93" s="792"/>
      <c r="Y93" s="792"/>
      <c r="Z93" s="792"/>
      <c r="AA93"/>
      <c r="AB93"/>
      <c r="AC93"/>
      <c r="AD93"/>
      <c r="AE93"/>
    </row>
    <row r="94" spans="1:31" ht="18.75" thickBot="1">
      <c r="A94" s="749" t="s">
        <v>196</v>
      </c>
      <c r="B94" s="50"/>
      <c r="C94" s="50"/>
      <c r="D94" s="962"/>
      <c r="E94" s="956"/>
      <c r="F94" s="962"/>
      <c r="G94" s="956"/>
      <c r="H94" s="962"/>
      <c r="I94" s="956"/>
      <c r="J94" s="962"/>
      <c r="K94" s="957"/>
      <c r="L94" s="68"/>
      <c r="M94" s="945"/>
      <c r="N94" s="68"/>
      <c r="O94"/>
      <c r="P94" s="972"/>
      <c r="Q94" s="972"/>
      <c r="R94" s="972"/>
      <c r="S94" s="972"/>
      <c r="T94" s="972"/>
      <c r="U94"/>
      <c r="V94" s="792"/>
      <c r="W94" s="792"/>
      <c r="X94" s="792"/>
      <c r="Y94" s="792"/>
      <c r="Z94" s="792"/>
      <c r="AA94"/>
      <c r="AB94"/>
      <c r="AC94"/>
      <c r="AD94"/>
      <c r="AE94"/>
    </row>
    <row r="95" spans="1:31" ht="15.75">
      <c r="A95" s="758" t="str">
        <f>'Budget with Assumptions'!A95</f>
        <v>Office Supplies</v>
      </c>
      <c r="B95" s="38"/>
      <c r="C95" s="38"/>
      <c r="D95" s="378">
        <f>'Budget with Assumptions'!J95</f>
        <v>0</v>
      </c>
      <c r="E95" s="956"/>
      <c r="F95" s="378">
        <f>'Budget with Assumptions'!L95</f>
        <v>1979.9999999999998</v>
      </c>
      <c r="G95" s="956"/>
      <c r="H95" s="378">
        <f>'Budget with Assumptions'!N95</f>
        <v>2121.5999999999995</v>
      </c>
      <c r="I95" s="956"/>
      <c r="J95" s="378">
        <f>'Budget with Assumptions'!P95</f>
        <v>2268.0719999999997</v>
      </c>
      <c r="K95" s="957"/>
      <c r="L95" s="378">
        <f>'Budget with Assumptions'!R95</f>
        <v>2313.4334399999993</v>
      </c>
      <c r="M95" s="945"/>
      <c r="N95" s="378">
        <f>'Budget with Assumptions'!T95</f>
        <v>2359.7021087999997</v>
      </c>
      <c r="O95"/>
      <c r="P95" s="971">
        <f aca="true" t="shared" si="25" ref="P95:P114">F95/$F$159</f>
        <v>0.0012394336759083383</v>
      </c>
      <c r="Q95" s="971">
        <f aca="true" t="shared" si="26" ref="Q95:Q114">H95/$H$159</f>
        <v>0.001458942249989038</v>
      </c>
      <c r="R95" s="971">
        <f aca="true" t="shared" si="27" ref="R95:R114">J95/$J$159</f>
        <v>0.0014303698794813518</v>
      </c>
      <c r="S95" s="971">
        <f aca="true" t="shared" si="28" ref="S95:S114">L95/$L$159</f>
        <v>0.0014169945968075899</v>
      </c>
      <c r="T95" s="971">
        <f aca="true" t="shared" si="29" ref="T95:T114">N95/$N$159</f>
        <v>0.0014167762562453043</v>
      </c>
      <c r="U95"/>
      <c r="V95" s="980">
        <f>F95/$F$178</f>
        <v>15.839999999999998</v>
      </c>
      <c r="W95" s="980">
        <f>H95/$H$178</f>
        <v>14.63172413793103</v>
      </c>
      <c r="X95" s="980">
        <f>J95/$J$178</f>
        <v>13.745890909090907</v>
      </c>
      <c r="Y95" s="980">
        <f>L95/$L$178</f>
        <v>14.020808727272723</v>
      </c>
      <c r="Z95" s="980">
        <f>N95/$N$178</f>
        <v>14.30122490181818</v>
      </c>
      <c r="AA95"/>
      <c r="AB95"/>
      <c r="AC95"/>
      <c r="AD95"/>
      <c r="AE95"/>
    </row>
    <row r="96" spans="1:31" ht="15.75">
      <c r="A96" s="758" t="str">
        <f>'Budget with Assumptions'!A96</f>
        <v>Furniture</v>
      </c>
      <c r="B96" s="42"/>
      <c r="C96" s="42"/>
      <c r="D96" s="378">
        <f>'Budget with Assumptions'!J96</f>
        <v>9899.999999999998</v>
      </c>
      <c r="E96" s="956"/>
      <c r="F96" s="378">
        <f>'Budget with Assumptions'!L96</f>
        <v>500</v>
      </c>
      <c r="G96" s="956"/>
      <c r="H96" s="378">
        <f>'Budget with Assumptions'!N96</f>
        <v>500</v>
      </c>
      <c r="I96" s="956"/>
      <c r="J96" s="378">
        <f>'Budget with Assumptions'!P96</f>
        <v>0</v>
      </c>
      <c r="K96" s="957"/>
      <c r="L96" s="378">
        <f>'Budget with Assumptions'!R96</f>
        <v>0</v>
      </c>
      <c r="M96" s="945"/>
      <c r="N96" s="378">
        <f>'Budget with Assumptions'!T96</f>
        <v>0</v>
      </c>
      <c r="O96"/>
      <c r="P96" s="971">
        <f t="shared" si="25"/>
        <v>0.0003129883019970551</v>
      </c>
      <c r="Q96" s="971">
        <f t="shared" si="26"/>
        <v>0.00034383065846272585</v>
      </c>
      <c r="R96" s="971">
        <f t="shared" si="27"/>
        <v>0</v>
      </c>
      <c r="S96" s="971">
        <f t="shared" si="28"/>
        <v>0</v>
      </c>
      <c r="T96" s="971">
        <f t="shared" si="29"/>
        <v>0</v>
      </c>
      <c r="U96"/>
      <c r="V96" s="980">
        <f aca="true" t="shared" si="30" ref="V96:V114">F96/$F$178</f>
        <v>4</v>
      </c>
      <c r="W96" s="980">
        <f aca="true" t="shared" si="31" ref="W96:W114">H96/$H$178</f>
        <v>3.4482758620689653</v>
      </c>
      <c r="X96" s="980">
        <f aca="true" t="shared" si="32" ref="X96:X114">J96/$J$178</f>
        <v>0</v>
      </c>
      <c r="Y96" s="980">
        <f aca="true" t="shared" si="33" ref="Y96:Y114">L96/$L$178</f>
        <v>0</v>
      </c>
      <c r="Z96" s="980">
        <f aca="true" t="shared" si="34" ref="Z96:Z114">N96/$N$178</f>
        <v>0</v>
      </c>
      <c r="AA96"/>
      <c r="AB96"/>
      <c r="AC96"/>
      <c r="AD96"/>
      <c r="AE96"/>
    </row>
    <row r="97" spans="1:31" ht="15.75">
      <c r="A97" s="758" t="str">
        <f>'Budget with Assumptions'!A97</f>
        <v>Telecommunications and Internet</v>
      </c>
      <c r="B97" s="42"/>
      <c r="C97" s="42"/>
      <c r="D97" s="378">
        <f>'Budget with Assumptions'!J97</f>
        <v>0</v>
      </c>
      <c r="E97" s="956"/>
      <c r="F97" s="378">
        <f>'Budget with Assumptions'!L97</f>
        <v>20000</v>
      </c>
      <c r="G97" s="956"/>
      <c r="H97" s="378">
        <f>'Budget with Assumptions'!N97</f>
        <v>20400</v>
      </c>
      <c r="I97" s="956"/>
      <c r="J97" s="378">
        <f>'Budget with Assumptions'!P97</f>
        <v>20808</v>
      </c>
      <c r="K97" s="957"/>
      <c r="L97" s="378">
        <f>'Budget with Assumptions'!R97</f>
        <v>21224.16</v>
      </c>
      <c r="M97" s="945"/>
      <c r="N97" s="378">
        <f>'Budget with Assumptions'!T97</f>
        <v>21648.6432</v>
      </c>
      <c r="O97"/>
      <c r="P97" s="971">
        <f t="shared" si="25"/>
        <v>0.012519532079882205</v>
      </c>
      <c r="Q97" s="971">
        <f t="shared" si="26"/>
        <v>0.014028290865279215</v>
      </c>
      <c r="R97" s="971">
        <f t="shared" si="27"/>
        <v>0.013122659444783046</v>
      </c>
      <c r="S97" s="971">
        <f t="shared" si="28"/>
        <v>0.012999950429427433</v>
      </c>
      <c r="T97" s="971">
        <f t="shared" si="29"/>
        <v>0.012997947305002791</v>
      </c>
      <c r="U97"/>
      <c r="V97" s="980">
        <f t="shared" si="30"/>
        <v>160</v>
      </c>
      <c r="W97" s="980">
        <f t="shared" si="31"/>
        <v>140.68965517241378</v>
      </c>
      <c r="X97" s="980">
        <f t="shared" si="32"/>
        <v>126.10909090909091</v>
      </c>
      <c r="Y97" s="980">
        <f t="shared" si="33"/>
        <v>128.63127272727272</v>
      </c>
      <c r="Z97" s="980">
        <f t="shared" si="34"/>
        <v>131.20389818181818</v>
      </c>
      <c r="AA97"/>
      <c r="AB97"/>
      <c r="AC97"/>
      <c r="AD97"/>
      <c r="AE97"/>
    </row>
    <row r="98" spans="1:31" ht="15.75">
      <c r="A98" s="758" t="str">
        <f>'Budget with Assumptions'!A98</f>
        <v>Administrative Equipment</v>
      </c>
      <c r="B98" s="42"/>
      <c r="C98" s="42"/>
      <c r="D98" s="378">
        <f>'Budget with Assumptions'!J98</f>
        <v>0</v>
      </c>
      <c r="E98" s="956"/>
      <c r="F98" s="378">
        <f>'Budget with Assumptions'!L98</f>
        <v>9899.999999999998</v>
      </c>
      <c r="G98" s="956"/>
      <c r="H98" s="378">
        <f>'Budget with Assumptions'!N98</f>
        <v>500</v>
      </c>
      <c r="I98" s="956"/>
      <c r="J98" s="378">
        <f>'Budget with Assumptions'!P98</f>
        <v>500</v>
      </c>
      <c r="K98" s="957"/>
      <c r="L98" s="378">
        <f>'Budget with Assumptions'!R98</f>
        <v>0</v>
      </c>
      <c r="M98" s="945"/>
      <c r="N98" s="378">
        <f>'Budget with Assumptions'!T98</f>
        <v>0</v>
      </c>
      <c r="O98"/>
      <c r="P98" s="971">
        <f t="shared" si="25"/>
        <v>0.006197168379541691</v>
      </c>
      <c r="Q98" s="971">
        <f t="shared" si="26"/>
        <v>0.00034383065846272585</v>
      </c>
      <c r="R98" s="971">
        <f t="shared" si="27"/>
        <v>0.0003153272646285815</v>
      </c>
      <c r="S98" s="971">
        <f t="shared" si="28"/>
        <v>0</v>
      </c>
      <c r="T98" s="971">
        <f t="shared" si="29"/>
        <v>0</v>
      </c>
      <c r="U98"/>
      <c r="V98" s="980">
        <f t="shared" si="30"/>
        <v>79.19999999999999</v>
      </c>
      <c r="W98" s="980">
        <f t="shared" si="31"/>
        <v>3.4482758620689653</v>
      </c>
      <c r="X98" s="980">
        <f t="shared" si="32"/>
        <v>3.0303030303030303</v>
      </c>
      <c r="Y98" s="980">
        <f t="shared" si="33"/>
        <v>0</v>
      </c>
      <c r="Z98" s="980">
        <f t="shared" si="34"/>
        <v>0</v>
      </c>
      <c r="AA98"/>
      <c r="AB98"/>
      <c r="AC98"/>
      <c r="AD98"/>
      <c r="AE98"/>
    </row>
    <row r="99" spans="1:31" ht="15.75">
      <c r="A99" s="758" t="str">
        <f>'Budget with Assumptions'!A99</f>
        <v>Accounting &amp; Audit (Contractual)</v>
      </c>
      <c r="B99" s="42"/>
      <c r="C99" s="42"/>
      <c r="D99" s="378">
        <f>'Budget with Assumptions'!J99</f>
        <v>0</v>
      </c>
      <c r="E99" s="956"/>
      <c r="F99" s="378">
        <f>'Budget with Assumptions'!L99</f>
        <v>4062.5</v>
      </c>
      <c r="G99" s="956"/>
      <c r="H99" s="378">
        <f>'Budget with Assumptions'!N99</f>
        <v>4712.5</v>
      </c>
      <c r="I99" s="956"/>
      <c r="J99" s="378">
        <f>'Budget with Assumptions'!P99</f>
        <v>5362.5</v>
      </c>
      <c r="K99" s="957"/>
      <c r="L99" s="378">
        <f>'Budget with Assumptions'!R99</f>
        <v>5362.5</v>
      </c>
      <c r="M99" s="945"/>
      <c r="N99" s="378">
        <f>'Budget with Assumptions'!T99</f>
        <v>5362.5</v>
      </c>
      <c r="O99"/>
      <c r="P99" s="971">
        <f t="shared" si="25"/>
        <v>0.002543029953726073</v>
      </c>
      <c r="Q99" s="971">
        <f t="shared" si="26"/>
        <v>0.003240603956011191</v>
      </c>
      <c r="R99" s="971">
        <f t="shared" si="27"/>
        <v>0.0033818849131415363</v>
      </c>
      <c r="S99" s="971">
        <f t="shared" si="28"/>
        <v>0.0032845697628459554</v>
      </c>
      <c r="T99" s="971">
        <f t="shared" si="29"/>
        <v>0.003219670248114093</v>
      </c>
      <c r="U99"/>
      <c r="V99" s="980">
        <f t="shared" si="30"/>
        <v>32.5</v>
      </c>
      <c r="W99" s="980">
        <f t="shared" si="31"/>
        <v>32.5</v>
      </c>
      <c r="X99" s="980">
        <f t="shared" si="32"/>
        <v>32.5</v>
      </c>
      <c r="Y99" s="980">
        <f t="shared" si="33"/>
        <v>32.5</v>
      </c>
      <c r="Z99" s="980">
        <f t="shared" si="34"/>
        <v>32.5</v>
      </c>
      <c r="AA99"/>
      <c r="AB99"/>
      <c r="AC99"/>
      <c r="AD99"/>
      <c r="AE99"/>
    </row>
    <row r="100" spans="1:31" ht="15.75">
      <c r="A100" s="758" t="str">
        <f>'Budget with Assumptions'!A100</f>
        <v>Legal (Contractual)</v>
      </c>
      <c r="B100" s="42"/>
      <c r="C100" s="42"/>
      <c r="D100" s="378">
        <f>'Budget with Assumptions'!J100</f>
        <v>0</v>
      </c>
      <c r="E100" s="956"/>
      <c r="F100" s="378">
        <f>'Budget with Assumptions'!L100</f>
        <v>4062.5</v>
      </c>
      <c r="G100" s="956"/>
      <c r="H100" s="378">
        <f>'Budget with Assumptions'!N100</f>
        <v>4712.5</v>
      </c>
      <c r="I100" s="956"/>
      <c r="J100" s="378">
        <f>'Budget with Assumptions'!P100</f>
        <v>5362.5</v>
      </c>
      <c r="K100" s="957"/>
      <c r="L100" s="378">
        <f>'Budget with Assumptions'!R100</f>
        <v>5362.5</v>
      </c>
      <c r="M100" s="945"/>
      <c r="N100" s="378">
        <f>'Budget with Assumptions'!T100</f>
        <v>5362.5</v>
      </c>
      <c r="O100"/>
      <c r="P100" s="971">
        <f t="shared" si="25"/>
        <v>0.002543029953726073</v>
      </c>
      <c r="Q100" s="971">
        <f t="shared" si="26"/>
        <v>0.003240603956011191</v>
      </c>
      <c r="R100" s="971">
        <f t="shared" si="27"/>
        <v>0.0033818849131415363</v>
      </c>
      <c r="S100" s="971">
        <f t="shared" si="28"/>
        <v>0.0032845697628459554</v>
      </c>
      <c r="T100" s="971">
        <f t="shared" si="29"/>
        <v>0.003219670248114093</v>
      </c>
      <c r="U100"/>
      <c r="V100" s="980">
        <f t="shared" si="30"/>
        <v>32.5</v>
      </c>
      <c r="W100" s="980">
        <f t="shared" si="31"/>
        <v>32.5</v>
      </c>
      <c r="X100" s="980">
        <f t="shared" si="32"/>
        <v>32.5</v>
      </c>
      <c r="Y100" s="980">
        <f t="shared" si="33"/>
        <v>32.5</v>
      </c>
      <c r="Z100" s="980">
        <f t="shared" si="34"/>
        <v>32.5</v>
      </c>
      <c r="AA100"/>
      <c r="AB100"/>
      <c r="AC100"/>
      <c r="AD100"/>
      <c r="AE100"/>
    </row>
    <row r="101" spans="1:31" ht="15.75">
      <c r="A101" s="758" t="str">
        <f>'Budget with Assumptions'!A101</f>
        <v>Payroll Services (Contractual)</v>
      </c>
      <c r="B101" s="42"/>
      <c r="C101" s="42"/>
      <c r="D101" s="378">
        <f>'Budget with Assumptions'!J101</f>
        <v>0</v>
      </c>
      <c r="E101" s="956"/>
      <c r="F101" s="378">
        <f>'Budget with Assumptions'!L101</f>
        <v>2059.2</v>
      </c>
      <c r="G101" s="956"/>
      <c r="H101" s="378">
        <f>'Budget with Assumptions'!N101</f>
        <v>2206.464</v>
      </c>
      <c r="I101" s="956"/>
      <c r="J101" s="378">
        <f>'Budget with Assumptions'!P101</f>
        <v>2358.79488</v>
      </c>
      <c r="K101" s="957"/>
      <c r="L101" s="378">
        <f>'Budget with Assumptions'!R101</f>
        <v>2405.9707775999996</v>
      </c>
      <c r="M101" s="945"/>
      <c r="N101" s="378">
        <f>'Budget with Assumptions'!T101</f>
        <v>2454.0901931519998</v>
      </c>
      <c r="O101"/>
      <c r="P101" s="971">
        <f t="shared" si="25"/>
        <v>0.0012890110229446718</v>
      </c>
      <c r="Q101" s="971">
        <f t="shared" si="26"/>
        <v>0.0015172999399885997</v>
      </c>
      <c r="R101" s="971">
        <f t="shared" si="27"/>
        <v>0.001487584674660606</v>
      </c>
      <c r="S101" s="971">
        <f t="shared" si="28"/>
        <v>0.0014736743806798935</v>
      </c>
      <c r="T101" s="971">
        <f t="shared" si="29"/>
        <v>0.0014734473064951165</v>
      </c>
      <c r="U101"/>
      <c r="V101" s="980">
        <f t="shared" si="30"/>
        <v>16.473599999999998</v>
      </c>
      <c r="W101" s="980">
        <f t="shared" si="31"/>
        <v>15.216993103448276</v>
      </c>
      <c r="X101" s="980">
        <f t="shared" si="32"/>
        <v>14.295726545454546</v>
      </c>
      <c r="Y101" s="980">
        <f t="shared" si="33"/>
        <v>14.581641076363633</v>
      </c>
      <c r="Z101" s="980">
        <f t="shared" si="34"/>
        <v>14.873273897890908</v>
      </c>
      <c r="AA101"/>
      <c r="AB101"/>
      <c r="AC101"/>
      <c r="AD101"/>
      <c r="AE101"/>
    </row>
    <row r="102" spans="1:31" ht="15.75">
      <c r="A102" s="758" t="str">
        <f>'Budget with Assumptions'!A102</f>
        <v>Printing &amp; Copying</v>
      </c>
      <c r="B102" s="42"/>
      <c r="C102" s="42"/>
      <c r="D102" s="378">
        <f>'Budget with Assumptions'!J102</f>
        <v>0</v>
      </c>
      <c r="E102" s="956"/>
      <c r="F102" s="378">
        <f>'Budget with Assumptions'!L102</f>
        <v>3125</v>
      </c>
      <c r="G102" s="956"/>
      <c r="H102" s="378">
        <f>'Budget with Assumptions'!N102</f>
        <v>3697.5</v>
      </c>
      <c r="I102" s="956"/>
      <c r="J102" s="378">
        <f>'Budget with Assumptions'!P102</f>
        <v>4291.65</v>
      </c>
      <c r="K102" s="957"/>
      <c r="L102" s="378">
        <f>'Budget with Assumptions'!R102</f>
        <v>4377.482999999999</v>
      </c>
      <c r="M102" s="945"/>
      <c r="N102" s="378">
        <f>'Budget with Assumptions'!T102</f>
        <v>4465.03266</v>
      </c>
      <c r="O102"/>
      <c r="P102" s="971">
        <f t="shared" si="25"/>
        <v>0.0019561768874815947</v>
      </c>
      <c r="Q102" s="971">
        <f t="shared" si="26"/>
        <v>0.0025426277193318575</v>
      </c>
      <c r="R102" s="971">
        <f t="shared" si="27"/>
        <v>0.002706548510486503</v>
      </c>
      <c r="S102" s="971">
        <f t="shared" si="28"/>
        <v>0.0026812397760694077</v>
      </c>
      <c r="T102" s="971">
        <f t="shared" si="29"/>
        <v>0.0026808266316568257</v>
      </c>
      <c r="U102"/>
      <c r="V102" s="980">
        <f t="shared" si="30"/>
        <v>25</v>
      </c>
      <c r="W102" s="980">
        <f t="shared" si="31"/>
        <v>25.5</v>
      </c>
      <c r="X102" s="980">
        <f t="shared" si="32"/>
        <v>26.009999999999998</v>
      </c>
      <c r="Y102" s="980">
        <f t="shared" si="33"/>
        <v>26.530199999999997</v>
      </c>
      <c r="Z102" s="980">
        <f t="shared" si="34"/>
        <v>27.060803999999997</v>
      </c>
      <c r="AA102"/>
      <c r="AB102"/>
      <c r="AC102"/>
      <c r="AD102"/>
      <c r="AE102"/>
    </row>
    <row r="103" spans="1:31" ht="15.75">
      <c r="A103" s="758" t="str">
        <f>'Budget with Assumptions'!A103</f>
        <v>Postage &amp; Shipping</v>
      </c>
      <c r="B103" s="42"/>
      <c r="C103" s="42"/>
      <c r="D103" s="378">
        <f>'Budget with Assumptions'!J103</f>
        <v>0</v>
      </c>
      <c r="E103" s="956"/>
      <c r="F103" s="378">
        <f>'Budget with Assumptions'!L103</f>
        <v>1500</v>
      </c>
      <c r="G103" s="956"/>
      <c r="H103" s="378">
        <f>'Budget with Assumptions'!N103</f>
        <v>1530</v>
      </c>
      <c r="I103" s="956"/>
      <c r="J103" s="378">
        <f>'Budget with Assumptions'!P103</f>
        <v>1560.6</v>
      </c>
      <c r="K103" s="957"/>
      <c r="L103" s="378">
        <f>'Budget with Assumptions'!R103</f>
        <v>1591.812</v>
      </c>
      <c r="M103" s="945"/>
      <c r="N103" s="378">
        <f>'Budget with Assumptions'!T103</f>
        <v>1623.64824</v>
      </c>
      <c r="O103"/>
      <c r="P103" s="971">
        <f t="shared" si="25"/>
        <v>0.0009389649059911655</v>
      </c>
      <c r="Q103" s="971">
        <f t="shared" si="26"/>
        <v>0.0010521218148959411</v>
      </c>
      <c r="R103" s="971">
        <f t="shared" si="27"/>
        <v>0.0009841994583587284</v>
      </c>
      <c r="S103" s="971">
        <f t="shared" si="28"/>
        <v>0.0009749962822070574</v>
      </c>
      <c r="T103" s="971">
        <f t="shared" si="29"/>
        <v>0.0009748460478752095</v>
      </c>
      <c r="U103"/>
      <c r="V103" s="980">
        <f t="shared" si="30"/>
        <v>12</v>
      </c>
      <c r="W103" s="980">
        <f t="shared" si="31"/>
        <v>10.551724137931034</v>
      </c>
      <c r="X103" s="980">
        <f t="shared" si="32"/>
        <v>9.458181818181817</v>
      </c>
      <c r="Y103" s="980">
        <f t="shared" si="33"/>
        <v>9.647345454545453</v>
      </c>
      <c r="Z103" s="980">
        <f t="shared" si="34"/>
        <v>9.840292363636364</v>
      </c>
      <c r="AA103"/>
      <c r="AB103"/>
      <c r="AC103"/>
      <c r="AD103"/>
      <c r="AE103"/>
    </row>
    <row r="104" spans="1:31" ht="15.75">
      <c r="A104" s="758" t="str">
        <f>'Budget with Assumptions'!A104</f>
        <v>Other Contractual Services</v>
      </c>
      <c r="B104" s="42"/>
      <c r="C104" s="42"/>
      <c r="D104" s="378">
        <f>'Budget with Assumptions'!J104</f>
        <v>5000</v>
      </c>
      <c r="E104" s="956"/>
      <c r="F104" s="378">
        <f>'Budget with Assumptions'!L104</f>
        <v>5000</v>
      </c>
      <c r="G104" s="956"/>
      <c r="H104" s="378">
        <f>'Budget with Assumptions'!N104</f>
        <v>5100</v>
      </c>
      <c r="I104" s="956"/>
      <c r="J104" s="378">
        <f>'Budget with Assumptions'!P104</f>
        <v>5202</v>
      </c>
      <c r="K104" s="957"/>
      <c r="L104" s="378">
        <f>'Budget with Assumptions'!R104</f>
        <v>5306.04</v>
      </c>
      <c r="M104" s="945"/>
      <c r="N104" s="378">
        <f>'Budget with Assumptions'!T104</f>
        <v>5412.1608</v>
      </c>
      <c r="O104"/>
      <c r="P104" s="971">
        <f t="shared" si="25"/>
        <v>0.0031298830199705512</v>
      </c>
      <c r="Q104" s="971">
        <f t="shared" si="26"/>
        <v>0.003507072716319804</v>
      </c>
      <c r="R104" s="971">
        <f t="shared" si="27"/>
        <v>0.0032806648611957614</v>
      </c>
      <c r="S104" s="971">
        <f t="shared" si="28"/>
        <v>0.003249987607356858</v>
      </c>
      <c r="T104" s="971">
        <f t="shared" si="29"/>
        <v>0.003249486826250698</v>
      </c>
      <c r="U104"/>
      <c r="V104" s="980">
        <f t="shared" si="30"/>
        <v>40</v>
      </c>
      <c r="W104" s="980">
        <f t="shared" si="31"/>
        <v>35.172413793103445</v>
      </c>
      <c r="X104" s="980">
        <f t="shared" si="32"/>
        <v>31.527272727272727</v>
      </c>
      <c r="Y104" s="980">
        <f t="shared" si="33"/>
        <v>32.15781818181818</v>
      </c>
      <c r="Z104" s="980">
        <f t="shared" si="34"/>
        <v>32.800974545454544</v>
      </c>
      <c r="AA104"/>
      <c r="AB104"/>
      <c r="AC104"/>
      <c r="AD104"/>
      <c r="AE104"/>
    </row>
    <row r="105" spans="1:31" ht="15.75">
      <c r="A105" s="758" t="str">
        <f>'Budget with Assumptions'!A105</f>
        <v>Travel</v>
      </c>
      <c r="B105" s="42"/>
      <c r="C105" s="42"/>
      <c r="D105" s="378">
        <f>'Budget with Assumptions'!J105</f>
        <v>0</v>
      </c>
      <c r="E105" s="956"/>
      <c r="F105" s="378">
        <f>'Budget with Assumptions'!L105</f>
        <v>791.9999999999999</v>
      </c>
      <c r="G105" s="956"/>
      <c r="H105" s="378">
        <f>'Budget with Assumptions'!N105</f>
        <v>848.6399999999999</v>
      </c>
      <c r="I105" s="956"/>
      <c r="J105" s="378">
        <f>'Budget with Assumptions'!P105</f>
        <v>907.2287999999999</v>
      </c>
      <c r="K105" s="957"/>
      <c r="L105" s="378">
        <f>'Budget with Assumptions'!R105</f>
        <v>925.3733759999998</v>
      </c>
      <c r="M105" s="945"/>
      <c r="N105" s="378">
        <f>'Budget with Assumptions'!T105</f>
        <v>943.8808435199999</v>
      </c>
      <c r="O105"/>
      <c r="P105" s="971">
        <f t="shared" si="25"/>
        <v>0.0004957734703633352</v>
      </c>
      <c r="Q105" s="971">
        <f t="shared" si="26"/>
        <v>0.0005835768999956153</v>
      </c>
      <c r="R105" s="971">
        <f t="shared" si="27"/>
        <v>0.0005721479517925407</v>
      </c>
      <c r="S105" s="971">
        <f t="shared" si="28"/>
        <v>0.000566797838723036</v>
      </c>
      <c r="T105" s="971">
        <f t="shared" si="29"/>
        <v>0.0005667105024981217</v>
      </c>
      <c r="U105"/>
      <c r="V105" s="980">
        <f t="shared" si="30"/>
        <v>6.335999999999999</v>
      </c>
      <c r="W105" s="980">
        <f t="shared" si="31"/>
        <v>5.852689655172413</v>
      </c>
      <c r="X105" s="980">
        <f t="shared" si="32"/>
        <v>5.498356363636363</v>
      </c>
      <c r="Y105" s="980">
        <f t="shared" si="33"/>
        <v>5.60832349090909</v>
      </c>
      <c r="Z105" s="980">
        <f t="shared" si="34"/>
        <v>5.720489960727272</v>
      </c>
      <c r="AA105"/>
      <c r="AB105"/>
      <c r="AC105"/>
      <c r="AD105"/>
      <c r="AE105"/>
    </row>
    <row r="106" spans="1:31" ht="15.75">
      <c r="A106" s="758" t="str">
        <f>'Budget with Assumptions'!A106</f>
        <v>Computer Network Equipment</v>
      </c>
      <c r="B106" s="42"/>
      <c r="C106" s="42"/>
      <c r="D106" s="378">
        <f>'Budget with Assumptions'!J106</f>
        <v>10000</v>
      </c>
      <c r="E106" s="956"/>
      <c r="F106" s="378">
        <f>'Budget with Assumptions'!L106</f>
        <v>20000</v>
      </c>
      <c r="G106" s="956"/>
      <c r="H106" s="378">
        <f>'Budget with Assumptions'!N106</f>
        <v>10000</v>
      </c>
      <c r="I106" s="956"/>
      <c r="J106" s="378">
        <f>'Budget with Assumptions'!P106</f>
        <v>5000</v>
      </c>
      <c r="K106" s="957"/>
      <c r="L106" s="378">
        <f>'Budget with Assumptions'!R106</f>
        <v>5000</v>
      </c>
      <c r="M106" s="945"/>
      <c r="N106" s="378">
        <f>'Budget with Assumptions'!T106</f>
        <v>5000</v>
      </c>
      <c r="O106"/>
      <c r="P106" s="971">
        <f t="shared" si="25"/>
        <v>0.012519532079882205</v>
      </c>
      <c r="Q106" s="971">
        <f t="shared" si="26"/>
        <v>0.006876613169254517</v>
      </c>
      <c r="R106" s="971">
        <f t="shared" si="27"/>
        <v>0.0031532726462858147</v>
      </c>
      <c r="S106" s="971">
        <f t="shared" si="28"/>
        <v>0.003062535909413478</v>
      </c>
      <c r="T106" s="971">
        <f t="shared" si="29"/>
        <v>0.003002023541365122</v>
      </c>
      <c r="U106"/>
      <c r="V106" s="980">
        <f t="shared" si="30"/>
        <v>160</v>
      </c>
      <c r="W106" s="980">
        <f t="shared" si="31"/>
        <v>68.96551724137932</v>
      </c>
      <c r="X106" s="980">
        <f t="shared" si="32"/>
        <v>30.303030303030305</v>
      </c>
      <c r="Y106" s="980">
        <f t="shared" si="33"/>
        <v>30.303030303030305</v>
      </c>
      <c r="Z106" s="980">
        <f t="shared" si="34"/>
        <v>30.303030303030305</v>
      </c>
      <c r="AA106"/>
      <c r="AB106"/>
      <c r="AC106"/>
      <c r="AD106"/>
      <c r="AE106"/>
    </row>
    <row r="107" spans="1:31" ht="15.75">
      <c r="A107" s="758">
        <f>'Budget with Assumptions'!A107</f>
        <v>0</v>
      </c>
      <c r="B107" s="42"/>
      <c r="C107" s="42"/>
      <c r="D107" s="378">
        <f>'Budget with Assumptions'!J107</f>
        <v>0</v>
      </c>
      <c r="E107" s="956"/>
      <c r="F107" s="378">
        <f>'Budget with Assumptions'!L107</f>
        <v>0</v>
      </c>
      <c r="G107" s="956"/>
      <c r="H107" s="378">
        <f>'Budget with Assumptions'!N107</f>
        <v>0</v>
      </c>
      <c r="I107" s="956"/>
      <c r="J107" s="378">
        <f>'Budget with Assumptions'!P107</f>
        <v>0</v>
      </c>
      <c r="K107" s="957"/>
      <c r="L107" s="378">
        <f>'Budget with Assumptions'!R107</f>
        <v>0</v>
      </c>
      <c r="M107" s="945"/>
      <c r="N107" s="378">
        <f>'Budget with Assumptions'!T107</f>
        <v>0</v>
      </c>
      <c r="O107"/>
      <c r="P107" s="971">
        <f t="shared" si="25"/>
        <v>0</v>
      </c>
      <c r="Q107" s="971">
        <f t="shared" si="26"/>
        <v>0</v>
      </c>
      <c r="R107" s="971">
        <f t="shared" si="27"/>
        <v>0</v>
      </c>
      <c r="S107" s="971">
        <f t="shared" si="28"/>
        <v>0</v>
      </c>
      <c r="T107" s="971">
        <f t="shared" si="29"/>
        <v>0</v>
      </c>
      <c r="U107"/>
      <c r="V107" s="980">
        <f t="shared" si="30"/>
        <v>0</v>
      </c>
      <c r="W107" s="980">
        <f t="shared" si="31"/>
        <v>0</v>
      </c>
      <c r="X107" s="980">
        <f t="shared" si="32"/>
        <v>0</v>
      </c>
      <c r="Y107" s="980">
        <f t="shared" si="33"/>
        <v>0</v>
      </c>
      <c r="Z107" s="980">
        <f t="shared" si="34"/>
        <v>0</v>
      </c>
      <c r="AA107"/>
      <c r="AB107"/>
      <c r="AC107"/>
      <c r="AD107"/>
      <c r="AE107"/>
    </row>
    <row r="108" spans="1:31" ht="15.75">
      <c r="A108" s="758">
        <f>'Budget with Assumptions'!A108</f>
        <v>0</v>
      </c>
      <c r="B108" s="46"/>
      <c r="C108" s="46"/>
      <c r="D108" s="378">
        <f>'Budget with Assumptions'!J108</f>
        <v>0</v>
      </c>
      <c r="E108" s="956"/>
      <c r="F108" s="378">
        <f>'Budget with Assumptions'!L108</f>
        <v>0</v>
      </c>
      <c r="G108" s="956"/>
      <c r="H108" s="378">
        <f>'Budget with Assumptions'!N108</f>
        <v>0</v>
      </c>
      <c r="I108" s="956"/>
      <c r="J108" s="378">
        <f>'Budget with Assumptions'!P108</f>
        <v>0</v>
      </c>
      <c r="K108" s="957"/>
      <c r="L108" s="378">
        <f>'Budget with Assumptions'!R108</f>
        <v>0</v>
      </c>
      <c r="M108" s="945"/>
      <c r="N108" s="378">
        <f>'Budget with Assumptions'!T108</f>
        <v>0</v>
      </c>
      <c r="O108"/>
      <c r="P108" s="971">
        <f t="shared" si="25"/>
        <v>0</v>
      </c>
      <c r="Q108" s="971">
        <f t="shared" si="26"/>
        <v>0</v>
      </c>
      <c r="R108" s="971">
        <f t="shared" si="27"/>
        <v>0</v>
      </c>
      <c r="S108" s="971">
        <f t="shared" si="28"/>
        <v>0</v>
      </c>
      <c r="T108" s="971">
        <f t="shared" si="29"/>
        <v>0</v>
      </c>
      <c r="U108"/>
      <c r="V108" s="980">
        <f t="shared" si="30"/>
        <v>0</v>
      </c>
      <c r="W108" s="980">
        <f t="shared" si="31"/>
        <v>0</v>
      </c>
      <c r="X108" s="980">
        <f t="shared" si="32"/>
        <v>0</v>
      </c>
      <c r="Y108" s="980">
        <f t="shared" si="33"/>
        <v>0</v>
      </c>
      <c r="Z108" s="980">
        <f t="shared" si="34"/>
        <v>0</v>
      </c>
      <c r="AA108"/>
      <c r="AB108"/>
      <c r="AC108"/>
      <c r="AD108"/>
      <c r="AE108"/>
    </row>
    <row r="109" spans="1:31" ht="15.75">
      <c r="A109" s="758">
        <f>'Budget with Assumptions'!A109</f>
        <v>0</v>
      </c>
      <c r="B109" s="46"/>
      <c r="C109" s="46"/>
      <c r="D109" s="378">
        <f>'Budget with Assumptions'!J109</f>
        <v>0</v>
      </c>
      <c r="E109" s="956"/>
      <c r="F109" s="378">
        <f>'Budget with Assumptions'!L109</f>
        <v>0</v>
      </c>
      <c r="G109" s="956"/>
      <c r="H109" s="378">
        <f>'Budget with Assumptions'!N109</f>
        <v>0</v>
      </c>
      <c r="I109" s="956"/>
      <c r="J109" s="378">
        <f>'Budget with Assumptions'!P109</f>
        <v>0</v>
      </c>
      <c r="K109" s="957"/>
      <c r="L109" s="378">
        <f>'Budget with Assumptions'!R109</f>
        <v>0</v>
      </c>
      <c r="M109" s="945"/>
      <c r="N109" s="378">
        <f>'Budget with Assumptions'!T109</f>
        <v>0</v>
      </c>
      <c r="O109"/>
      <c r="P109" s="971">
        <f t="shared" si="25"/>
        <v>0</v>
      </c>
      <c r="Q109" s="971">
        <f t="shared" si="26"/>
        <v>0</v>
      </c>
      <c r="R109" s="971">
        <f t="shared" si="27"/>
        <v>0</v>
      </c>
      <c r="S109" s="971">
        <f t="shared" si="28"/>
        <v>0</v>
      </c>
      <c r="T109" s="971">
        <f t="shared" si="29"/>
        <v>0</v>
      </c>
      <c r="U109"/>
      <c r="V109" s="980">
        <f t="shared" si="30"/>
        <v>0</v>
      </c>
      <c r="W109" s="980">
        <f t="shared" si="31"/>
        <v>0</v>
      </c>
      <c r="X109" s="980">
        <f t="shared" si="32"/>
        <v>0</v>
      </c>
      <c r="Y109" s="980">
        <f t="shared" si="33"/>
        <v>0</v>
      </c>
      <c r="Z109" s="980">
        <f t="shared" si="34"/>
        <v>0</v>
      </c>
      <c r="AA109"/>
      <c r="AB109"/>
      <c r="AC109"/>
      <c r="AD109"/>
      <c r="AE109"/>
    </row>
    <row r="110" spans="1:31" ht="15.75">
      <c r="A110" s="758">
        <f>'Budget with Assumptions'!A110</f>
        <v>0</v>
      </c>
      <c r="B110" s="46"/>
      <c r="C110" s="46"/>
      <c r="D110" s="378">
        <f>'Budget with Assumptions'!J110</f>
        <v>0</v>
      </c>
      <c r="E110" s="956"/>
      <c r="F110" s="378">
        <f>'Budget with Assumptions'!L110</f>
        <v>0</v>
      </c>
      <c r="G110" s="956"/>
      <c r="H110" s="378">
        <f>'Budget with Assumptions'!N110</f>
        <v>0</v>
      </c>
      <c r="I110" s="956"/>
      <c r="J110" s="378">
        <f>'Budget with Assumptions'!P110</f>
        <v>0</v>
      </c>
      <c r="K110" s="957"/>
      <c r="L110" s="378">
        <f>'Budget with Assumptions'!R110</f>
        <v>0</v>
      </c>
      <c r="M110" s="945"/>
      <c r="N110" s="378">
        <f>'Budget with Assumptions'!T110</f>
        <v>0</v>
      </c>
      <c r="O110"/>
      <c r="P110" s="971">
        <f t="shared" si="25"/>
        <v>0</v>
      </c>
      <c r="Q110" s="971">
        <f t="shared" si="26"/>
        <v>0</v>
      </c>
      <c r="R110" s="971">
        <f t="shared" si="27"/>
        <v>0</v>
      </c>
      <c r="S110" s="971">
        <f t="shared" si="28"/>
        <v>0</v>
      </c>
      <c r="T110" s="971">
        <f t="shared" si="29"/>
        <v>0</v>
      </c>
      <c r="U110"/>
      <c r="V110" s="980">
        <f t="shared" si="30"/>
        <v>0</v>
      </c>
      <c r="W110" s="980">
        <f t="shared" si="31"/>
        <v>0</v>
      </c>
      <c r="X110" s="980">
        <f t="shared" si="32"/>
        <v>0</v>
      </c>
      <c r="Y110" s="980">
        <f t="shared" si="33"/>
        <v>0</v>
      </c>
      <c r="Z110" s="980">
        <f t="shared" si="34"/>
        <v>0</v>
      </c>
      <c r="AA110"/>
      <c r="AB110"/>
      <c r="AC110"/>
      <c r="AD110"/>
      <c r="AE110"/>
    </row>
    <row r="111" spans="1:31" ht="15.75">
      <c r="A111" s="758">
        <f>'Budget with Assumptions'!A111</f>
        <v>0</v>
      </c>
      <c r="B111" s="46"/>
      <c r="C111" s="46"/>
      <c r="D111" s="378">
        <f>'Budget with Assumptions'!J111</f>
        <v>0</v>
      </c>
      <c r="E111" s="956"/>
      <c r="F111" s="378">
        <f>'Budget with Assumptions'!L111</f>
        <v>0</v>
      </c>
      <c r="G111" s="956"/>
      <c r="H111" s="378">
        <f>'Budget with Assumptions'!N111</f>
        <v>0</v>
      </c>
      <c r="I111" s="956"/>
      <c r="J111" s="378">
        <f>'Budget with Assumptions'!P111</f>
        <v>0</v>
      </c>
      <c r="K111" s="957"/>
      <c r="L111" s="378">
        <f>'Budget with Assumptions'!R111</f>
        <v>0</v>
      </c>
      <c r="M111" s="945"/>
      <c r="N111" s="378">
        <f>'Budget with Assumptions'!T111</f>
        <v>0</v>
      </c>
      <c r="O111"/>
      <c r="P111" s="971">
        <f t="shared" si="25"/>
        <v>0</v>
      </c>
      <c r="Q111" s="971">
        <f t="shared" si="26"/>
        <v>0</v>
      </c>
      <c r="R111" s="971">
        <f t="shared" si="27"/>
        <v>0</v>
      </c>
      <c r="S111" s="971">
        <f t="shared" si="28"/>
        <v>0</v>
      </c>
      <c r="T111" s="971">
        <f t="shared" si="29"/>
        <v>0</v>
      </c>
      <c r="U111"/>
      <c r="V111" s="980">
        <f t="shared" si="30"/>
        <v>0</v>
      </c>
      <c r="W111" s="980">
        <f t="shared" si="31"/>
        <v>0</v>
      </c>
      <c r="X111" s="980">
        <f t="shared" si="32"/>
        <v>0</v>
      </c>
      <c r="Y111" s="980">
        <f t="shared" si="33"/>
        <v>0</v>
      </c>
      <c r="Z111" s="980">
        <f t="shared" si="34"/>
        <v>0</v>
      </c>
      <c r="AA111"/>
      <c r="AB111"/>
      <c r="AC111"/>
      <c r="AD111"/>
      <c r="AE111"/>
    </row>
    <row r="112" spans="1:31" ht="15.75">
      <c r="A112" s="758">
        <f>'Budget with Assumptions'!A112</f>
        <v>0</v>
      </c>
      <c r="B112" s="46"/>
      <c r="C112" s="46"/>
      <c r="D112" s="378">
        <f>'Budget with Assumptions'!J112</f>
        <v>0</v>
      </c>
      <c r="E112" s="956"/>
      <c r="F112" s="378">
        <f>'Budget with Assumptions'!L112</f>
        <v>0</v>
      </c>
      <c r="G112" s="956"/>
      <c r="H112" s="378">
        <f>'Budget with Assumptions'!N112</f>
        <v>0</v>
      </c>
      <c r="I112" s="956"/>
      <c r="J112" s="378">
        <f>'Budget with Assumptions'!P112</f>
        <v>0</v>
      </c>
      <c r="K112" s="957"/>
      <c r="L112" s="378">
        <f>'Budget with Assumptions'!R112</f>
        <v>0</v>
      </c>
      <c r="M112" s="945"/>
      <c r="N112" s="378">
        <f>'Budget with Assumptions'!T112</f>
        <v>0</v>
      </c>
      <c r="O112"/>
      <c r="P112" s="971">
        <f t="shared" si="25"/>
        <v>0</v>
      </c>
      <c r="Q112" s="971">
        <f t="shared" si="26"/>
        <v>0</v>
      </c>
      <c r="R112" s="971">
        <f t="shared" si="27"/>
        <v>0</v>
      </c>
      <c r="S112" s="971">
        <f t="shared" si="28"/>
        <v>0</v>
      </c>
      <c r="T112" s="971">
        <f t="shared" si="29"/>
        <v>0</v>
      </c>
      <c r="U112"/>
      <c r="V112" s="980">
        <f t="shared" si="30"/>
        <v>0</v>
      </c>
      <c r="W112" s="980">
        <f t="shared" si="31"/>
        <v>0</v>
      </c>
      <c r="X112" s="980">
        <f t="shared" si="32"/>
        <v>0</v>
      </c>
      <c r="Y112" s="980">
        <f t="shared" si="33"/>
        <v>0</v>
      </c>
      <c r="Z112" s="980">
        <f t="shared" si="34"/>
        <v>0</v>
      </c>
      <c r="AA112"/>
      <c r="AB112"/>
      <c r="AC112"/>
      <c r="AD112"/>
      <c r="AE112"/>
    </row>
    <row r="113" spans="1:31" ht="15.75">
      <c r="A113" s="758">
        <f>'Budget with Assumptions'!A113</f>
        <v>0</v>
      </c>
      <c r="B113" s="46"/>
      <c r="C113" s="46"/>
      <c r="D113" s="378">
        <f>'Budget with Assumptions'!J113</f>
        <v>0</v>
      </c>
      <c r="E113" s="956"/>
      <c r="F113" s="378">
        <f>'Budget with Assumptions'!L113</f>
        <v>0</v>
      </c>
      <c r="G113" s="956"/>
      <c r="H113" s="378">
        <f>'Budget with Assumptions'!N113</f>
        <v>0</v>
      </c>
      <c r="I113" s="956"/>
      <c r="J113" s="378">
        <f>'Budget with Assumptions'!P113</f>
        <v>0</v>
      </c>
      <c r="K113" s="957"/>
      <c r="L113" s="378">
        <f>'Budget with Assumptions'!R113</f>
        <v>0</v>
      </c>
      <c r="M113" s="945"/>
      <c r="N113" s="378">
        <f>'Budget with Assumptions'!T113</f>
        <v>0</v>
      </c>
      <c r="O113"/>
      <c r="P113" s="971">
        <f t="shared" si="25"/>
        <v>0</v>
      </c>
      <c r="Q113" s="971">
        <f t="shared" si="26"/>
        <v>0</v>
      </c>
      <c r="R113" s="971">
        <f t="shared" si="27"/>
        <v>0</v>
      </c>
      <c r="S113" s="971">
        <f t="shared" si="28"/>
        <v>0</v>
      </c>
      <c r="T113" s="971">
        <f t="shared" si="29"/>
        <v>0</v>
      </c>
      <c r="U113"/>
      <c r="V113" s="980">
        <f t="shared" si="30"/>
        <v>0</v>
      </c>
      <c r="W113" s="980">
        <f t="shared" si="31"/>
        <v>0</v>
      </c>
      <c r="X113" s="980">
        <f t="shared" si="32"/>
        <v>0</v>
      </c>
      <c r="Y113" s="980">
        <f t="shared" si="33"/>
        <v>0</v>
      </c>
      <c r="Z113" s="980">
        <f t="shared" si="34"/>
        <v>0</v>
      </c>
      <c r="AA113"/>
      <c r="AB113"/>
      <c r="AC113"/>
      <c r="AD113"/>
      <c r="AE113"/>
    </row>
    <row r="114" spans="1:31" ht="15.75">
      <c r="A114" s="748">
        <f>'Budget with Assumptions'!A114</f>
        <v>0</v>
      </c>
      <c r="B114" s="46"/>
      <c r="C114" s="46"/>
      <c r="D114" s="378">
        <f>'Budget with Assumptions'!J114</f>
        <v>0</v>
      </c>
      <c r="E114" s="956"/>
      <c r="F114" s="378">
        <f>'Budget with Assumptions'!L114</f>
        <v>0</v>
      </c>
      <c r="G114" s="956"/>
      <c r="H114" s="378">
        <f>'Budget with Assumptions'!N114</f>
        <v>0</v>
      </c>
      <c r="I114" s="956"/>
      <c r="J114" s="378">
        <f>'Budget with Assumptions'!P114</f>
        <v>0</v>
      </c>
      <c r="K114" s="957"/>
      <c r="L114" s="378">
        <f>'Budget with Assumptions'!R114</f>
        <v>0</v>
      </c>
      <c r="M114" s="945"/>
      <c r="N114" s="378">
        <f>'Budget with Assumptions'!T114</f>
        <v>0</v>
      </c>
      <c r="O114"/>
      <c r="P114" s="971">
        <f t="shared" si="25"/>
        <v>0</v>
      </c>
      <c r="Q114" s="971">
        <f t="shared" si="26"/>
        <v>0</v>
      </c>
      <c r="R114" s="971">
        <f t="shared" si="27"/>
        <v>0</v>
      </c>
      <c r="S114" s="971">
        <f t="shared" si="28"/>
        <v>0</v>
      </c>
      <c r="T114" s="971">
        <f t="shared" si="29"/>
        <v>0</v>
      </c>
      <c r="U114"/>
      <c r="V114" s="980">
        <f t="shared" si="30"/>
        <v>0</v>
      </c>
      <c r="W114" s="980">
        <f t="shared" si="31"/>
        <v>0</v>
      </c>
      <c r="X114" s="980">
        <f t="shared" si="32"/>
        <v>0</v>
      </c>
      <c r="Y114" s="980">
        <f t="shared" si="33"/>
        <v>0</v>
      </c>
      <c r="Z114" s="980">
        <f t="shared" si="34"/>
        <v>0</v>
      </c>
      <c r="AA114"/>
      <c r="AB114"/>
      <c r="AC114"/>
      <c r="AD114"/>
      <c r="AE114"/>
    </row>
    <row r="115" spans="1:31" ht="16.5" thickBot="1">
      <c r="A115" s="40"/>
      <c r="B115" s="46"/>
      <c r="C115" s="46"/>
      <c r="D115" s="963"/>
      <c r="E115" s="956"/>
      <c r="F115" s="963"/>
      <c r="G115" s="956"/>
      <c r="H115" s="963"/>
      <c r="I115" s="956"/>
      <c r="J115" s="963"/>
      <c r="K115" s="957"/>
      <c r="L115" s="937"/>
      <c r="M115" s="945"/>
      <c r="N115" s="937"/>
      <c r="O115"/>
      <c r="P115" s="972"/>
      <c r="Q115" s="972"/>
      <c r="R115" s="972"/>
      <c r="S115" s="972"/>
      <c r="T115" s="972"/>
      <c r="U115"/>
      <c r="V115" s="792"/>
      <c r="W115" s="792"/>
      <c r="X115" s="792"/>
      <c r="Y115" s="792"/>
      <c r="Z115" s="792"/>
      <c r="AA115"/>
      <c r="AB115"/>
      <c r="AC115"/>
      <c r="AD115"/>
      <c r="AE115"/>
    </row>
    <row r="116" spans="1:31" ht="16.5" thickBot="1">
      <c r="A116" s="397" t="str">
        <f>'Budget with Assumptions'!H116</f>
        <v>Total Office Administration</v>
      </c>
      <c r="B116" s="42"/>
      <c r="C116" s="42"/>
      <c r="D116" s="508">
        <f>SUM(D95:D114)</f>
        <v>24900</v>
      </c>
      <c r="E116" s="374"/>
      <c r="F116" s="508">
        <f>SUM(F95:F114)</f>
        <v>72981.2</v>
      </c>
      <c r="G116" s="374"/>
      <c r="H116" s="508">
        <f>SUM(H95:H114)</f>
        <v>56329.204</v>
      </c>
      <c r="I116" s="374"/>
      <c r="J116" s="508">
        <f>SUM(J95:J114)</f>
        <v>53621.34568</v>
      </c>
      <c r="K116" s="375"/>
      <c r="L116" s="508">
        <f>SUM(L95:L114)</f>
        <v>53869.2725936</v>
      </c>
      <c r="M116" s="930"/>
      <c r="N116" s="508">
        <f>SUM(N95:N114)</f>
        <v>54632.15804547199</v>
      </c>
      <c r="O116"/>
      <c r="P116" s="751">
        <f>SUM(P95:P114)</f>
        <v>0.04568452373141496</v>
      </c>
      <c r="Q116" s="751">
        <f>SUM(Q95:Q114)</f>
        <v>0.03873541460400242</v>
      </c>
      <c r="R116" s="751">
        <f>SUM(R95:R114)</f>
        <v>0.033816544517956</v>
      </c>
      <c r="S116" s="751">
        <f>SUM(S95:S114)</f>
        <v>0.03299531634637667</v>
      </c>
      <c r="T116" s="751">
        <f>SUM(T95:T114)</f>
        <v>0.032801404913617375</v>
      </c>
      <c r="U116"/>
      <c r="V116" s="753">
        <f>SUM(V95:V114)</f>
        <v>583.8496</v>
      </c>
      <c r="W116" s="753">
        <f>SUM(W95:W114)</f>
        <v>388.4772689655172</v>
      </c>
      <c r="X116" s="753">
        <f>SUM(X95:X114)</f>
        <v>324.9778526060606</v>
      </c>
      <c r="Y116" s="753">
        <f>SUM(Y95:Y114)</f>
        <v>326.48043996121214</v>
      </c>
      <c r="Z116" s="753">
        <f>SUM(Z95:Z114)</f>
        <v>331.1039881543757</v>
      </c>
      <c r="AA116"/>
      <c r="AB116"/>
      <c r="AC116"/>
      <c r="AD116"/>
      <c r="AE116"/>
    </row>
    <row r="117" spans="1:31" ht="16.5" thickBot="1">
      <c r="A117" s="53"/>
      <c r="B117" s="38"/>
      <c r="C117" s="38"/>
      <c r="D117" s="792"/>
      <c r="E117" s="792"/>
      <c r="F117" s="792"/>
      <c r="G117" s="792"/>
      <c r="H117" s="792"/>
      <c r="I117" s="792"/>
      <c r="J117" s="792"/>
      <c r="K117" s="931"/>
      <c r="L117" s="792"/>
      <c r="M117" s="931"/>
      <c r="N117" s="792"/>
      <c r="P117" s="972"/>
      <c r="Q117" s="972"/>
      <c r="R117" s="972"/>
      <c r="S117" s="972"/>
      <c r="T117" s="972"/>
      <c r="V117" s="792"/>
      <c r="W117" s="792"/>
      <c r="X117" s="792"/>
      <c r="Y117" s="792"/>
      <c r="Z117" s="792"/>
      <c r="AA117"/>
      <c r="AB117"/>
      <c r="AC117"/>
      <c r="AD117"/>
      <c r="AE117"/>
    </row>
    <row r="118" spans="1:31" ht="18.75" thickBot="1">
      <c r="A118" s="749" t="s">
        <v>263</v>
      </c>
      <c r="B118" s="55"/>
      <c r="C118" s="55"/>
      <c r="D118" s="963"/>
      <c r="E118" s="956"/>
      <c r="F118" s="963"/>
      <c r="G118" s="956"/>
      <c r="H118" s="963"/>
      <c r="I118" s="956"/>
      <c r="J118" s="963"/>
      <c r="K118" s="957"/>
      <c r="L118" s="963"/>
      <c r="M118" s="945"/>
      <c r="N118" s="963"/>
      <c r="O118"/>
      <c r="P118" s="972"/>
      <c r="Q118" s="972"/>
      <c r="R118" s="972"/>
      <c r="S118" s="972"/>
      <c r="T118" s="972"/>
      <c r="U118"/>
      <c r="V118" s="792"/>
      <c r="W118" s="792"/>
      <c r="X118" s="792"/>
      <c r="Y118" s="792"/>
      <c r="Z118" s="792"/>
      <c r="AA118"/>
      <c r="AB118"/>
      <c r="AC118"/>
      <c r="AD118"/>
      <c r="AE118"/>
    </row>
    <row r="119" spans="1:31" ht="18.75" customHeight="1">
      <c r="A119" s="758" t="str">
        <f>'Budget with Assumptions'!A119</f>
        <v>Rent</v>
      </c>
      <c r="B119" s="38"/>
      <c r="C119" s="38"/>
      <c r="D119" s="378">
        <f>'Budget with Assumptions'!J119</f>
        <v>0</v>
      </c>
      <c r="E119" s="956"/>
      <c r="F119" s="378">
        <f>'Budget with Assumptions'!L119</f>
        <v>188000</v>
      </c>
      <c r="G119" s="956"/>
      <c r="H119" s="378">
        <f>'Budget with Assumptions'!N119</f>
        <v>188000</v>
      </c>
      <c r="I119" s="956"/>
      <c r="J119" s="378">
        <f>'Budget with Assumptions'!P119</f>
        <v>188000</v>
      </c>
      <c r="K119" s="957"/>
      <c r="L119" s="378">
        <f>'Budget with Assumptions'!R119</f>
        <v>188000</v>
      </c>
      <c r="M119" s="945"/>
      <c r="N119" s="378">
        <f>'Budget with Assumptions'!T119</f>
        <v>188000</v>
      </c>
      <c r="O119"/>
      <c r="P119" s="971">
        <f aca="true" t="shared" si="35" ref="P119:P136">F119/$F$159</f>
        <v>0.11768360155089273</v>
      </c>
      <c r="Q119" s="971">
        <f aca="true" t="shared" si="36" ref="Q119:Q136">H119/$H$159</f>
        <v>0.1292803275819849</v>
      </c>
      <c r="R119" s="971">
        <f aca="true" t="shared" si="37" ref="R119:R136">J119/$J$159</f>
        <v>0.11856305150034663</v>
      </c>
      <c r="S119" s="971">
        <f aca="true" t="shared" si="38" ref="S119:S136">L119/$L$159</f>
        <v>0.11515135019394677</v>
      </c>
      <c r="T119" s="971">
        <f aca="true" t="shared" si="39" ref="T119:T136">N119/$N$159</f>
        <v>0.11287608515532858</v>
      </c>
      <c r="U119"/>
      <c r="V119" s="980">
        <f>F119/$F$178</f>
        <v>1504</v>
      </c>
      <c r="W119" s="980">
        <f>H119/$H$178</f>
        <v>1296.551724137931</v>
      </c>
      <c r="X119" s="980">
        <f>J119/$J$178</f>
        <v>1139.3939393939395</v>
      </c>
      <c r="Y119" s="980">
        <f>L119/$L$178</f>
        <v>1139.3939393939395</v>
      </c>
      <c r="Z119" s="980">
        <f>N119/$N$178</f>
        <v>1139.3939393939395</v>
      </c>
      <c r="AA119"/>
      <c r="AB119"/>
      <c r="AC119"/>
      <c r="AD119"/>
      <c r="AE119"/>
    </row>
    <row r="120" spans="1:31" ht="15.75">
      <c r="A120" s="758" t="str">
        <f>'Budget with Assumptions'!A120</f>
        <v>Utilities</v>
      </c>
      <c r="B120" s="42"/>
      <c r="C120" s="42"/>
      <c r="D120" s="378">
        <f>'Budget with Assumptions'!J120</f>
        <v>0</v>
      </c>
      <c r="E120" s="956"/>
      <c r="F120" s="378">
        <f>'Budget with Assumptions'!L120</f>
        <v>47000</v>
      </c>
      <c r="G120" s="956"/>
      <c r="H120" s="378">
        <f>'Budget with Assumptions'!N120</f>
        <v>47940</v>
      </c>
      <c r="I120" s="956"/>
      <c r="J120" s="378">
        <f>'Budget with Assumptions'!P120</f>
        <v>48898.8</v>
      </c>
      <c r="K120" s="957"/>
      <c r="L120" s="378">
        <f>'Budget with Assumptions'!R120</f>
        <v>49876.776</v>
      </c>
      <c r="M120" s="945"/>
      <c r="N120" s="378">
        <f>'Budget with Assumptions'!T120</f>
        <v>50874.311519999996</v>
      </c>
      <c r="O120"/>
      <c r="P120" s="971">
        <f t="shared" si="35"/>
        <v>0.029420900387723183</v>
      </c>
      <c r="Q120" s="971">
        <f t="shared" si="36"/>
        <v>0.03296648353340616</v>
      </c>
      <c r="R120" s="971">
        <f t="shared" si="37"/>
        <v>0.03083824969524016</v>
      </c>
      <c r="S120" s="971">
        <f t="shared" si="38"/>
        <v>0.030549883509154465</v>
      </c>
      <c r="T120" s="971">
        <f t="shared" si="39"/>
        <v>0.03054517616675656</v>
      </c>
      <c r="U120"/>
      <c r="V120" s="980">
        <f aca="true" t="shared" si="40" ref="V120:V136">F120/$F$178</f>
        <v>376</v>
      </c>
      <c r="W120" s="980">
        <f aca="true" t="shared" si="41" ref="W120:W136">H120/$H$178</f>
        <v>330.62068965517244</v>
      </c>
      <c r="X120" s="980">
        <f aca="true" t="shared" si="42" ref="X120:X136">J120/$J$178</f>
        <v>296.35636363636365</v>
      </c>
      <c r="Y120" s="980">
        <f aca="true" t="shared" si="43" ref="Y120:Y136">L120/$L$178</f>
        <v>302.2834909090909</v>
      </c>
      <c r="Z120" s="980">
        <f aca="true" t="shared" si="44" ref="Z120:Z136">N120/$N$178</f>
        <v>308.3291607272727</v>
      </c>
      <c r="AA120"/>
      <c r="AB120"/>
      <c r="AC120"/>
      <c r="AD120"/>
      <c r="AE120"/>
    </row>
    <row r="121" spans="1:31" ht="15.75">
      <c r="A121" s="758" t="str">
        <f>'Budget with Assumptions'!A121</f>
        <v>Repairs &amp; Maintenance</v>
      </c>
      <c r="B121" s="42"/>
      <c r="C121" s="42"/>
      <c r="D121" s="378">
        <f>'Budget with Assumptions'!J121</f>
        <v>0</v>
      </c>
      <c r="E121" s="956"/>
      <c r="F121" s="378">
        <f>'Budget with Assumptions'!L121</f>
        <v>23500</v>
      </c>
      <c r="G121" s="956"/>
      <c r="H121" s="378">
        <f>'Budget with Assumptions'!N121</f>
        <v>23970</v>
      </c>
      <c r="I121" s="956"/>
      <c r="J121" s="378">
        <f>'Budget with Assumptions'!P121</f>
        <v>24449.4</v>
      </c>
      <c r="K121" s="957"/>
      <c r="L121" s="378">
        <f>'Budget with Assumptions'!R121</f>
        <v>24938.388</v>
      </c>
      <c r="M121" s="945"/>
      <c r="N121" s="378">
        <f>'Budget with Assumptions'!T121</f>
        <v>25437.155759999998</v>
      </c>
      <c r="O121"/>
      <c r="P121" s="971">
        <f t="shared" si="35"/>
        <v>0.014710450193861592</v>
      </c>
      <c r="Q121" s="971">
        <f t="shared" si="36"/>
        <v>0.01648324176670308</v>
      </c>
      <c r="R121" s="971">
        <f t="shared" si="37"/>
        <v>0.01541912484762008</v>
      </c>
      <c r="S121" s="971">
        <f t="shared" si="38"/>
        <v>0.015274941754577233</v>
      </c>
      <c r="T121" s="971">
        <f t="shared" si="39"/>
        <v>0.01527258808337828</v>
      </c>
      <c r="U121"/>
      <c r="V121" s="980">
        <f t="shared" si="40"/>
        <v>188</v>
      </c>
      <c r="W121" s="980">
        <f t="shared" si="41"/>
        <v>165.31034482758622</v>
      </c>
      <c r="X121" s="980">
        <f t="shared" si="42"/>
        <v>148.17818181818183</v>
      </c>
      <c r="Y121" s="980">
        <f t="shared" si="43"/>
        <v>151.14174545454546</v>
      </c>
      <c r="Z121" s="980">
        <f t="shared" si="44"/>
        <v>154.16458036363636</v>
      </c>
      <c r="AA121"/>
      <c r="AB121"/>
      <c r="AC121"/>
      <c r="AD121"/>
      <c r="AE121"/>
    </row>
    <row r="122" spans="1:31" ht="15.75">
      <c r="A122" s="758" t="str">
        <f>'Budget with Assumptions'!A122</f>
        <v>Supplies</v>
      </c>
      <c r="B122" s="42"/>
      <c r="C122" s="42"/>
      <c r="D122" s="378">
        <f>'Budget with Assumptions'!J122</f>
        <v>0</v>
      </c>
      <c r="E122" s="956"/>
      <c r="F122" s="378">
        <f>'Budget with Assumptions'!L122</f>
        <v>1175</v>
      </c>
      <c r="G122" s="956"/>
      <c r="H122" s="378">
        <f>'Budget with Assumptions'!N122</f>
        <v>1198.5</v>
      </c>
      <c r="I122" s="956"/>
      <c r="J122" s="378">
        <f>'Budget with Assumptions'!P122</f>
        <v>1222.47</v>
      </c>
      <c r="K122" s="957"/>
      <c r="L122" s="378">
        <f>'Budget with Assumptions'!R122</f>
        <v>1246.9194</v>
      </c>
      <c r="M122" s="945"/>
      <c r="N122" s="378">
        <f>'Budget with Assumptions'!T122</f>
        <v>1271.857788</v>
      </c>
      <c r="O122"/>
      <c r="P122" s="971">
        <f t="shared" si="35"/>
        <v>0.0007355225096930796</v>
      </c>
      <c r="Q122" s="971">
        <f t="shared" si="36"/>
        <v>0.0008241620883351539</v>
      </c>
      <c r="R122" s="971">
        <f t="shared" si="37"/>
        <v>0.000770956242381004</v>
      </c>
      <c r="S122" s="971">
        <f t="shared" si="38"/>
        <v>0.0007637470877288617</v>
      </c>
      <c r="T122" s="971">
        <f t="shared" si="39"/>
        <v>0.0007636294041689141</v>
      </c>
      <c r="U122"/>
      <c r="V122" s="980">
        <f t="shared" si="40"/>
        <v>9.4</v>
      </c>
      <c r="W122" s="980">
        <f t="shared" si="41"/>
        <v>8.26551724137931</v>
      </c>
      <c r="X122" s="980">
        <f t="shared" si="42"/>
        <v>7.408909090909091</v>
      </c>
      <c r="Y122" s="980">
        <f t="shared" si="43"/>
        <v>7.557087272727273</v>
      </c>
      <c r="Z122" s="980">
        <f t="shared" si="44"/>
        <v>7.708229018181818</v>
      </c>
      <c r="AA122"/>
      <c r="AB122"/>
      <c r="AC122"/>
      <c r="AD122"/>
      <c r="AE122"/>
    </row>
    <row r="123" spans="1:31" ht="15.75">
      <c r="A123" s="758" t="str">
        <f>'Budget with Assumptions'!A123</f>
        <v>Contracted Services-Security</v>
      </c>
      <c r="B123" s="42"/>
      <c r="C123" s="42"/>
      <c r="D123" s="378">
        <f>'Budget with Assumptions'!J123</f>
        <v>0</v>
      </c>
      <c r="E123" s="956"/>
      <c r="F123" s="378">
        <f>'Budget with Assumptions'!L123</f>
        <v>39950</v>
      </c>
      <c r="G123" s="956"/>
      <c r="H123" s="378">
        <f>'Budget with Assumptions'!N123</f>
        <v>40749</v>
      </c>
      <c r="I123" s="956"/>
      <c r="J123" s="378">
        <f>'Budget with Assumptions'!P123</f>
        <v>41563.98</v>
      </c>
      <c r="K123" s="957"/>
      <c r="L123" s="378">
        <f>'Budget with Assumptions'!R123</f>
        <v>42395.2596</v>
      </c>
      <c r="M123" s="945"/>
      <c r="N123" s="378">
        <f>'Budget with Assumptions'!T123</f>
        <v>43243.164791999996</v>
      </c>
      <c r="O123"/>
      <c r="P123" s="971">
        <f t="shared" si="35"/>
        <v>0.025007765329564707</v>
      </c>
      <c r="Q123" s="971">
        <f t="shared" si="36"/>
        <v>0.02802151100339523</v>
      </c>
      <c r="R123" s="971">
        <f t="shared" si="37"/>
        <v>0.026212512240954135</v>
      </c>
      <c r="S123" s="971">
        <f t="shared" si="38"/>
        <v>0.025967400982781295</v>
      </c>
      <c r="T123" s="971">
        <f t="shared" si="39"/>
        <v>0.025963399741743075</v>
      </c>
      <c r="U123"/>
      <c r="V123" s="980">
        <f t="shared" si="40"/>
        <v>319.6</v>
      </c>
      <c r="W123" s="980">
        <f t="shared" si="41"/>
        <v>281.02758620689656</v>
      </c>
      <c r="X123" s="980">
        <f t="shared" si="42"/>
        <v>251.9029090909091</v>
      </c>
      <c r="Y123" s="980">
        <f t="shared" si="43"/>
        <v>256.9409672727273</v>
      </c>
      <c r="Z123" s="980">
        <f t="shared" si="44"/>
        <v>262.0797866181818</v>
      </c>
      <c r="AA123"/>
      <c r="AB123"/>
      <c r="AC123"/>
      <c r="AD123"/>
      <c r="AE123"/>
    </row>
    <row r="124" spans="1:31" ht="15.75">
      <c r="A124" s="758" t="str">
        <f>'Budget with Assumptions'!A124</f>
        <v>Contracted Services-Custodial</v>
      </c>
      <c r="B124" s="42"/>
      <c r="C124" s="42"/>
      <c r="D124" s="378">
        <f>'Budget with Assumptions'!J124</f>
        <v>0</v>
      </c>
      <c r="E124" s="956"/>
      <c r="F124" s="378">
        <f>'Budget with Assumptions'!L124</f>
        <v>35250</v>
      </c>
      <c r="G124" s="956"/>
      <c r="H124" s="378">
        <f>'Budget with Assumptions'!N124</f>
        <v>35955</v>
      </c>
      <c r="I124" s="956"/>
      <c r="J124" s="378">
        <f>'Budget with Assumptions'!P124</f>
        <v>36674.1</v>
      </c>
      <c r="K124" s="957"/>
      <c r="L124" s="378">
        <f>'Budget with Assumptions'!R124</f>
        <v>37407.581999999995</v>
      </c>
      <c r="M124" s="945"/>
      <c r="N124" s="378">
        <f>'Budget with Assumptions'!T124</f>
        <v>38155.73364</v>
      </c>
      <c r="O124"/>
      <c r="P124" s="971">
        <f t="shared" si="35"/>
        <v>0.022065675290792387</v>
      </c>
      <c r="Q124" s="971">
        <f t="shared" si="36"/>
        <v>0.024724862650054615</v>
      </c>
      <c r="R124" s="971">
        <f t="shared" si="37"/>
        <v>0.023128687271430116</v>
      </c>
      <c r="S124" s="971">
        <f t="shared" si="38"/>
        <v>0.022912412631865848</v>
      </c>
      <c r="T124" s="971">
        <f t="shared" si="39"/>
        <v>0.02290888212506742</v>
      </c>
      <c r="U124"/>
      <c r="V124" s="980">
        <f t="shared" si="40"/>
        <v>282</v>
      </c>
      <c r="W124" s="980">
        <f t="shared" si="41"/>
        <v>247.9655172413793</v>
      </c>
      <c r="X124" s="980">
        <f t="shared" si="42"/>
        <v>222.2672727272727</v>
      </c>
      <c r="Y124" s="980">
        <f t="shared" si="43"/>
        <v>226.71261818181816</v>
      </c>
      <c r="Z124" s="980">
        <f t="shared" si="44"/>
        <v>231.24687054545453</v>
      </c>
      <c r="AA124"/>
      <c r="AB124"/>
      <c r="AC124"/>
      <c r="AD124"/>
      <c r="AE124"/>
    </row>
    <row r="125" spans="1:31" ht="15.75">
      <c r="A125" s="758" t="str">
        <f>'Budget with Assumptions'!A125</f>
        <v>Contracted Services-(Trash Removal, Snow Removal, Grounds, etc.)</v>
      </c>
      <c r="B125" s="42"/>
      <c r="C125" s="42"/>
      <c r="D125" s="378">
        <f>'Budget with Assumptions'!J125</f>
        <v>0</v>
      </c>
      <c r="E125" s="956"/>
      <c r="F125" s="378">
        <f>'Budget with Assumptions'!L125</f>
        <v>9400</v>
      </c>
      <c r="G125" s="956"/>
      <c r="H125" s="378">
        <f>'Budget with Assumptions'!N125</f>
        <v>9588</v>
      </c>
      <c r="I125" s="956"/>
      <c r="J125" s="378">
        <f>'Budget with Assumptions'!P125</f>
        <v>9779.76</v>
      </c>
      <c r="K125" s="957"/>
      <c r="L125" s="378">
        <f>'Budget with Assumptions'!R125</f>
        <v>9975.3552</v>
      </c>
      <c r="M125" s="945"/>
      <c r="N125" s="378">
        <f>'Budget with Assumptions'!T125</f>
        <v>10174.862304</v>
      </c>
      <c r="O125"/>
      <c r="P125" s="971">
        <f t="shared" si="35"/>
        <v>0.005884180077544637</v>
      </c>
      <c r="Q125" s="971">
        <f t="shared" si="36"/>
        <v>0.006593296706681231</v>
      </c>
      <c r="R125" s="971">
        <f t="shared" si="37"/>
        <v>0.006167649939048032</v>
      </c>
      <c r="S125" s="971">
        <f t="shared" si="38"/>
        <v>0.006109976701830893</v>
      </c>
      <c r="T125" s="971">
        <f t="shared" si="39"/>
        <v>0.006109035233351313</v>
      </c>
      <c r="U125"/>
      <c r="V125" s="980">
        <f t="shared" si="40"/>
        <v>75.2</v>
      </c>
      <c r="W125" s="980">
        <f t="shared" si="41"/>
        <v>66.12413793103448</v>
      </c>
      <c r="X125" s="980">
        <f t="shared" si="42"/>
        <v>59.27127272727273</v>
      </c>
      <c r="Y125" s="980">
        <f t="shared" si="43"/>
        <v>60.45669818181818</v>
      </c>
      <c r="Z125" s="980">
        <f t="shared" si="44"/>
        <v>61.665832145454544</v>
      </c>
      <c r="AA125"/>
      <c r="AB125"/>
      <c r="AC125"/>
      <c r="AD125"/>
      <c r="AE125"/>
    </row>
    <row r="126" spans="1:31" ht="15.75">
      <c r="A126" s="758" t="str">
        <f>'Budget with Assumptions'!A126</f>
        <v>Contracted Services-Other</v>
      </c>
      <c r="B126" s="42"/>
      <c r="C126" s="42"/>
      <c r="D126" s="378">
        <f>'Budget with Assumptions'!J126</f>
        <v>0</v>
      </c>
      <c r="E126" s="956"/>
      <c r="F126" s="378">
        <f>'Budget with Assumptions'!L126</f>
        <v>15275</v>
      </c>
      <c r="G126" s="956"/>
      <c r="H126" s="378">
        <f>'Budget with Assumptions'!N126</f>
        <v>15580.5</v>
      </c>
      <c r="I126" s="956"/>
      <c r="J126" s="378">
        <f>'Budget with Assumptions'!P126</f>
        <v>15892.11</v>
      </c>
      <c r="K126" s="957"/>
      <c r="L126" s="378">
        <f>'Budget with Assumptions'!R126</f>
        <v>16209.9522</v>
      </c>
      <c r="M126" s="945"/>
      <c r="N126" s="378">
        <f>'Budget with Assumptions'!T126</f>
        <v>16534.151244</v>
      </c>
      <c r="O126"/>
      <c r="P126" s="971">
        <f t="shared" si="35"/>
        <v>0.009561792626010035</v>
      </c>
      <c r="Q126" s="971">
        <f t="shared" si="36"/>
        <v>0.010714107148357</v>
      </c>
      <c r="R126" s="971">
        <f t="shared" si="37"/>
        <v>0.010022431150953052</v>
      </c>
      <c r="S126" s="971">
        <f t="shared" si="38"/>
        <v>0.009928712140475202</v>
      </c>
      <c r="T126" s="971">
        <f t="shared" si="39"/>
        <v>0.009927182254195883</v>
      </c>
      <c r="U126"/>
      <c r="V126" s="980">
        <f t="shared" si="40"/>
        <v>122.2</v>
      </c>
      <c r="W126" s="980">
        <f t="shared" si="41"/>
        <v>107.45172413793104</v>
      </c>
      <c r="X126" s="980">
        <f t="shared" si="42"/>
        <v>96.31581818181819</v>
      </c>
      <c r="Y126" s="980">
        <f t="shared" si="43"/>
        <v>98.24213454545455</v>
      </c>
      <c r="Z126" s="980">
        <f t="shared" si="44"/>
        <v>100.20697723636364</v>
      </c>
      <c r="AA126"/>
      <c r="AB126"/>
      <c r="AC126"/>
      <c r="AD126"/>
      <c r="AE126"/>
    </row>
    <row r="127" spans="1:31" ht="15.75">
      <c r="A127" s="758" t="str">
        <f>'Budget with Assumptions'!A127</f>
        <v>Insurance</v>
      </c>
      <c r="B127" s="46"/>
      <c r="C127" s="46"/>
      <c r="D127" s="378">
        <f>'Budget with Assumptions'!J127</f>
        <v>0</v>
      </c>
      <c r="E127" s="956"/>
      <c r="F127" s="378">
        <f>'Budget with Assumptions'!L127</f>
        <v>0</v>
      </c>
      <c r="G127" s="956"/>
      <c r="H127" s="378">
        <f>'Budget with Assumptions'!N127</f>
        <v>0</v>
      </c>
      <c r="I127" s="956"/>
      <c r="J127" s="378">
        <f>'Budget with Assumptions'!P127</f>
        <v>0</v>
      </c>
      <c r="K127" s="957"/>
      <c r="L127" s="378">
        <f>'Budget with Assumptions'!R127</f>
        <v>0</v>
      </c>
      <c r="M127" s="945"/>
      <c r="N127" s="378">
        <f>'Budget with Assumptions'!T127</f>
        <v>0</v>
      </c>
      <c r="O127"/>
      <c r="P127" s="971">
        <f t="shared" si="35"/>
        <v>0</v>
      </c>
      <c r="Q127" s="971">
        <f t="shared" si="36"/>
        <v>0</v>
      </c>
      <c r="R127" s="971">
        <f t="shared" si="37"/>
        <v>0</v>
      </c>
      <c r="S127" s="971">
        <f t="shared" si="38"/>
        <v>0</v>
      </c>
      <c r="T127" s="971">
        <f t="shared" si="39"/>
        <v>0</v>
      </c>
      <c r="U127"/>
      <c r="V127" s="980">
        <f t="shared" si="40"/>
        <v>0</v>
      </c>
      <c r="W127" s="980">
        <f t="shared" si="41"/>
        <v>0</v>
      </c>
      <c r="X127" s="980">
        <f t="shared" si="42"/>
        <v>0</v>
      </c>
      <c r="Y127" s="980">
        <f t="shared" si="43"/>
        <v>0</v>
      </c>
      <c r="Z127" s="980">
        <f t="shared" si="44"/>
        <v>0</v>
      </c>
      <c r="AA127"/>
      <c r="AB127"/>
      <c r="AC127"/>
      <c r="AD127"/>
      <c r="AE127"/>
    </row>
    <row r="128" spans="1:31" ht="15.75">
      <c r="A128" s="758" t="str">
        <f>'Budget with Assumptions'!A128</f>
        <v>Facility Loan Debt Service (P &amp; I)</v>
      </c>
      <c r="B128" s="46"/>
      <c r="C128" s="46"/>
      <c r="D128" s="378">
        <f>'Budget with Assumptions'!J128</f>
        <v>0</v>
      </c>
      <c r="E128" s="956"/>
      <c r="F128" s="378">
        <f>'Budget with Assumptions'!L128</f>
        <v>19293.065170682294</v>
      </c>
      <c r="G128" s="956"/>
      <c r="H128" s="378">
        <f>'Budget with Assumptions'!N128</f>
        <v>19293.065170682294</v>
      </c>
      <c r="I128" s="956"/>
      <c r="J128" s="378">
        <f>'Budget with Assumptions'!P128</f>
        <v>19293.065170682294</v>
      </c>
      <c r="K128" s="957"/>
      <c r="L128" s="378">
        <f>'Budget with Assumptions'!R128</f>
        <v>19293.065170682294</v>
      </c>
      <c r="M128" s="945"/>
      <c r="N128" s="378">
        <f>'Budget with Assumptions'!T128</f>
        <v>19293.065170682294</v>
      </c>
      <c r="O128"/>
      <c r="P128" s="971">
        <f t="shared" si="35"/>
        <v>0.012077007416180752</v>
      </c>
      <c r="Q128" s="971">
        <f t="shared" si="36"/>
        <v>0.01326709460279995</v>
      </c>
      <c r="R128" s="971">
        <f t="shared" si="37"/>
        <v>0.012167258933144407</v>
      </c>
      <c r="S128" s="971">
        <f t="shared" si="38"/>
        <v>0.0118171409775738</v>
      </c>
      <c r="T128" s="971">
        <f t="shared" si="39"/>
        <v>0.01158364716549595</v>
      </c>
      <c r="U128"/>
      <c r="V128" s="980">
        <f t="shared" si="40"/>
        <v>154.34452136545835</v>
      </c>
      <c r="W128" s="980">
        <f t="shared" si="41"/>
        <v>133.05562186677443</v>
      </c>
      <c r="X128" s="980">
        <f t="shared" si="42"/>
        <v>116.92766770110481</v>
      </c>
      <c r="Y128" s="980">
        <f t="shared" si="43"/>
        <v>116.92766770110481</v>
      </c>
      <c r="Z128" s="980">
        <f t="shared" si="44"/>
        <v>116.92766770110481</v>
      </c>
      <c r="AA128"/>
      <c r="AB128"/>
      <c r="AC128"/>
      <c r="AD128"/>
      <c r="AE128"/>
    </row>
    <row r="129" spans="1:31" ht="15.75">
      <c r="A129" s="758">
        <f>'Budget with Assumptions'!A129</f>
        <v>0</v>
      </c>
      <c r="B129" s="46"/>
      <c r="C129" s="46"/>
      <c r="D129" s="378">
        <f>'Budget with Assumptions'!J129</f>
        <v>0</v>
      </c>
      <c r="E129" s="956"/>
      <c r="F129" s="378">
        <f>'Budget with Assumptions'!L129</f>
        <v>0</v>
      </c>
      <c r="G129" s="956"/>
      <c r="H129" s="378">
        <f>'Budget with Assumptions'!N129</f>
        <v>0</v>
      </c>
      <c r="I129" s="956"/>
      <c r="J129" s="378">
        <f>'Budget with Assumptions'!P129</f>
        <v>0</v>
      </c>
      <c r="K129" s="957"/>
      <c r="L129" s="378">
        <f>'Budget with Assumptions'!R129</f>
        <v>0</v>
      </c>
      <c r="M129" s="945"/>
      <c r="N129" s="378">
        <f>'Budget with Assumptions'!T129</f>
        <v>0</v>
      </c>
      <c r="O129"/>
      <c r="P129" s="971">
        <f t="shared" si="35"/>
        <v>0</v>
      </c>
      <c r="Q129" s="971">
        <f t="shared" si="36"/>
        <v>0</v>
      </c>
      <c r="R129" s="971">
        <f t="shared" si="37"/>
        <v>0</v>
      </c>
      <c r="S129" s="971">
        <f t="shared" si="38"/>
        <v>0</v>
      </c>
      <c r="T129" s="971">
        <f t="shared" si="39"/>
        <v>0</v>
      </c>
      <c r="U129"/>
      <c r="V129" s="980">
        <f t="shared" si="40"/>
        <v>0</v>
      </c>
      <c r="W129" s="980">
        <f t="shared" si="41"/>
        <v>0</v>
      </c>
      <c r="X129" s="980">
        <f t="shared" si="42"/>
        <v>0</v>
      </c>
      <c r="Y129" s="980">
        <f t="shared" si="43"/>
        <v>0</v>
      </c>
      <c r="Z129" s="980">
        <f t="shared" si="44"/>
        <v>0</v>
      </c>
      <c r="AA129"/>
      <c r="AB129"/>
      <c r="AC129"/>
      <c r="AD129"/>
      <c r="AE129"/>
    </row>
    <row r="130" spans="1:31" ht="15.75">
      <c r="A130" s="758">
        <f>'Budget with Assumptions'!A130</f>
        <v>0</v>
      </c>
      <c r="B130" s="46"/>
      <c r="C130" s="46"/>
      <c r="D130" s="378">
        <f>'Budget with Assumptions'!J130</f>
        <v>0</v>
      </c>
      <c r="E130" s="956"/>
      <c r="F130" s="378">
        <f>'Budget with Assumptions'!L130</f>
        <v>0</v>
      </c>
      <c r="G130" s="956"/>
      <c r="H130" s="378">
        <f>'Budget with Assumptions'!N130</f>
        <v>0</v>
      </c>
      <c r="I130" s="956"/>
      <c r="J130" s="378">
        <f>'Budget with Assumptions'!P130</f>
        <v>0</v>
      </c>
      <c r="K130" s="957"/>
      <c r="L130" s="378">
        <f>'Budget with Assumptions'!R130</f>
        <v>0</v>
      </c>
      <c r="M130" s="945"/>
      <c r="N130" s="378">
        <f>'Budget with Assumptions'!T130</f>
        <v>0</v>
      </c>
      <c r="O130"/>
      <c r="P130" s="971">
        <f t="shared" si="35"/>
        <v>0</v>
      </c>
      <c r="Q130" s="971">
        <f t="shared" si="36"/>
        <v>0</v>
      </c>
      <c r="R130" s="971">
        <f t="shared" si="37"/>
        <v>0</v>
      </c>
      <c r="S130" s="971">
        <f t="shared" si="38"/>
        <v>0</v>
      </c>
      <c r="T130" s="971">
        <f t="shared" si="39"/>
        <v>0</v>
      </c>
      <c r="U130"/>
      <c r="V130" s="980">
        <f t="shared" si="40"/>
        <v>0</v>
      </c>
      <c r="W130" s="980">
        <f t="shared" si="41"/>
        <v>0</v>
      </c>
      <c r="X130" s="980">
        <f t="shared" si="42"/>
        <v>0</v>
      </c>
      <c r="Y130" s="980">
        <f t="shared" si="43"/>
        <v>0</v>
      </c>
      <c r="Z130" s="980">
        <f t="shared" si="44"/>
        <v>0</v>
      </c>
      <c r="AA130"/>
      <c r="AB130"/>
      <c r="AC130"/>
      <c r="AD130"/>
      <c r="AE130"/>
    </row>
    <row r="131" spans="1:31" ht="15.75">
      <c r="A131" s="758">
        <f>'Budget with Assumptions'!A131</f>
        <v>0</v>
      </c>
      <c r="B131" s="46"/>
      <c r="C131" s="46"/>
      <c r="D131" s="378">
        <f>'Budget with Assumptions'!J131</f>
        <v>0</v>
      </c>
      <c r="E131" s="956"/>
      <c r="F131" s="378">
        <f>'Budget with Assumptions'!L131</f>
        <v>0</v>
      </c>
      <c r="G131" s="956"/>
      <c r="H131" s="378">
        <f>'Budget with Assumptions'!N131</f>
        <v>0</v>
      </c>
      <c r="I131" s="956"/>
      <c r="J131" s="378">
        <f>'Budget with Assumptions'!P131</f>
        <v>0</v>
      </c>
      <c r="K131" s="957"/>
      <c r="L131" s="378">
        <f>'Budget with Assumptions'!R131</f>
        <v>0</v>
      </c>
      <c r="M131" s="945"/>
      <c r="N131" s="378">
        <f>'Budget with Assumptions'!T131</f>
        <v>0</v>
      </c>
      <c r="O131"/>
      <c r="P131" s="971">
        <f t="shared" si="35"/>
        <v>0</v>
      </c>
      <c r="Q131" s="971">
        <f t="shared" si="36"/>
        <v>0</v>
      </c>
      <c r="R131" s="971">
        <f t="shared" si="37"/>
        <v>0</v>
      </c>
      <c r="S131" s="971">
        <f t="shared" si="38"/>
        <v>0</v>
      </c>
      <c r="T131" s="971">
        <f t="shared" si="39"/>
        <v>0</v>
      </c>
      <c r="U131"/>
      <c r="V131" s="980">
        <f t="shared" si="40"/>
        <v>0</v>
      </c>
      <c r="W131" s="980">
        <f t="shared" si="41"/>
        <v>0</v>
      </c>
      <c r="X131" s="980">
        <f t="shared" si="42"/>
        <v>0</v>
      </c>
      <c r="Y131" s="980">
        <f t="shared" si="43"/>
        <v>0</v>
      </c>
      <c r="Z131" s="980">
        <f t="shared" si="44"/>
        <v>0</v>
      </c>
      <c r="AA131"/>
      <c r="AB131"/>
      <c r="AC131"/>
      <c r="AD131"/>
      <c r="AE131"/>
    </row>
    <row r="132" spans="1:31" ht="15.75">
      <c r="A132" s="758">
        <f>'Budget with Assumptions'!A132</f>
        <v>0</v>
      </c>
      <c r="B132" s="46"/>
      <c r="C132" s="46"/>
      <c r="D132" s="378">
        <f>'Budget with Assumptions'!J132</f>
        <v>0</v>
      </c>
      <c r="E132" s="956"/>
      <c r="F132" s="378">
        <f>'Budget with Assumptions'!L132</f>
        <v>0</v>
      </c>
      <c r="G132" s="956"/>
      <c r="H132" s="378">
        <f>'Budget with Assumptions'!N132</f>
        <v>0</v>
      </c>
      <c r="I132" s="956"/>
      <c r="J132" s="378">
        <f>'Budget with Assumptions'!P132</f>
        <v>0</v>
      </c>
      <c r="K132" s="957"/>
      <c r="L132" s="378">
        <f>'Budget with Assumptions'!R132</f>
        <v>0</v>
      </c>
      <c r="M132" s="945"/>
      <c r="N132" s="378">
        <f>'Budget with Assumptions'!T132</f>
        <v>0</v>
      </c>
      <c r="O132"/>
      <c r="P132" s="971">
        <f t="shared" si="35"/>
        <v>0</v>
      </c>
      <c r="Q132" s="971">
        <f t="shared" si="36"/>
        <v>0</v>
      </c>
      <c r="R132" s="971">
        <f t="shared" si="37"/>
        <v>0</v>
      </c>
      <c r="S132" s="971">
        <f t="shared" si="38"/>
        <v>0</v>
      </c>
      <c r="T132" s="971">
        <f t="shared" si="39"/>
        <v>0</v>
      </c>
      <c r="U132"/>
      <c r="V132" s="980">
        <f t="shared" si="40"/>
        <v>0</v>
      </c>
      <c r="W132" s="980">
        <f t="shared" si="41"/>
        <v>0</v>
      </c>
      <c r="X132" s="980">
        <f t="shared" si="42"/>
        <v>0</v>
      </c>
      <c r="Y132" s="980">
        <f t="shared" si="43"/>
        <v>0</v>
      </c>
      <c r="Z132" s="980">
        <f t="shared" si="44"/>
        <v>0</v>
      </c>
      <c r="AA132"/>
      <c r="AB132"/>
      <c r="AC132"/>
      <c r="AD132"/>
      <c r="AE132"/>
    </row>
    <row r="133" spans="1:31" ht="15.75">
      <c r="A133" s="758">
        <f>'Budget with Assumptions'!A133</f>
        <v>0</v>
      </c>
      <c r="B133" s="46"/>
      <c r="C133" s="46"/>
      <c r="D133" s="378">
        <f>'Budget with Assumptions'!J133</f>
        <v>0</v>
      </c>
      <c r="E133" s="956"/>
      <c r="F133" s="378">
        <f>'Budget with Assumptions'!L133</f>
        <v>0</v>
      </c>
      <c r="G133" s="956"/>
      <c r="H133" s="378">
        <f>'Budget with Assumptions'!N133</f>
        <v>0</v>
      </c>
      <c r="I133" s="956"/>
      <c r="J133" s="378">
        <f>'Budget with Assumptions'!P133</f>
        <v>0</v>
      </c>
      <c r="K133" s="957"/>
      <c r="L133" s="378">
        <f>'Budget with Assumptions'!R133</f>
        <v>0</v>
      </c>
      <c r="M133" s="945"/>
      <c r="N133" s="378">
        <f>'Budget with Assumptions'!T133</f>
        <v>0</v>
      </c>
      <c r="O133"/>
      <c r="P133" s="971">
        <f t="shared" si="35"/>
        <v>0</v>
      </c>
      <c r="Q133" s="971">
        <f t="shared" si="36"/>
        <v>0</v>
      </c>
      <c r="R133" s="971">
        <f t="shared" si="37"/>
        <v>0</v>
      </c>
      <c r="S133" s="971">
        <f t="shared" si="38"/>
        <v>0</v>
      </c>
      <c r="T133" s="971">
        <f t="shared" si="39"/>
        <v>0</v>
      </c>
      <c r="U133"/>
      <c r="V133" s="980">
        <f t="shared" si="40"/>
        <v>0</v>
      </c>
      <c r="W133" s="980">
        <f t="shared" si="41"/>
        <v>0</v>
      </c>
      <c r="X133" s="980">
        <f t="shared" si="42"/>
        <v>0</v>
      </c>
      <c r="Y133" s="980">
        <f t="shared" si="43"/>
        <v>0</v>
      </c>
      <c r="Z133" s="980">
        <f t="shared" si="44"/>
        <v>0</v>
      </c>
      <c r="AA133"/>
      <c r="AB133"/>
      <c r="AC133"/>
      <c r="AD133"/>
      <c r="AE133"/>
    </row>
    <row r="134" spans="1:31" ht="15.75">
      <c r="A134" s="758">
        <f>'Budget with Assumptions'!A134</f>
        <v>0</v>
      </c>
      <c r="B134" s="46"/>
      <c r="C134" s="46"/>
      <c r="D134" s="378">
        <f>'Budget with Assumptions'!J134</f>
        <v>0</v>
      </c>
      <c r="E134" s="956"/>
      <c r="F134" s="378">
        <f>'Budget with Assumptions'!L134</f>
        <v>0</v>
      </c>
      <c r="G134" s="956"/>
      <c r="H134" s="378">
        <f>'Budget with Assumptions'!N134</f>
        <v>0</v>
      </c>
      <c r="I134" s="956"/>
      <c r="J134" s="378">
        <f>'Budget with Assumptions'!P134</f>
        <v>0</v>
      </c>
      <c r="K134" s="957"/>
      <c r="L134" s="378">
        <f>'Budget with Assumptions'!R134</f>
        <v>0</v>
      </c>
      <c r="M134" s="945"/>
      <c r="N134" s="378">
        <f>'Budget with Assumptions'!T134</f>
        <v>0</v>
      </c>
      <c r="O134"/>
      <c r="P134" s="971">
        <f t="shared" si="35"/>
        <v>0</v>
      </c>
      <c r="Q134" s="971">
        <f t="shared" si="36"/>
        <v>0</v>
      </c>
      <c r="R134" s="971">
        <f t="shared" si="37"/>
        <v>0</v>
      </c>
      <c r="S134" s="971">
        <f t="shared" si="38"/>
        <v>0</v>
      </c>
      <c r="T134" s="971">
        <f t="shared" si="39"/>
        <v>0</v>
      </c>
      <c r="U134"/>
      <c r="V134" s="980">
        <f t="shared" si="40"/>
        <v>0</v>
      </c>
      <c r="W134" s="980">
        <f t="shared" si="41"/>
        <v>0</v>
      </c>
      <c r="X134" s="980">
        <f t="shared" si="42"/>
        <v>0</v>
      </c>
      <c r="Y134" s="980">
        <f t="shared" si="43"/>
        <v>0</v>
      </c>
      <c r="Z134" s="980">
        <f t="shared" si="44"/>
        <v>0</v>
      </c>
      <c r="AA134"/>
      <c r="AB134"/>
      <c r="AC134"/>
      <c r="AD134"/>
      <c r="AE134"/>
    </row>
    <row r="135" spans="1:31" ht="15.75">
      <c r="A135" s="758">
        <f>'Budget with Assumptions'!A135</f>
        <v>0</v>
      </c>
      <c r="B135" s="46"/>
      <c r="C135" s="46"/>
      <c r="D135" s="378">
        <f>'Budget with Assumptions'!J135</f>
        <v>0</v>
      </c>
      <c r="E135" s="956"/>
      <c r="F135" s="378">
        <f>'Budget with Assumptions'!L135</f>
        <v>0</v>
      </c>
      <c r="G135" s="956"/>
      <c r="H135" s="378">
        <f>'Budget with Assumptions'!N135</f>
        <v>0</v>
      </c>
      <c r="I135" s="956"/>
      <c r="J135" s="378">
        <f>'Budget with Assumptions'!P135</f>
        <v>0</v>
      </c>
      <c r="K135" s="957"/>
      <c r="L135" s="378">
        <f>'Budget with Assumptions'!R135</f>
        <v>0</v>
      </c>
      <c r="M135" s="945"/>
      <c r="N135" s="378">
        <f>'Budget with Assumptions'!T135</f>
        <v>0</v>
      </c>
      <c r="O135"/>
      <c r="P135" s="971">
        <f t="shared" si="35"/>
        <v>0</v>
      </c>
      <c r="Q135" s="971">
        <f t="shared" si="36"/>
        <v>0</v>
      </c>
      <c r="R135" s="971">
        <f t="shared" si="37"/>
        <v>0</v>
      </c>
      <c r="S135" s="971">
        <f t="shared" si="38"/>
        <v>0</v>
      </c>
      <c r="T135" s="971">
        <f t="shared" si="39"/>
        <v>0</v>
      </c>
      <c r="U135"/>
      <c r="V135" s="980">
        <f t="shared" si="40"/>
        <v>0</v>
      </c>
      <c r="W135" s="980">
        <f t="shared" si="41"/>
        <v>0</v>
      </c>
      <c r="X135" s="980">
        <f t="shared" si="42"/>
        <v>0</v>
      </c>
      <c r="Y135" s="980">
        <f t="shared" si="43"/>
        <v>0</v>
      </c>
      <c r="Z135" s="980">
        <f t="shared" si="44"/>
        <v>0</v>
      </c>
      <c r="AA135"/>
      <c r="AB135"/>
      <c r="AC135"/>
      <c r="AD135"/>
      <c r="AE135"/>
    </row>
    <row r="136" spans="1:31" ht="15.75">
      <c r="A136" s="758">
        <f>'Budget with Assumptions'!A136</f>
        <v>0</v>
      </c>
      <c r="B136" s="46"/>
      <c r="C136" s="46"/>
      <c r="D136" s="378">
        <f>'Budget with Assumptions'!J136</f>
        <v>0</v>
      </c>
      <c r="E136" s="956"/>
      <c r="F136" s="378">
        <f>'Budget with Assumptions'!L136</f>
        <v>0</v>
      </c>
      <c r="G136" s="956"/>
      <c r="H136" s="378">
        <f>'Budget with Assumptions'!N136</f>
        <v>0</v>
      </c>
      <c r="I136" s="956"/>
      <c r="J136" s="378">
        <f>'Budget with Assumptions'!P136</f>
        <v>0</v>
      </c>
      <c r="K136" s="957"/>
      <c r="L136" s="378">
        <f>'Budget with Assumptions'!R136</f>
        <v>0</v>
      </c>
      <c r="M136" s="945"/>
      <c r="N136" s="378">
        <f>'Budget with Assumptions'!T136</f>
        <v>0</v>
      </c>
      <c r="O136"/>
      <c r="P136" s="971">
        <f t="shared" si="35"/>
        <v>0</v>
      </c>
      <c r="Q136" s="971">
        <f t="shared" si="36"/>
        <v>0</v>
      </c>
      <c r="R136" s="971">
        <f t="shared" si="37"/>
        <v>0</v>
      </c>
      <c r="S136" s="971">
        <f t="shared" si="38"/>
        <v>0</v>
      </c>
      <c r="T136" s="971">
        <f t="shared" si="39"/>
        <v>0</v>
      </c>
      <c r="U136"/>
      <c r="V136" s="980">
        <f t="shared" si="40"/>
        <v>0</v>
      </c>
      <c r="W136" s="980">
        <f t="shared" si="41"/>
        <v>0</v>
      </c>
      <c r="X136" s="980">
        <f t="shared" si="42"/>
        <v>0</v>
      </c>
      <c r="Y136" s="980">
        <f t="shared" si="43"/>
        <v>0</v>
      </c>
      <c r="Z136" s="980">
        <f t="shared" si="44"/>
        <v>0</v>
      </c>
      <c r="AA136"/>
      <c r="AB136"/>
      <c r="AC136"/>
      <c r="AD136"/>
      <c r="AE136"/>
    </row>
    <row r="137" spans="1:31" ht="16.5" thickBot="1">
      <c r="A137" s="45"/>
      <c r="B137" s="46"/>
      <c r="C137" s="46"/>
      <c r="D137" s="963"/>
      <c r="E137" s="956"/>
      <c r="F137" s="963"/>
      <c r="G137" s="956"/>
      <c r="H137" s="963"/>
      <c r="I137" s="956"/>
      <c r="J137" s="963"/>
      <c r="K137" s="957"/>
      <c r="L137" s="937"/>
      <c r="M137" s="945"/>
      <c r="N137" s="937"/>
      <c r="O137"/>
      <c r="P137" s="972"/>
      <c r="Q137" s="972"/>
      <c r="R137" s="972"/>
      <c r="S137" s="972"/>
      <c r="T137" s="972"/>
      <c r="U137"/>
      <c r="V137" s="792"/>
      <c r="W137" s="792"/>
      <c r="X137" s="792"/>
      <c r="Y137" s="792"/>
      <c r="Z137" s="792"/>
      <c r="AA137"/>
      <c r="AB137"/>
      <c r="AC137"/>
      <c r="AD137"/>
      <c r="AE137"/>
    </row>
    <row r="138" spans="1:31" ht="16.5" thickBot="1">
      <c r="A138" s="397" t="str">
        <f>'Budget with Assumptions'!H138</f>
        <v>Total Occupancy</v>
      </c>
      <c r="B138" s="46"/>
      <c r="C138" s="46"/>
      <c r="D138" s="508">
        <f>SUM(D119:D136)</f>
        <v>0</v>
      </c>
      <c r="E138" s="374"/>
      <c r="F138" s="508">
        <f>SUM(F119:F136)</f>
        <v>378843.06517068227</v>
      </c>
      <c r="G138" s="374"/>
      <c r="H138" s="508">
        <f>SUM(H119:H136)</f>
        <v>382274.06517068227</v>
      </c>
      <c r="I138" s="374"/>
      <c r="J138" s="508">
        <f>SUM(J119:J136)</f>
        <v>385773.6851706822</v>
      </c>
      <c r="K138" s="375"/>
      <c r="L138" s="508">
        <f>SUM(L119:L136)</f>
        <v>389343.29757068225</v>
      </c>
      <c r="M138" s="930"/>
      <c r="N138" s="508">
        <f>SUM(N119:N136)</f>
        <v>392984.30221868225</v>
      </c>
      <c r="O138"/>
      <c r="P138" s="751">
        <f>SUM(P119:P136)</f>
        <v>0.23714689538226308</v>
      </c>
      <c r="Q138" s="751">
        <f>SUM(Q119:Q136)</f>
        <v>0.2628750870817173</v>
      </c>
      <c r="R138" s="751">
        <f>SUM(R119:R136)</f>
        <v>0.2432899218211176</v>
      </c>
      <c r="S138" s="751">
        <f>SUM(S119:S136)</f>
        <v>0.23847556597993436</v>
      </c>
      <c r="T138" s="751">
        <f>SUM(T119:T136)</f>
        <v>0.23594962532948602</v>
      </c>
      <c r="U138"/>
      <c r="V138" s="753">
        <f>SUM(V119:V136)</f>
        <v>3030.744521365458</v>
      </c>
      <c r="W138" s="753">
        <f>SUM(W119:W136)</f>
        <v>2636.372863246085</v>
      </c>
      <c r="X138" s="753">
        <f>SUM(X119:X136)</f>
        <v>2338.0223343677717</v>
      </c>
      <c r="Y138" s="753">
        <f>SUM(Y119:Y136)</f>
        <v>2359.6563489132263</v>
      </c>
      <c r="Z138" s="753">
        <f>SUM(Z119:Z136)</f>
        <v>2381.72304374959</v>
      </c>
      <c r="AA138"/>
      <c r="AB138"/>
      <c r="AC138"/>
      <c r="AD138"/>
      <c r="AE138"/>
    </row>
    <row r="139" spans="1:31" ht="16.5" thickBot="1">
      <c r="A139" s="57"/>
      <c r="B139" s="38"/>
      <c r="C139" s="38"/>
      <c r="D139" s="963"/>
      <c r="E139" s="964"/>
      <c r="F139" s="963"/>
      <c r="G139" s="964"/>
      <c r="H139" s="963"/>
      <c r="I139" s="964"/>
      <c r="J139" s="963"/>
      <c r="K139" s="965"/>
      <c r="L139" s="937"/>
      <c r="M139" s="939"/>
      <c r="N139" s="937"/>
      <c r="O139"/>
      <c r="P139" s="972"/>
      <c r="Q139" s="972"/>
      <c r="R139" s="972"/>
      <c r="S139" s="972"/>
      <c r="T139" s="972"/>
      <c r="U139"/>
      <c r="V139" s="792"/>
      <c r="W139" s="792"/>
      <c r="X139" s="792"/>
      <c r="Y139" s="792"/>
      <c r="Z139" s="792"/>
      <c r="AA139"/>
      <c r="AB139"/>
      <c r="AC139"/>
      <c r="AD139"/>
      <c r="AE139"/>
    </row>
    <row r="140" spans="1:31" ht="16.5" thickBot="1">
      <c r="A140" s="302" t="str">
        <f>'Budget with Assumptions'!H140</f>
        <v>Education Management Organization Fee</v>
      </c>
      <c r="B140" s="58"/>
      <c r="C140" s="58"/>
      <c r="D140" s="378">
        <f>'Budget with Assumptions'!J140</f>
        <v>0</v>
      </c>
      <c r="E140" s="374"/>
      <c r="F140" s="378">
        <f>'Budget with Assumptions'!L140</f>
        <v>0</v>
      </c>
      <c r="G140" s="956"/>
      <c r="H140" s="378">
        <f>'Budget with Assumptions'!N140</f>
        <v>0</v>
      </c>
      <c r="I140" s="956"/>
      <c r="J140" s="378">
        <f>'Budget with Assumptions'!P140</f>
        <v>0</v>
      </c>
      <c r="K140" s="957"/>
      <c r="L140" s="378">
        <f>'Budget with Assumptions'!R140</f>
        <v>0</v>
      </c>
      <c r="M140" s="945"/>
      <c r="N140" s="378">
        <f>'Budget with Assumptions'!T140</f>
        <v>0</v>
      </c>
      <c r="O140"/>
      <c r="P140" s="973">
        <f>F140/$F$159</f>
        <v>0</v>
      </c>
      <c r="Q140" s="973">
        <f>H140/$H$159</f>
        <v>0</v>
      </c>
      <c r="R140" s="973">
        <f>J140/$J$159</f>
        <v>0</v>
      </c>
      <c r="S140" s="973">
        <f>L140/$L$159</f>
        <v>0</v>
      </c>
      <c r="T140" s="973">
        <f>N140/$N$159</f>
        <v>0</v>
      </c>
      <c r="U140"/>
      <c r="V140" s="978">
        <f>F140/$F$178</f>
        <v>0</v>
      </c>
      <c r="W140" s="978">
        <f>H140/$H$178</f>
        <v>0</v>
      </c>
      <c r="X140" s="978">
        <f>J140/$J$178</f>
        <v>0</v>
      </c>
      <c r="Y140" s="978">
        <f>L140/$L$178</f>
        <v>0</v>
      </c>
      <c r="Z140" s="978">
        <f>N140/$N$178</f>
        <v>0</v>
      </c>
      <c r="AA140"/>
      <c r="AB140"/>
      <c r="AC140"/>
      <c r="AD140"/>
      <c r="AE140"/>
    </row>
    <row r="141" spans="1:31" ht="18.75" customHeight="1" thickBot="1">
      <c r="A141" s="57"/>
      <c r="B141" s="38"/>
      <c r="C141" s="38"/>
      <c r="D141" s="792"/>
      <c r="E141" s="792"/>
      <c r="F141" s="792"/>
      <c r="G141" s="792"/>
      <c r="H141" s="792"/>
      <c r="I141" s="792"/>
      <c r="J141" s="792"/>
      <c r="K141" s="931"/>
      <c r="L141" s="792"/>
      <c r="M141" s="931"/>
      <c r="N141" s="792"/>
      <c r="P141" s="972"/>
      <c r="Q141" s="972"/>
      <c r="R141" s="972"/>
      <c r="S141" s="972"/>
      <c r="T141" s="972"/>
      <c r="V141" s="792"/>
      <c r="W141" s="792"/>
      <c r="X141" s="792"/>
      <c r="Y141" s="792"/>
      <c r="Z141" s="792"/>
      <c r="AA141"/>
      <c r="AB141"/>
      <c r="AC141"/>
      <c r="AD141"/>
      <c r="AE141"/>
    </row>
    <row r="142" spans="1:31" ht="18.75" thickBot="1">
      <c r="A142" s="749" t="s">
        <v>264</v>
      </c>
      <c r="B142" s="58"/>
      <c r="C142" s="58"/>
      <c r="D142" s="963"/>
      <c r="E142" s="964"/>
      <c r="F142" s="963"/>
      <c r="G142" s="964"/>
      <c r="H142" s="963"/>
      <c r="I142" s="964"/>
      <c r="J142" s="963"/>
      <c r="K142" s="965"/>
      <c r="L142" s="937"/>
      <c r="M142" s="939"/>
      <c r="N142" s="937"/>
      <c r="O142"/>
      <c r="P142" s="972"/>
      <c r="Q142" s="972"/>
      <c r="R142" s="972"/>
      <c r="S142" s="972"/>
      <c r="T142" s="972"/>
      <c r="U142"/>
      <c r="V142" s="792"/>
      <c r="W142" s="792"/>
      <c r="X142" s="792"/>
      <c r="Y142" s="792"/>
      <c r="Z142" s="792"/>
      <c r="AA142"/>
      <c r="AB142"/>
      <c r="AC142"/>
      <c r="AD142"/>
      <c r="AE142"/>
    </row>
    <row r="143" spans="1:31" ht="18.75" customHeight="1">
      <c r="A143" s="758" t="str">
        <f>'Budget with Assumptions'!A143</f>
        <v>Insurance</v>
      </c>
      <c r="B143" s="55"/>
      <c r="C143" s="55"/>
      <c r="D143" s="378">
        <f>'Budget with Assumptions'!J143</f>
        <v>0</v>
      </c>
      <c r="E143" s="956"/>
      <c r="F143" s="378">
        <f>'Budget with Assumptions'!L143</f>
        <v>8750</v>
      </c>
      <c r="G143" s="956"/>
      <c r="H143" s="378">
        <f>'Budget with Assumptions'!N143</f>
        <v>10150</v>
      </c>
      <c r="I143" s="956"/>
      <c r="J143" s="378">
        <f>'Budget with Assumptions'!P143</f>
        <v>11550</v>
      </c>
      <c r="K143" s="957"/>
      <c r="L143" s="378">
        <f>'Budget with Assumptions'!R143</f>
        <v>11550</v>
      </c>
      <c r="M143" s="945"/>
      <c r="N143" s="378">
        <f>'Budget with Assumptions'!T143</f>
        <v>11550</v>
      </c>
      <c r="O143"/>
      <c r="P143" s="971">
        <f>F143/$F$159</f>
        <v>0.005477295284948465</v>
      </c>
      <c r="Q143" s="971">
        <f>H143/$H$159</f>
        <v>0.006979762366793335</v>
      </c>
      <c r="R143" s="971">
        <f>J143/$J$159</f>
        <v>0.007284059812920232</v>
      </c>
      <c r="S143" s="971">
        <f>L143/$L$159</f>
        <v>0.007074457950745135</v>
      </c>
      <c r="T143" s="971">
        <f>N143/$N$159</f>
        <v>0.006934674380553432</v>
      </c>
      <c r="U143"/>
      <c r="V143" s="980">
        <f>F143/$F$178</f>
        <v>70</v>
      </c>
      <c r="W143" s="980">
        <f>H143/$H$178</f>
        <v>70</v>
      </c>
      <c r="X143" s="980">
        <f>J143/$J$178</f>
        <v>70</v>
      </c>
      <c r="Y143" s="980">
        <f>L143/$L$178</f>
        <v>70</v>
      </c>
      <c r="Z143" s="980">
        <f>N143/$N$178</f>
        <v>70</v>
      </c>
      <c r="AA143"/>
      <c r="AB143"/>
      <c r="AC143"/>
      <c r="AD143"/>
      <c r="AE143"/>
    </row>
    <row r="144" spans="1:31" ht="15.75">
      <c r="A144" s="758" t="str">
        <f>'Budget with Assumptions'!A144</f>
        <v>Non-Facility Loan Payments (P &amp; I)</v>
      </c>
      <c r="B144" s="42"/>
      <c r="C144" s="42"/>
      <c r="D144" s="378">
        <f>'Budget with Assumptions'!J144</f>
        <v>0</v>
      </c>
      <c r="E144" s="956"/>
      <c r="F144" s="378">
        <f>'Budget with Assumptions'!L144</f>
        <v>0</v>
      </c>
      <c r="G144" s="956"/>
      <c r="H144" s="378">
        <f>'Budget with Assumptions'!N144</f>
        <v>0</v>
      </c>
      <c r="I144" s="956"/>
      <c r="J144" s="378">
        <f>'Budget with Assumptions'!P144</f>
        <v>0</v>
      </c>
      <c r="K144" s="957"/>
      <c r="L144" s="378">
        <f>'Budget with Assumptions'!R144</f>
        <v>0</v>
      </c>
      <c r="M144" s="945"/>
      <c r="N144" s="378">
        <f>'Budget with Assumptions'!T144</f>
        <v>0</v>
      </c>
      <c r="O144"/>
      <c r="P144" s="971">
        <f aca="true" t="shared" si="45" ref="P144:P155">F144/$F$159</f>
        <v>0</v>
      </c>
      <c r="Q144" s="971">
        <f aca="true" t="shared" si="46" ref="Q144:Q155">H144/$H$159</f>
        <v>0</v>
      </c>
      <c r="R144" s="971">
        <f aca="true" t="shared" si="47" ref="R144:R155">J144/$J$159</f>
        <v>0</v>
      </c>
      <c r="S144" s="971">
        <f aca="true" t="shared" si="48" ref="S144:S155">L144/$L$159</f>
        <v>0</v>
      </c>
      <c r="T144" s="971">
        <f aca="true" t="shared" si="49" ref="T144:T155">N144/$N$159</f>
        <v>0</v>
      </c>
      <c r="U144"/>
      <c r="V144" s="980">
        <f aca="true" t="shared" si="50" ref="V144:V155">F144/$F$178</f>
        <v>0</v>
      </c>
      <c r="W144" s="980">
        <f aca="true" t="shared" si="51" ref="W144:W155">H144/$H$178</f>
        <v>0</v>
      </c>
      <c r="X144" s="980">
        <f aca="true" t="shared" si="52" ref="X144:X155">J144/$J$178</f>
        <v>0</v>
      </c>
      <c r="Y144" s="980">
        <f aca="true" t="shared" si="53" ref="Y144:Y155">L144/$L$178</f>
        <v>0</v>
      </c>
      <c r="Z144" s="980">
        <f aca="true" t="shared" si="54" ref="Z144:Z155">N144/$N$178</f>
        <v>0</v>
      </c>
      <c r="AA144"/>
      <c r="AB144"/>
      <c r="AC144"/>
      <c r="AD144"/>
      <c r="AE144"/>
    </row>
    <row r="145" spans="1:31" ht="15.75">
      <c r="A145" s="758" t="str">
        <f>'Budget with Assumptions'!A145</f>
        <v>Fundraising Expense</v>
      </c>
      <c r="B145" s="42"/>
      <c r="C145" s="42"/>
      <c r="D145" s="378">
        <f>'Budget with Assumptions'!J145</f>
        <v>0</v>
      </c>
      <c r="E145" s="956"/>
      <c r="F145" s="378">
        <f>'Budget with Assumptions'!L145</f>
        <v>0</v>
      </c>
      <c r="G145" s="956"/>
      <c r="H145" s="378">
        <f>'Budget with Assumptions'!N145</f>
        <v>0</v>
      </c>
      <c r="I145" s="956"/>
      <c r="J145" s="378">
        <f>'Budget with Assumptions'!P145</f>
        <v>0</v>
      </c>
      <c r="K145" s="957"/>
      <c r="L145" s="378">
        <f>'Budget with Assumptions'!R145</f>
        <v>0</v>
      </c>
      <c r="M145" s="945"/>
      <c r="N145" s="378">
        <f>'Budget with Assumptions'!T145</f>
        <v>0</v>
      </c>
      <c r="P145" s="971">
        <f t="shared" si="45"/>
        <v>0</v>
      </c>
      <c r="Q145" s="971">
        <f t="shared" si="46"/>
        <v>0</v>
      </c>
      <c r="R145" s="971">
        <f t="shared" si="47"/>
        <v>0</v>
      </c>
      <c r="S145" s="971">
        <f t="shared" si="48"/>
        <v>0</v>
      </c>
      <c r="T145" s="971">
        <f t="shared" si="49"/>
        <v>0</v>
      </c>
      <c r="U145"/>
      <c r="V145" s="980">
        <f t="shared" si="50"/>
        <v>0</v>
      </c>
      <c r="W145" s="980">
        <f t="shared" si="51"/>
        <v>0</v>
      </c>
      <c r="X145" s="980">
        <f t="shared" si="52"/>
        <v>0</v>
      </c>
      <c r="Y145" s="980">
        <f t="shared" si="53"/>
        <v>0</v>
      </c>
      <c r="Z145" s="980">
        <f t="shared" si="54"/>
        <v>0</v>
      </c>
      <c r="AA145"/>
      <c r="AB145"/>
      <c r="AC145"/>
      <c r="AD145"/>
      <c r="AE145"/>
    </row>
    <row r="146" spans="1:31" ht="15.75">
      <c r="A146" s="758" t="str">
        <f>'Budget with Assumptions'!A146</f>
        <v>Contingency</v>
      </c>
      <c r="B146" s="42"/>
      <c r="C146" s="42"/>
      <c r="D146" s="378">
        <f>'Budget with Assumptions'!J146</f>
        <v>0</v>
      </c>
      <c r="E146" s="956"/>
      <c r="F146" s="378">
        <f>'Budget with Assumptions'!L146</f>
        <v>250000</v>
      </c>
      <c r="G146" s="956"/>
      <c r="H146" s="378">
        <f>'Budget with Assumptions'!N146</f>
        <v>0</v>
      </c>
      <c r="I146" s="956"/>
      <c r="J146" s="378">
        <f>'Budget with Assumptions'!P146</f>
        <v>0</v>
      </c>
      <c r="K146" s="957"/>
      <c r="L146" s="378">
        <f>'Budget with Assumptions'!R146</f>
        <v>0</v>
      </c>
      <c r="M146" s="945"/>
      <c r="N146" s="378">
        <f>'Budget with Assumptions'!T146</f>
        <v>0</v>
      </c>
      <c r="P146" s="971">
        <f t="shared" si="45"/>
        <v>0.15649415099852756</v>
      </c>
      <c r="Q146" s="971">
        <f t="shared" si="46"/>
        <v>0</v>
      </c>
      <c r="R146" s="971">
        <f t="shared" si="47"/>
        <v>0</v>
      </c>
      <c r="S146" s="971">
        <f t="shared" si="48"/>
        <v>0</v>
      </c>
      <c r="T146" s="971">
        <f t="shared" si="49"/>
        <v>0</v>
      </c>
      <c r="U146"/>
      <c r="V146" s="980">
        <f t="shared" si="50"/>
        <v>2000</v>
      </c>
      <c r="W146" s="980">
        <f t="shared" si="51"/>
        <v>0</v>
      </c>
      <c r="X146" s="980">
        <f t="shared" si="52"/>
        <v>0</v>
      </c>
      <c r="Y146" s="980">
        <f t="shared" si="53"/>
        <v>0</v>
      </c>
      <c r="Z146" s="980">
        <f t="shared" si="54"/>
        <v>0</v>
      </c>
      <c r="AA146"/>
      <c r="AB146"/>
      <c r="AC146"/>
      <c r="AD146"/>
      <c r="AE146"/>
    </row>
    <row r="147" spans="1:31" ht="15.75">
      <c r="A147" s="758" t="str">
        <f>'Budget with Assumptions'!A147</f>
        <v>Replacement Reserve</v>
      </c>
      <c r="B147" s="42"/>
      <c r="C147" s="42"/>
      <c r="D147" s="378">
        <f>'Budget with Assumptions'!J147</f>
        <v>0</v>
      </c>
      <c r="E147" s="956"/>
      <c r="F147" s="378">
        <f>'Budget with Assumptions'!L147</f>
        <v>0</v>
      </c>
      <c r="G147" s="956"/>
      <c r="H147" s="378">
        <f>'Budget with Assumptions'!N147</f>
        <v>0</v>
      </c>
      <c r="I147" s="956"/>
      <c r="J147" s="378">
        <f>'Budget with Assumptions'!P147</f>
        <v>0</v>
      </c>
      <c r="K147" s="957"/>
      <c r="L147" s="378">
        <f>'Budget with Assumptions'!R147</f>
        <v>0</v>
      </c>
      <c r="M147" s="945"/>
      <c r="N147" s="378">
        <f>'Budget with Assumptions'!T147</f>
        <v>0</v>
      </c>
      <c r="P147" s="971">
        <f t="shared" si="45"/>
        <v>0</v>
      </c>
      <c r="Q147" s="971">
        <f t="shared" si="46"/>
        <v>0</v>
      </c>
      <c r="R147" s="971">
        <f t="shared" si="47"/>
        <v>0</v>
      </c>
      <c r="S147" s="971">
        <f t="shared" si="48"/>
        <v>0</v>
      </c>
      <c r="T147" s="971">
        <f t="shared" si="49"/>
        <v>0</v>
      </c>
      <c r="U147"/>
      <c r="V147" s="980">
        <f t="shared" si="50"/>
        <v>0</v>
      </c>
      <c r="W147" s="980">
        <f t="shared" si="51"/>
        <v>0</v>
      </c>
      <c r="X147" s="980">
        <f t="shared" si="52"/>
        <v>0</v>
      </c>
      <c r="Y147" s="980">
        <f t="shared" si="53"/>
        <v>0</v>
      </c>
      <c r="Z147" s="980">
        <f t="shared" si="54"/>
        <v>0</v>
      </c>
      <c r="AA147"/>
      <c r="AB147"/>
      <c r="AC147"/>
      <c r="AD147"/>
      <c r="AE147"/>
    </row>
    <row r="148" spans="1:31" ht="15.75">
      <c r="A148" s="758" t="str">
        <f>'Budget with Assumptions'!A148</f>
        <v>CMO Fees</v>
      </c>
      <c r="B148" s="42"/>
      <c r="C148" s="42"/>
      <c r="D148" s="378">
        <f>'Budget with Assumptions'!J148</f>
        <v>81050.17999151835</v>
      </c>
      <c r="E148" s="956"/>
      <c r="F148" s="378">
        <f>'Budget with Assumptions'!L148</f>
        <v>111755.40409158527</v>
      </c>
      <c r="G148" s="956"/>
      <c r="H148" s="378">
        <f>'Budget with Assumptions'!N148</f>
        <v>125658.60932011208</v>
      </c>
      <c r="I148" s="956"/>
      <c r="J148" s="378">
        <f>'Budget with Assumptions'!P148</f>
        <v>142314.87463826762</v>
      </c>
      <c r="K148" s="957"/>
      <c r="L148" s="378">
        <f>'Budget with Assumptions'!R148</f>
        <v>145161.17213103297</v>
      </c>
      <c r="M148" s="945"/>
      <c r="N148" s="378">
        <f>'Budget with Assumptions'!T148</f>
        <v>148064.39557365366</v>
      </c>
      <c r="P148" s="971">
        <f t="shared" si="45"/>
        <v>0.06995626833124004</v>
      </c>
      <c r="Q148" s="971">
        <f t="shared" si="46"/>
        <v>0.08641056476808912</v>
      </c>
      <c r="R148" s="971">
        <f t="shared" si="47"/>
        <v>0.08975152027128881</v>
      </c>
      <c r="S148" s="971">
        <f t="shared" si="48"/>
        <v>0.0889122604607679</v>
      </c>
      <c r="T148" s="971">
        <f t="shared" si="49"/>
        <v>0.0888985602300212</v>
      </c>
      <c r="U148"/>
      <c r="V148" s="980">
        <f t="shared" si="50"/>
        <v>894.0432327326821</v>
      </c>
      <c r="W148" s="980">
        <f t="shared" si="51"/>
        <v>866.6110987593937</v>
      </c>
      <c r="X148" s="980">
        <f t="shared" si="52"/>
        <v>862.5143917470765</v>
      </c>
      <c r="Y148" s="980">
        <f t="shared" si="53"/>
        <v>879.7646795820181</v>
      </c>
      <c r="Z148" s="980">
        <f t="shared" si="54"/>
        <v>897.3599731736585</v>
      </c>
      <c r="AA148"/>
      <c r="AB148"/>
      <c r="AC148"/>
      <c r="AD148"/>
      <c r="AE148"/>
    </row>
    <row r="149" spans="1:31" ht="15.75">
      <c r="A149" s="758">
        <f>'Budget with Assumptions'!A149</f>
        <v>0</v>
      </c>
      <c r="B149" s="42"/>
      <c r="C149" s="42"/>
      <c r="D149" s="378">
        <f>'Budget with Assumptions'!J149</f>
        <v>0</v>
      </c>
      <c r="E149" s="956"/>
      <c r="F149" s="378">
        <f>'Budget with Assumptions'!L149</f>
        <v>0</v>
      </c>
      <c r="G149" s="956"/>
      <c r="H149" s="378">
        <f>'Budget with Assumptions'!N149</f>
        <v>0</v>
      </c>
      <c r="I149" s="956"/>
      <c r="J149" s="378">
        <f>'Budget with Assumptions'!P149</f>
        <v>0</v>
      </c>
      <c r="K149" s="957"/>
      <c r="L149" s="378">
        <f>'Budget with Assumptions'!R149</f>
        <v>0</v>
      </c>
      <c r="M149" s="945"/>
      <c r="N149" s="378">
        <f>'Budget with Assumptions'!T149</f>
        <v>0</v>
      </c>
      <c r="P149" s="971">
        <f t="shared" si="45"/>
        <v>0</v>
      </c>
      <c r="Q149" s="971">
        <f t="shared" si="46"/>
        <v>0</v>
      </c>
      <c r="R149" s="971">
        <f t="shared" si="47"/>
        <v>0</v>
      </c>
      <c r="S149" s="971">
        <f t="shared" si="48"/>
        <v>0</v>
      </c>
      <c r="T149" s="971">
        <f t="shared" si="49"/>
        <v>0</v>
      </c>
      <c r="U149"/>
      <c r="V149" s="980">
        <f t="shared" si="50"/>
        <v>0</v>
      </c>
      <c r="W149" s="980">
        <f t="shared" si="51"/>
        <v>0</v>
      </c>
      <c r="X149" s="980">
        <f t="shared" si="52"/>
        <v>0</v>
      </c>
      <c r="Y149" s="980">
        <f t="shared" si="53"/>
        <v>0</v>
      </c>
      <c r="Z149" s="980">
        <f t="shared" si="54"/>
        <v>0</v>
      </c>
      <c r="AA149"/>
      <c r="AB149"/>
      <c r="AC149"/>
      <c r="AD149"/>
      <c r="AE149"/>
    </row>
    <row r="150" spans="1:31" ht="15.75">
      <c r="A150" s="758">
        <f>'Budget with Assumptions'!A150</f>
        <v>0</v>
      </c>
      <c r="B150" s="42"/>
      <c r="C150" s="42"/>
      <c r="D150" s="378">
        <f>'Budget with Assumptions'!J150</f>
        <v>0</v>
      </c>
      <c r="E150" s="956"/>
      <c r="F150" s="378">
        <f>'Budget with Assumptions'!L150</f>
        <v>0</v>
      </c>
      <c r="G150" s="956"/>
      <c r="H150" s="378">
        <f>'Budget with Assumptions'!N150</f>
        <v>0</v>
      </c>
      <c r="I150" s="956"/>
      <c r="J150" s="378">
        <f>'Budget with Assumptions'!P150</f>
        <v>0</v>
      </c>
      <c r="K150" s="957"/>
      <c r="L150" s="378">
        <f>'Budget with Assumptions'!R150</f>
        <v>0</v>
      </c>
      <c r="M150" s="945"/>
      <c r="N150" s="378">
        <f>'Budget with Assumptions'!T150</f>
        <v>0</v>
      </c>
      <c r="P150" s="971">
        <f t="shared" si="45"/>
        <v>0</v>
      </c>
      <c r="Q150" s="971">
        <f t="shared" si="46"/>
        <v>0</v>
      </c>
      <c r="R150" s="971">
        <f t="shared" si="47"/>
        <v>0</v>
      </c>
      <c r="S150" s="971">
        <f t="shared" si="48"/>
        <v>0</v>
      </c>
      <c r="T150" s="971">
        <f t="shared" si="49"/>
        <v>0</v>
      </c>
      <c r="U150"/>
      <c r="V150" s="980">
        <f t="shared" si="50"/>
        <v>0</v>
      </c>
      <c r="W150" s="980">
        <f t="shared" si="51"/>
        <v>0</v>
      </c>
      <c r="X150" s="980">
        <f t="shared" si="52"/>
        <v>0</v>
      </c>
      <c r="Y150" s="980">
        <f t="shared" si="53"/>
        <v>0</v>
      </c>
      <c r="Z150" s="980">
        <f t="shared" si="54"/>
        <v>0</v>
      </c>
      <c r="AA150"/>
      <c r="AB150"/>
      <c r="AC150"/>
      <c r="AD150"/>
      <c r="AE150"/>
    </row>
    <row r="151" spans="1:31" ht="15.75">
      <c r="A151" s="758">
        <f>'Budget with Assumptions'!A151</f>
        <v>0</v>
      </c>
      <c r="B151" s="42"/>
      <c r="C151" s="42"/>
      <c r="D151" s="378">
        <f>'Budget with Assumptions'!J151</f>
        <v>0</v>
      </c>
      <c r="E151" s="956"/>
      <c r="F151" s="378">
        <f>'Budget with Assumptions'!L151</f>
        <v>0</v>
      </c>
      <c r="G151" s="956"/>
      <c r="H151" s="378">
        <f>'Budget with Assumptions'!N151</f>
        <v>0</v>
      </c>
      <c r="I151" s="956"/>
      <c r="J151" s="378">
        <f>'Budget with Assumptions'!P151</f>
        <v>0</v>
      </c>
      <c r="K151" s="957"/>
      <c r="L151" s="378">
        <f>'Budget with Assumptions'!R151</f>
        <v>0</v>
      </c>
      <c r="M151" s="945"/>
      <c r="N151" s="378">
        <f>'Budget with Assumptions'!T151</f>
        <v>0</v>
      </c>
      <c r="P151" s="971">
        <f t="shared" si="45"/>
        <v>0</v>
      </c>
      <c r="Q151" s="971">
        <f t="shared" si="46"/>
        <v>0</v>
      </c>
      <c r="R151" s="971">
        <f t="shared" si="47"/>
        <v>0</v>
      </c>
      <c r="S151" s="971">
        <f t="shared" si="48"/>
        <v>0</v>
      </c>
      <c r="T151" s="971">
        <f t="shared" si="49"/>
        <v>0</v>
      </c>
      <c r="U151"/>
      <c r="V151" s="980">
        <f t="shared" si="50"/>
        <v>0</v>
      </c>
      <c r="W151" s="980">
        <f t="shared" si="51"/>
        <v>0</v>
      </c>
      <c r="X151" s="980">
        <f t="shared" si="52"/>
        <v>0</v>
      </c>
      <c r="Y151" s="980">
        <f t="shared" si="53"/>
        <v>0</v>
      </c>
      <c r="Z151" s="980">
        <f t="shared" si="54"/>
        <v>0</v>
      </c>
      <c r="AA151"/>
      <c r="AB151"/>
      <c r="AC151"/>
      <c r="AD151"/>
      <c r="AE151"/>
    </row>
    <row r="152" spans="1:31" ht="15.75">
      <c r="A152" s="758">
        <f>'Budget with Assumptions'!A152</f>
        <v>0</v>
      </c>
      <c r="B152" s="42"/>
      <c r="C152" s="42"/>
      <c r="D152" s="378">
        <f>'Budget with Assumptions'!J152</f>
        <v>0</v>
      </c>
      <c r="E152" s="956"/>
      <c r="F152" s="378">
        <f>'Budget with Assumptions'!L152</f>
        <v>0</v>
      </c>
      <c r="G152" s="956"/>
      <c r="H152" s="378">
        <f>'Budget with Assumptions'!N152</f>
        <v>0</v>
      </c>
      <c r="I152" s="956"/>
      <c r="J152" s="378">
        <f>'Budget with Assumptions'!P152</f>
        <v>0</v>
      </c>
      <c r="K152" s="957"/>
      <c r="L152" s="378">
        <f>'Budget with Assumptions'!R152</f>
        <v>0</v>
      </c>
      <c r="M152" s="945"/>
      <c r="N152" s="378">
        <f>'Budget with Assumptions'!T152</f>
        <v>0</v>
      </c>
      <c r="P152" s="971">
        <f t="shared" si="45"/>
        <v>0</v>
      </c>
      <c r="Q152" s="971">
        <f t="shared" si="46"/>
        <v>0</v>
      </c>
      <c r="R152" s="971">
        <f t="shared" si="47"/>
        <v>0</v>
      </c>
      <c r="S152" s="971">
        <f t="shared" si="48"/>
        <v>0</v>
      </c>
      <c r="T152" s="971">
        <f t="shared" si="49"/>
        <v>0</v>
      </c>
      <c r="U152"/>
      <c r="V152" s="980">
        <f>F152/$F$178</f>
        <v>0</v>
      </c>
      <c r="W152" s="980">
        <f>H152/$H$178</f>
        <v>0</v>
      </c>
      <c r="X152" s="980">
        <f>J152/$J$178</f>
        <v>0</v>
      </c>
      <c r="Y152" s="980">
        <f>L152/$L$178</f>
        <v>0</v>
      </c>
      <c r="Z152" s="980">
        <f>N152/$N$178</f>
        <v>0</v>
      </c>
      <c r="AA152"/>
      <c r="AB152"/>
      <c r="AC152"/>
      <c r="AD152"/>
      <c r="AE152"/>
    </row>
    <row r="153" spans="1:31" ht="15.75">
      <c r="A153" s="758">
        <f>'Budget with Assumptions'!A153</f>
        <v>0</v>
      </c>
      <c r="B153" s="42"/>
      <c r="C153" s="42"/>
      <c r="D153" s="378">
        <f>'Budget with Assumptions'!J153</f>
        <v>0</v>
      </c>
      <c r="E153" s="956"/>
      <c r="F153" s="378">
        <f>'Budget with Assumptions'!L153</f>
        <v>0</v>
      </c>
      <c r="G153" s="956"/>
      <c r="H153" s="378">
        <f>'Budget with Assumptions'!N153</f>
        <v>0</v>
      </c>
      <c r="I153" s="956"/>
      <c r="J153" s="378">
        <f>'Budget with Assumptions'!P153</f>
        <v>0</v>
      </c>
      <c r="K153" s="957"/>
      <c r="L153" s="378">
        <f>'Budget with Assumptions'!R153</f>
        <v>0</v>
      </c>
      <c r="M153" s="945"/>
      <c r="N153" s="378">
        <f>'Budget with Assumptions'!T153</f>
        <v>0</v>
      </c>
      <c r="P153" s="971">
        <f t="shared" si="45"/>
        <v>0</v>
      </c>
      <c r="Q153" s="971">
        <f t="shared" si="46"/>
        <v>0</v>
      </c>
      <c r="R153" s="971">
        <f t="shared" si="47"/>
        <v>0</v>
      </c>
      <c r="S153" s="971">
        <f t="shared" si="48"/>
        <v>0</v>
      </c>
      <c r="T153" s="971">
        <f t="shared" si="49"/>
        <v>0</v>
      </c>
      <c r="U153"/>
      <c r="V153" s="980">
        <f>F153/$F$178</f>
        <v>0</v>
      </c>
      <c r="W153" s="980">
        <f>H153/$H$178</f>
        <v>0</v>
      </c>
      <c r="X153" s="980">
        <f>J153/$J$178</f>
        <v>0</v>
      </c>
      <c r="Y153" s="980">
        <f>L153/$L$178</f>
        <v>0</v>
      </c>
      <c r="Z153" s="980">
        <f>N153/$N$178</f>
        <v>0</v>
      </c>
      <c r="AA153"/>
      <c r="AB153"/>
      <c r="AC153"/>
      <c r="AD153"/>
      <c r="AE153"/>
    </row>
    <row r="154" spans="1:31" ht="15.75">
      <c r="A154" s="758">
        <f>'Budget with Assumptions'!A154</f>
        <v>0</v>
      </c>
      <c r="B154" s="46"/>
      <c r="C154" s="46"/>
      <c r="D154" s="378">
        <f>'Budget with Assumptions'!J154</f>
        <v>0</v>
      </c>
      <c r="E154" s="956"/>
      <c r="F154" s="378">
        <f>'Budget with Assumptions'!L154</f>
        <v>0</v>
      </c>
      <c r="G154" s="956"/>
      <c r="H154" s="378">
        <f>'Budget with Assumptions'!N154</f>
        <v>0</v>
      </c>
      <c r="I154" s="956"/>
      <c r="J154" s="378">
        <f>'Budget with Assumptions'!P154</f>
        <v>0</v>
      </c>
      <c r="K154" s="957"/>
      <c r="L154" s="378">
        <f>'Budget with Assumptions'!R154</f>
        <v>0</v>
      </c>
      <c r="M154" s="945"/>
      <c r="N154" s="378">
        <f>'Budget with Assumptions'!T154</f>
        <v>0</v>
      </c>
      <c r="P154" s="971">
        <f t="shared" si="45"/>
        <v>0</v>
      </c>
      <c r="Q154" s="971">
        <f t="shared" si="46"/>
        <v>0</v>
      </c>
      <c r="R154" s="971">
        <f t="shared" si="47"/>
        <v>0</v>
      </c>
      <c r="S154" s="971">
        <f t="shared" si="48"/>
        <v>0</v>
      </c>
      <c r="T154" s="971">
        <f t="shared" si="49"/>
        <v>0</v>
      </c>
      <c r="U154"/>
      <c r="V154" s="980">
        <f t="shared" si="50"/>
        <v>0</v>
      </c>
      <c r="W154" s="980">
        <f t="shared" si="51"/>
        <v>0</v>
      </c>
      <c r="X154" s="980">
        <f t="shared" si="52"/>
        <v>0</v>
      </c>
      <c r="Y154" s="980">
        <f t="shared" si="53"/>
        <v>0</v>
      </c>
      <c r="Z154" s="980">
        <f t="shared" si="54"/>
        <v>0</v>
      </c>
      <c r="AA154"/>
      <c r="AB154"/>
      <c r="AC154"/>
      <c r="AD154"/>
      <c r="AE154"/>
    </row>
    <row r="155" spans="1:31" ht="15.75">
      <c r="A155" s="758">
        <f>'Budget with Assumptions'!A155</f>
        <v>0</v>
      </c>
      <c r="B155" s="46"/>
      <c r="C155" s="46"/>
      <c r="D155" s="378">
        <f>'Budget with Assumptions'!J155</f>
        <v>0</v>
      </c>
      <c r="E155" s="956"/>
      <c r="F155" s="378">
        <f>'Budget with Assumptions'!L155</f>
        <v>0</v>
      </c>
      <c r="G155" s="956"/>
      <c r="H155" s="378">
        <f>'Budget with Assumptions'!N155</f>
        <v>0</v>
      </c>
      <c r="I155" s="956"/>
      <c r="J155" s="378">
        <f>'Budget with Assumptions'!P155</f>
        <v>0</v>
      </c>
      <c r="K155" s="957"/>
      <c r="L155" s="378">
        <f>'Budget with Assumptions'!R155</f>
        <v>0</v>
      </c>
      <c r="M155" s="945"/>
      <c r="N155" s="378">
        <f>'Budget with Assumptions'!T155</f>
        <v>0</v>
      </c>
      <c r="P155" s="971">
        <f t="shared" si="45"/>
        <v>0</v>
      </c>
      <c r="Q155" s="971">
        <f t="shared" si="46"/>
        <v>0</v>
      </c>
      <c r="R155" s="971">
        <f t="shared" si="47"/>
        <v>0</v>
      </c>
      <c r="S155" s="971">
        <f t="shared" si="48"/>
        <v>0</v>
      </c>
      <c r="T155" s="971">
        <f t="shared" si="49"/>
        <v>0</v>
      </c>
      <c r="U155"/>
      <c r="V155" s="980">
        <f t="shared" si="50"/>
        <v>0</v>
      </c>
      <c r="W155" s="980">
        <f t="shared" si="51"/>
        <v>0</v>
      </c>
      <c r="X155" s="980">
        <f t="shared" si="52"/>
        <v>0</v>
      </c>
      <c r="Y155" s="980">
        <f t="shared" si="53"/>
        <v>0</v>
      </c>
      <c r="Z155" s="980">
        <f t="shared" si="54"/>
        <v>0</v>
      </c>
      <c r="AA155"/>
      <c r="AB155"/>
      <c r="AC155"/>
      <c r="AD155"/>
      <c r="AE155"/>
    </row>
    <row r="156" spans="1:31" ht="16.5" thickBot="1">
      <c r="A156" s="40"/>
      <c r="B156" s="46"/>
      <c r="C156" s="46"/>
      <c r="D156" s="963"/>
      <c r="E156" s="956"/>
      <c r="F156" s="963"/>
      <c r="G156" s="956"/>
      <c r="H156" s="963"/>
      <c r="I156" s="956"/>
      <c r="J156" s="963"/>
      <c r="K156" s="957"/>
      <c r="L156" s="937"/>
      <c r="M156" s="945"/>
      <c r="N156" s="937"/>
      <c r="P156" s="972"/>
      <c r="Q156" s="972"/>
      <c r="R156" s="972"/>
      <c r="S156" s="972"/>
      <c r="T156" s="972"/>
      <c r="U156"/>
      <c r="V156" s="792"/>
      <c r="W156" s="792"/>
      <c r="X156" s="792"/>
      <c r="Y156" s="792"/>
      <c r="Z156" s="792"/>
      <c r="AA156"/>
      <c r="AB156"/>
      <c r="AC156"/>
      <c r="AD156"/>
      <c r="AE156"/>
    </row>
    <row r="157" spans="1:31" ht="16.5" thickBot="1">
      <c r="A157" s="302" t="s">
        <v>24</v>
      </c>
      <c r="B157" s="42"/>
      <c r="C157" s="42"/>
      <c r="D157" s="508">
        <f>SUM(D143:D155)</f>
        <v>81050.17999151835</v>
      </c>
      <c r="E157" s="374"/>
      <c r="F157" s="508">
        <f>SUM(F143:F155)</f>
        <v>370505.40409158525</v>
      </c>
      <c r="G157" s="374"/>
      <c r="H157" s="508">
        <f>SUM(H143:H155)</f>
        <v>135808.6093201121</v>
      </c>
      <c r="I157" s="374"/>
      <c r="J157" s="508">
        <f>SUM(J143:J155)</f>
        <v>153864.87463826762</v>
      </c>
      <c r="K157" s="375"/>
      <c r="L157" s="508">
        <f>SUM(L143:L155)</f>
        <v>156711.17213103297</v>
      </c>
      <c r="M157" s="930"/>
      <c r="N157" s="508">
        <f>SUM(N143:N155)</f>
        <v>159614.39557365366</v>
      </c>
      <c r="O157" s="114"/>
      <c r="P157" s="751">
        <f>SUM(P143:P155)</f>
        <v>0.23192771461471606</v>
      </c>
      <c r="Q157" s="751">
        <f>SUM(Q143:Q155)</f>
        <v>0.09339032713488245</v>
      </c>
      <c r="R157" s="751">
        <f>SUM(R143:R155)</f>
        <v>0.09703558008420904</v>
      </c>
      <c r="S157" s="751">
        <f>SUM(S143:S155)</f>
        <v>0.09598671841151304</v>
      </c>
      <c r="T157" s="751">
        <f>SUM(T143:T155)</f>
        <v>0.09583323461057464</v>
      </c>
      <c r="U157"/>
      <c r="V157" s="753">
        <f>SUM(V143:V155)</f>
        <v>2964.043232732682</v>
      </c>
      <c r="W157" s="753">
        <f>SUM(W143:W155)</f>
        <v>936.6110987593937</v>
      </c>
      <c r="X157" s="753">
        <f>SUM(X143:X155)</f>
        <v>932.5143917470765</v>
      </c>
      <c r="Y157" s="753">
        <f>SUM(Y143:Y155)</f>
        <v>949.7646795820181</v>
      </c>
      <c r="Z157" s="753">
        <f>SUM(Z143:Z155)</f>
        <v>967.3599731736585</v>
      </c>
      <c r="AA157"/>
      <c r="AB157"/>
      <c r="AC157"/>
      <c r="AD157"/>
      <c r="AE157"/>
    </row>
    <row r="158" spans="1:31" ht="16.5" thickBot="1">
      <c r="A158" s="61"/>
      <c r="B158" s="38"/>
      <c r="C158" s="38"/>
      <c r="D158" s="792"/>
      <c r="E158" s="792"/>
      <c r="F158" s="792"/>
      <c r="G158" s="792"/>
      <c r="H158" s="792"/>
      <c r="I158" s="792"/>
      <c r="J158" s="792"/>
      <c r="K158" s="931"/>
      <c r="L158" s="792"/>
      <c r="M158" s="931"/>
      <c r="N158" s="792"/>
      <c r="P158" s="972"/>
      <c r="Q158" s="972"/>
      <c r="R158" s="972"/>
      <c r="S158" s="972"/>
      <c r="T158" s="972"/>
      <c r="V158" s="792"/>
      <c r="W158" s="792"/>
      <c r="X158" s="792"/>
      <c r="Y158" s="792"/>
      <c r="Z158" s="792"/>
      <c r="AA158"/>
      <c r="AB158"/>
      <c r="AC158"/>
      <c r="AD158"/>
      <c r="AE158"/>
    </row>
    <row r="159" spans="1:31" ht="16.5" thickBot="1">
      <c r="A159" s="305" t="s">
        <v>25</v>
      </c>
      <c r="B159" s="62"/>
      <c r="C159" s="62"/>
      <c r="D159" s="508">
        <f>D64+D92+D116+D138+D140+D157</f>
        <v>153690.17999151835</v>
      </c>
      <c r="E159" s="932"/>
      <c r="F159" s="508">
        <f>F64+F92+F116+F138+F140+F157</f>
        <v>1597503.7942622674</v>
      </c>
      <c r="G159" s="932"/>
      <c r="H159" s="508">
        <f>H64+H92+H116+H138+H140+H157</f>
        <v>1454204.2359907944</v>
      </c>
      <c r="I159" s="932"/>
      <c r="J159" s="508">
        <f>J64+J92+J116+J138+J140+J157</f>
        <v>1585654.19513895</v>
      </c>
      <c r="K159" s="933"/>
      <c r="L159" s="508">
        <f>L64+L92+L116+L138+L140+L157</f>
        <v>1632633.917738315</v>
      </c>
      <c r="M159" s="934"/>
      <c r="N159" s="508">
        <f>N64+N92+N116+N138+N140+N157</f>
        <v>1665543.2347896681</v>
      </c>
      <c r="P159" s="976">
        <f>P64+P92+P116+P138+P140+P157</f>
        <v>1</v>
      </c>
      <c r="Q159" s="976">
        <f>Q64+Q92+Q116+Q138+Q140+Q157</f>
        <v>0.9999999999999999</v>
      </c>
      <c r="R159" s="976">
        <f>R64+R92+R116+R138+R140+R157</f>
        <v>1</v>
      </c>
      <c r="S159" s="976">
        <f>S64+S92+S116+S138+S140+S157</f>
        <v>1</v>
      </c>
      <c r="T159" s="976">
        <f>T64+T92+T116+T138+T140+T157</f>
        <v>1</v>
      </c>
      <c r="U159"/>
      <c r="V159" s="981">
        <f>V64+V92+V116+V138+V140+V157</f>
        <v>12780.03035409814</v>
      </c>
      <c r="W159" s="981">
        <f>W64+W92+W116+W138+W140+W157</f>
        <v>10028.994730970995</v>
      </c>
      <c r="X159" s="981">
        <f>X64+X92+X116+X138+X140+X157</f>
        <v>9610.025425084545</v>
      </c>
      <c r="Y159" s="981">
        <f>Y64+Y92+Y116+Y138+Y140+Y157</f>
        <v>9894.75101659585</v>
      </c>
      <c r="Z159" s="981">
        <f>Z64+Z92+Z116+Z138+Z140+Z157</f>
        <v>10094.201422967686</v>
      </c>
      <c r="AA159"/>
      <c r="AB159"/>
      <c r="AC159"/>
      <c r="AD159"/>
      <c r="AE159"/>
    </row>
    <row r="160" spans="1:31" ht="16.5" thickBot="1">
      <c r="A160" s="300"/>
      <c r="B160" s="64"/>
      <c r="C160" s="64"/>
      <c r="D160" s="792"/>
      <c r="E160" s="792"/>
      <c r="F160" s="792"/>
      <c r="G160" s="792"/>
      <c r="H160" s="792"/>
      <c r="I160" s="792"/>
      <c r="J160" s="792"/>
      <c r="K160" s="931"/>
      <c r="L160" s="792"/>
      <c r="M160" s="931"/>
      <c r="N160" s="792"/>
      <c r="AA160"/>
      <c r="AB160"/>
      <c r="AC160"/>
      <c r="AD160"/>
      <c r="AE160"/>
    </row>
    <row r="161" spans="1:31" ht="16.5" thickBot="1">
      <c r="A161" s="388" t="s">
        <v>30</v>
      </c>
      <c r="B161" s="62"/>
      <c r="C161" s="62"/>
      <c r="D161" s="935">
        <f>D35-D159</f>
        <v>6309.820008481649</v>
      </c>
      <c r="E161" s="936"/>
      <c r="F161" s="935">
        <f>F35-F159</f>
        <v>314517.64199491194</v>
      </c>
      <c r="G161" s="936"/>
      <c r="H161" s="935">
        <f>H35-H159</f>
        <v>292855.65643460094</v>
      </c>
      <c r="I161" s="932"/>
      <c r="J161" s="935">
        <f>J35-J159</f>
        <v>274789.1373391154</v>
      </c>
      <c r="K161" s="933"/>
      <c r="L161" s="935">
        <f>L35-L159</f>
        <v>231580.05346931168</v>
      </c>
      <c r="M161" s="990"/>
      <c r="N161" s="935">
        <f>N35-N159</f>
        <v>202516.78792211087</v>
      </c>
      <c r="P161" s="745"/>
      <c r="Q161" s="745"/>
      <c r="R161" s="745"/>
      <c r="S161" s="745"/>
      <c r="T161" s="745"/>
      <c r="U161"/>
      <c r="V161"/>
      <c r="W161"/>
      <c r="X161"/>
      <c r="Y161"/>
      <c r="Z161"/>
      <c r="AA161"/>
      <c r="AB161"/>
      <c r="AC161"/>
      <c r="AD161"/>
      <c r="AE161"/>
    </row>
    <row r="162" spans="1:31" ht="16.5" thickBot="1">
      <c r="A162" s="384"/>
      <c r="B162" s="387"/>
      <c r="C162" s="381"/>
      <c r="D162" s="937"/>
      <c r="E162" s="937"/>
      <c r="F162" s="937"/>
      <c r="G162" s="937"/>
      <c r="H162" s="937"/>
      <c r="I162" s="937"/>
      <c r="J162" s="937"/>
      <c r="K162" s="938"/>
      <c r="L162" s="937"/>
      <c r="M162" s="939"/>
      <c r="N162" s="937"/>
      <c r="P162" s="745"/>
      <c r="Q162" s="745"/>
      <c r="R162" s="745"/>
      <c r="S162" s="745"/>
      <c r="T162" s="745"/>
      <c r="U162"/>
      <c r="V162" s="752"/>
      <c r="W162" s="752"/>
      <c r="X162" s="752"/>
      <c r="Y162" s="752"/>
      <c r="Z162" s="752"/>
      <c r="AA162"/>
      <c r="AB162"/>
      <c r="AC162"/>
      <c r="AD162"/>
      <c r="AE162"/>
    </row>
    <row r="163" spans="1:31" ht="16.5" thickBot="1">
      <c r="A163" s="385" t="s">
        <v>234</v>
      </c>
      <c r="B163" s="56"/>
      <c r="C163" s="56"/>
      <c r="D163" s="506">
        <f>0</f>
        <v>0</v>
      </c>
      <c r="E163" s="937"/>
      <c r="F163" s="510">
        <f>D165</f>
        <v>6309.820008481649</v>
      </c>
      <c r="G163" s="940"/>
      <c r="H163" s="510">
        <f>F165</f>
        <v>320827.46200339356</v>
      </c>
      <c r="I163" s="940"/>
      <c r="J163" s="510">
        <f>H165</f>
        <v>613683.1184379945</v>
      </c>
      <c r="K163" s="941"/>
      <c r="L163" s="510">
        <f>J165</f>
        <v>888472.2557771099</v>
      </c>
      <c r="M163" s="941"/>
      <c r="N163" s="510">
        <f>L165</f>
        <v>1120052.3092464216</v>
      </c>
      <c r="P163" s="745"/>
      <c r="Q163" s="745"/>
      <c r="R163" s="745"/>
      <c r="S163" s="745"/>
      <c r="T163" s="745"/>
      <c r="U163"/>
      <c r="V163" s="752"/>
      <c r="W163" s="752"/>
      <c r="X163" s="752"/>
      <c r="Y163" s="752"/>
      <c r="Z163" s="752"/>
      <c r="AA163"/>
      <c r="AB163"/>
      <c r="AC163"/>
      <c r="AD163"/>
      <c r="AE163"/>
    </row>
    <row r="164" spans="1:31" ht="16.5" thickBot="1">
      <c r="A164" s="386" t="s">
        <v>235</v>
      </c>
      <c r="B164" s="56"/>
      <c r="C164" s="56"/>
      <c r="D164" s="510">
        <f>D161</f>
        <v>6309.820008481649</v>
      </c>
      <c r="E164" s="68"/>
      <c r="F164" s="510">
        <f>F161</f>
        <v>314517.64199491194</v>
      </c>
      <c r="G164" s="682"/>
      <c r="H164" s="510">
        <f>H161</f>
        <v>292855.65643460094</v>
      </c>
      <c r="I164" s="682"/>
      <c r="J164" s="510">
        <f>J161</f>
        <v>274789.1373391154</v>
      </c>
      <c r="K164" s="683"/>
      <c r="L164" s="510">
        <f>L161</f>
        <v>231580.05346931168</v>
      </c>
      <c r="M164" s="683"/>
      <c r="N164" s="510">
        <f>N161</f>
        <v>202516.78792211087</v>
      </c>
      <c r="O164"/>
      <c r="P164" s="745"/>
      <c r="Q164" s="745"/>
      <c r="R164" s="745"/>
      <c r="S164" s="745"/>
      <c r="T164" s="745"/>
      <c r="U164"/>
      <c r="V164"/>
      <c r="W164"/>
      <c r="X164"/>
      <c r="Y164"/>
      <c r="Z164"/>
      <c r="AA164"/>
      <c r="AB164"/>
      <c r="AC164"/>
      <c r="AD164"/>
      <c r="AE164"/>
    </row>
    <row r="165" spans="1:31" ht="16.5" thickBot="1">
      <c r="A165" s="472" t="s">
        <v>236</v>
      </c>
      <c r="B165" s="67"/>
      <c r="C165" s="67"/>
      <c r="D165" s="510">
        <f>D163+D164</f>
        <v>6309.820008481649</v>
      </c>
      <c r="E165" s="67"/>
      <c r="F165" s="510">
        <f>F163+F164</f>
        <v>320827.46200339356</v>
      </c>
      <c r="G165" s="942"/>
      <c r="H165" s="510">
        <f>H163+H164</f>
        <v>613683.1184379945</v>
      </c>
      <c r="I165" s="942"/>
      <c r="J165" s="510">
        <f>J163+J164</f>
        <v>888472.2557771099</v>
      </c>
      <c r="K165" s="943"/>
      <c r="L165" s="510">
        <f>L163+L164</f>
        <v>1120052.3092464216</v>
      </c>
      <c r="M165" s="683"/>
      <c r="N165" s="510">
        <f>N163+N164</f>
        <v>1322569.0971685324</v>
      </c>
      <c r="O165"/>
      <c r="P165" s="745"/>
      <c r="Q165" s="745"/>
      <c r="R165" s="745"/>
      <c r="S165" s="745"/>
      <c r="T165" s="745"/>
      <c r="U165"/>
      <c r="V165"/>
      <c r="W165"/>
      <c r="X165"/>
      <c r="Y165"/>
      <c r="Z165"/>
      <c r="AA165"/>
      <c r="AB165"/>
      <c r="AC165"/>
      <c r="AD165"/>
      <c r="AE165"/>
    </row>
    <row r="166" spans="1:31" ht="15.75">
      <c r="A166" s="35"/>
      <c r="B166" s="65"/>
      <c r="C166" s="65"/>
      <c r="D166" s="944"/>
      <c r="E166" s="66"/>
      <c r="F166" s="944"/>
      <c r="G166" s="66"/>
      <c r="H166" s="944"/>
      <c r="I166" s="66"/>
      <c r="J166" s="944"/>
      <c r="K166" s="930"/>
      <c r="L166" s="944"/>
      <c r="M166" s="945"/>
      <c r="N166" s="792"/>
      <c r="O166"/>
      <c r="P166" s="745"/>
      <c r="Q166" s="745"/>
      <c r="R166" s="745"/>
      <c r="S166" s="745"/>
      <c r="T166" s="745"/>
      <c r="U166"/>
      <c r="V166"/>
      <c r="W166"/>
      <c r="X166"/>
      <c r="Y166"/>
      <c r="Z166"/>
      <c r="AA166"/>
      <c r="AB166"/>
      <c r="AC166"/>
      <c r="AD166"/>
      <c r="AE166"/>
    </row>
    <row r="167" spans="1:31" ht="15.75">
      <c r="A167" s="35"/>
      <c r="B167" s="35"/>
      <c r="C167" s="35"/>
      <c r="D167" s="792"/>
      <c r="E167" s="792"/>
      <c r="F167" s="792"/>
      <c r="G167" s="792"/>
      <c r="H167" s="792"/>
      <c r="I167" s="792"/>
      <c r="J167" s="792"/>
      <c r="K167" s="931"/>
      <c r="L167" s="792"/>
      <c r="M167" s="931"/>
      <c r="N167" s="792"/>
      <c r="O167"/>
      <c r="P167" s="745"/>
      <c r="Q167" s="745"/>
      <c r="R167" s="745"/>
      <c r="S167" s="745"/>
      <c r="T167" s="745"/>
      <c r="U167"/>
      <c r="V167"/>
      <c r="W167"/>
      <c r="X167"/>
      <c r="Y167"/>
      <c r="Z167"/>
      <c r="AA167"/>
      <c r="AB167"/>
      <c r="AC167"/>
      <c r="AD167"/>
      <c r="AE167"/>
    </row>
    <row r="168" spans="1:31" ht="15.75">
      <c r="A168" s="35"/>
      <c r="B168" s="35"/>
      <c r="C168" s="35"/>
      <c r="D168" s="944"/>
      <c r="E168" s="66"/>
      <c r="F168" s="944"/>
      <c r="G168" s="66"/>
      <c r="H168" s="944"/>
      <c r="I168" s="66"/>
      <c r="J168" s="944"/>
      <c r="K168" s="930"/>
      <c r="L168" s="944"/>
      <c r="M168" s="945"/>
      <c r="N168" s="792"/>
      <c r="O168"/>
      <c r="P168" s="745"/>
      <c r="Q168" s="745"/>
      <c r="R168" s="745"/>
      <c r="S168" s="745"/>
      <c r="T168" s="745"/>
      <c r="U168"/>
      <c r="V168"/>
      <c r="W168"/>
      <c r="X168"/>
      <c r="Y168"/>
      <c r="Z168"/>
      <c r="AA168"/>
      <c r="AB168"/>
      <c r="AC168"/>
      <c r="AD168"/>
      <c r="AE168"/>
    </row>
    <row r="169" spans="2:31" ht="15.75">
      <c r="B169" s="35"/>
      <c r="C169" s="35"/>
      <c r="D169" s="944"/>
      <c r="E169" s="66"/>
      <c r="F169" s="944"/>
      <c r="G169" s="66"/>
      <c r="H169" s="944"/>
      <c r="I169" s="66"/>
      <c r="J169" s="944"/>
      <c r="K169" s="930"/>
      <c r="L169" s="944"/>
      <c r="M169" s="945"/>
      <c r="N169" s="792"/>
      <c r="O169"/>
      <c r="P169" s="745"/>
      <c r="Q169" s="745"/>
      <c r="R169" s="745"/>
      <c r="S169" s="745"/>
      <c r="T169" s="745"/>
      <c r="U169"/>
      <c r="V169"/>
      <c r="W169"/>
      <c r="X169"/>
      <c r="Y169"/>
      <c r="Z169"/>
      <c r="AA169"/>
      <c r="AB169"/>
      <c r="AC169"/>
      <c r="AD169"/>
      <c r="AE169"/>
    </row>
    <row r="170" spans="4:14" ht="12.75">
      <c r="D170" s="792"/>
      <c r="E170" s="792"/>
      <c r="F170" s="792"/>
      <c r="G170" s="792"/>
      <c r="H170" s="792"/>
      <c r="I170" s="792"/>
      <c r="J170" s="792"/>
      <c r="K170" s="931"/>
      <c r="L170" s="792"/>
      <c r="M170" s="931"/>
      <c r="N170" s="792"/>
    </row>
    <row r="171" spans="4:14" ht="12.75">
      <c r="D171" s="792"/>
      <c r="E171" s="792"/>
      <c r="F171" s="792"/>
      <c r="G171" s="792"/>
      <c r="H171" s="792"/>
      <c r="I171" s="792"/>
      <c r="J171" s="792"/>
      <c r="K171" s="931"/>
      <c r="L171" s="792"/>
      <c r="M171" s="931"/>
      <c r="N171" s="792"/>
    </row>
    <row r="172" spans="3:14" ht="12.75">
      <c r="C172" s="166"/>
      <c r="D172" s="792"/>
      <c r="E172" s="792"/>
      <c r="F172" s="792"/>
      <c r="G172" s="792"/>
      <c r="H172" s="792"/>
      <c r="I172" s="792"/>
      <c r="J172" s="792"/>
      <c r="K172" s="931"/>
      <c r="L172" s="792"/>
      <c r="M172" s="931"/>
      <c r="N172" s="792"/>
    </row>
    <row r="173" spans="3:14" ht="13.5" thickBot="1">
      <c r="C173" s="166"/>
      <c r="D173" s="792"/>
      <c r="E173" s="792"/>
      <c r="F173" s="792"/>
      <c r="G173" s="792"/>
      <c r="H173" s="792"/>
      <c r="I173" s="792"/>
      <c r="J173" s="792"/>
      <c r="K173" s="931"/>
      <c r="L173" s="792"/>
      <c r="M173" s="931"/>
      <c r="N173" s="792"/>
    </row>
    <row r="174" spans="3:14" ht="13.5" thickBot="1">
      <c r="C174" s="332"/>
      <c r="D174" s="1161" t="s">
        <v>226</v>
      </c>
      <c r="E174" s="1162"/>
      <c r="F174" s="1162"/>
      <c r="G174" s="1162"/>
      <c r="H174" s="1162"/>
      <c r="I174" s="1162"/>
      <c r="J174" s="1162"/>
      <c r="K174" s="1162"/>
      <c r="L174" s="1162"/>
      <c r="M174" s="1162"/>
      <c r="N174" s="1163"/>
    </row>
    <row r="175" spans="3:14" ht="16.5" customHeight="1" thickBot="1">
      <c r="C175" s="166"/>
      <c r="D175" s="411" t="s">
        <v>193</v>
      </c>
      <c r="E175" s="966"/>
      <c r="F175" s="445">
        <f>F9</f>
        <v>2016</v>
      </c>
      <c r="G175" s="966"/>
      <c r="H175" s="445">
        <f>H9</f>
        <v>2017</v>
      </c>
      <c r="I175" s="966"/>
      <c r="J175" s="445">
        <f>J9</f>
        <v>2018</v>
      </c>
      <c r="K175" s="966"/>
      <c r="L175" s="445">
        <f>L9</f>
        <v>2019</v>
      </c>
      <c r="M175" s="966"/>
      <c r="N175" s="445">
        <f>N9</f>
        <v>2020</v>
      </c>
    </row>
    <row r="176" spans="3:14" ht="40.5" customHeight="1" thickBot="1">
      <c r="C176" s="97"/>
      <c r="D176" s="411" t="s">
        <v>204</v>
      </c>
      <c r="E176" s="967"/>
      <c r="F176" s="661">
        <f>Personnel!G191</f>
        <v>9.899999999999999</v>
      </c>
      <c r="G176" s="966"/>
      <c r="H176" s="661">
        <f>Personnel!I191</f>
        <v>10.399999999999999</v>
      </c>
      <c r="I176" s="966"/>
      <c r="J176" s="661">
        <f>Personnel!K191</f>
        <v>10.899999999999999</v>
      </c>
      <c r="K176" s="966"/>
      <c r="L176" s="661">
        <f>Personnel!M191</f>
        <v>10.899999999999999</v>
      </c>
      <c r="M176" s="966"/>
      <c r="N176" s="661">
        <f>Personnel!O191</f>
        <v>10.899999999999999</v>
      </c>
    </row>
    <row r="177" spans="3:14" ht="40.5" customHeight="1" thickBot="1">
      <c r="C177" s="97"/>
      <c r="D177" s="411" t="s">
        <v>205</v>
      </c>
      <c r="E177" s="967"/>
      <c r="F177" s="917">
        <f>Personnel!G189</f>
        <v>451250</v>
      </c>
      <c r="G177" s="967"/>
      <c r="H177" s="917">
        <f>Personnel!I189</f>
        <v>485775</v>
      </c>
      <c r="I177" s="967"/>
      <c r="J177" s="917">
        <f>Personnel!K189</f>
        <v>521500.5</v>
      </c>
      <c r="K177" s="967"/>
      <c r="L177" s="917">
        <f>Personnel!M189</f>
        <v>531930.5099999999</v>
      </c>
      <c r="M177" s="967"/>
      <c r="N177" s="917">
        <f>Personnel!O189</f>
        <v>542569.1202</v>
      </c>
    </row>
    <row r="178" spans="3:14" ht="40.5" customHeight="1" thickBot="1">
      <c r="C178" s="97"/>
      <c r="D178" s="411" t="s">
        <v>269</v>
      </c>
      <c r="E178" s="968"/>
      <c r="F178" s="661">
        <f>'Revenues-Fed, State, &amp; Expan. '!E97</f>
        <v>125</v>
      </c>
      <c r="G178" s="968"/>
      <c r="H178" s="661">
        <f>'Revenues-Fed, State, &amp; Expan. '!G97</f>
        <v>145</v>
      </c>
      <c r="I178" s="968"/>
      <c r="J178" s="661">
        <f>'Revenues-Fed, State, &amp; Expan. '!I97</f>
        <v>165</v>
      </c>
      <c r="K178" s="968"/>
      <c r="L178" s="661">
        <f>'Revenues-Fed, State, &amp; Expan. '!K97</f>
        <v>165</v>
      </c>
      <c r="M178" s="968"/>
      <c r="N178" s="661">
        <f>'Revenues-Fed, State, &amp; Expan. '!M97</f>
        <v>165</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9A0" sheet="1"/>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45" r:id="rId1"/>
</worksheet>
</file>

<file path=xl/worksheets/sheet7.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8" sqref="B18"/>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813" t="s">
        <v>440</v>
      </c>
      <c r="B1" s="1190" t="str">
        <f>'Budget with Assumptions'!A2</f>
        <v>Connected Futures Academy- Campus 5</v>
      </c>
      <c r="C1" s="1191"/>
    </row>
    <row r="2" spans="1:3" ht="16.5" thickBot="1">
      <c r="A2" s="790"/>
      <c r="B2" s="791"/>
      <c r="C2" s="791"/>
    </row>
    <row r="3" spans="1:3" ht="13.5" thickBot="1">
      <c r="A3" s="1192" t="s">
        <v>485</v>
      </c>
      <c r="B3" s="1193"/>
      <c r="C3" s="1194"/>
    </row>
    <row r="4" spans="1:3" ht="12.75">
      <c r="A4" s="792"/>
      <c r="B4" s="792"/>
      <c r="C4" s="792"/>
    </row>
    <row r="5" spans="1:3" ht="13.5" thickBot="1">
      <c r="A5" s="792"/>
      <c r="B5" s="792"/>
      <c r="C5" s="792"/>
    </row>
    <row r="6" spans="1:3" ht="16.5" thickBot="1">
      <c r="A6" s="814" t="s">
        <v>558</v>
      </c>
      <c r="B6" s="815"/>
      <c r="C6" s="816"/>
    </row>
    <row r="7" spans="1:3" ht="13.5" thickBot="1">
      <c r="A7" s="817" t="s">
        <v>559</v>
      </c>
      <c r="B7" s="815"/>
      <c r="C7" s="816"/>
    </row>
    <row r="8" spans="1:3" ht="13.5" thickBot="1">
      <c r="A8" s="793"/>
      <c r="B8" s="209"/>
      <c r="C8" s="794"/>
    </row>
    <row r="9" spans="1:3" ht="12.75">
      <c r="A9" s="802" t="s">
        <v>441</v>
      </c>
      <c r="B9" s="803"/>
      <c r="C9" s="804"/>
    </row>
    <row r="10" spans="1:3" ht="12.75">
      <c r="A10" s="812" t="s">
        <v>486</v>
      </c>
      <c r="B10" s="806"/>
      <c r="C10" s="807"/>
    </row>
    <row r="11" spans="1:3" ht="12.75">
      <c r="A11" s="805" t="s">
        <v>442</v>
      </c>
      <c r="B11" s="806"/>
      <c r="C11" s="807"/>
    </row>
    <row r="12" spans="1:3" ht="13.5" thickBot="1">
      <c r="A12" s="811" t="s">
        <v>551</v>
      </c>
      <c r="B12" s="808"/>
      <c r="C12" s="809"/>
    </row>
    <row r="13" spans="1:3" ht="13.5" thickBot="1">
      <c r="A13" s="795"/>
      <c r="B13" s="108"/>
      <c r="C13" s="796"/>
    </row>
    <row r="14" spans="1:3" ht="13.5" thickBot="1">
      <c r="A14" s="669" t="s">
        <v>446</v>
      </c>
      <c r="B14" s="108"/>
      <c r="C14" s="796"/>
    </row>
    <row r="15" spans="1:3" ht="12.75">
      <c r="A15" s="818" t="s">
        <v>33</v>
      </c>
      <c r="B15" s="845">
        <v>200000</v>
      </c>
      <c r="C15" s="796"/>
    </row>
    <row r="16" spans="1:3" ht="12.75">
      <c r="A16" s="819" t="s">
        <v>443</v>
      </c>
      <c r="B16" s="846">
        <f>15*12</f>
        <v>180</v>
      </c>
      <c r="C16" s="796"/>
    </row>
    <row r="17" spans="1:3" ht="13.5" thickBot="1">
      <c r="A17" s="820" t="s">
        <v>444</v>
      </c>
      <c r="B17" s="847">
        <v>0.0525</v>
      </c>
      <c r="C17" s="796"/>
    </row>
    <row r="18" spans="1:3" ht="26.25" thickBot="1">
      <c r="A18" s="821" t="s">
        <v>445</v>
      </c>
      <c r="B18" s="555">
        <f>-IF(SUM(B15:B17)=0,0,PMT(B17/12,B16,B15)*12)</f>
        <v>19293.065170682294</v>
      </c>
      <c r="C18" s="796"/>
    </row>
    <row r="19" spans="1:3" ht="12.75">
      <c r="A19" s="795"/>
      <c r="B19" s="108"/>
      <c r="C19" s="796"/>
    </row>
    <row r="20" spans="1:3" ht="12.75">
      <c r="A20" s="833"/>
      <c r="B20" s="832"/>
      <c r="C20" s="798"/>
    </row>
    <row r="22" ht="13.5" thickBot="1"/>
    <row r="23" spans="1:3" ht="16.5" thickBot="1">
      <c r="A23" s="814" t="s">
        <v>560</v>
      </c>
      <c r="B23" s="815"/>
      <c r="C23" s="816"/>
    </row>
    <row r="24" spans="1:3" ht="13.5" thickBot="1">
      <c r="A24" s="817" t="s">
        <v>564</v>
      </c>
      <c r="B24" s="815"/>
      <c r="C24" s="816"/>
    </row>
    <row r="25" spans="1:3" ht="13.5" thickBot="1">
      <c r="A25" s="795"/>
      <c r="B25" s="209"/>
      <c r="C25" s="794"/>
    </row>
    <row r="26" spans="1:3" ht="12.75">
      <c r="A26" s="810" t="s">
        <v>441</v>
      </c>
      <c r="B26" s="803"/>
      <c r="C26" s="804"/>
    </row>
    <row r="27" spans="1:3" ht="12.75">
      <c r="A27" s="812" t="s">
        <v>550</v>
      </c>
      <c r="B27" s="806"/>
      <c r="C27" s="807"/>
    </row>
    <row r="28" spans="1:3" ht="13.5" thickBot="1">
      <c r="A28" s="811" t="s">
        <v>552</v>
      </c>
      <c r="B28" s="808"/>
      <c r="C28" s="809"/>
    </row>
    <row r="29" spans="1:3" ht="12.75">
      <c r="A29" s="795"/>
      <c r="B29" s="209"/>
      <c r="C29" s="794"/>
    </row>
    <row r="30" spans="1:3" ht="13.5" thickBot="1">
      <c r="A30" s="795"/>
      <c r="B30" s="209"/>
      <c r="C30" s="794"/>
    </row>
    <row r="31" spans="1:3" ht="13.5" thickBot="1">
      <c r="A31" s="669" t="s">
        <v>450</v>
      </c>
      <c r="B31" s="209"/>
      <c r="C31" s="794"/>
    </row>
    <row r="32" spans="1:3" ht="12.75">
      <c r="A32" s="818" t="s">
        <v>33</v>
      </c>
      <c r="B32" s="845"/>
      <c r="C32" s="796"/>
    </row>
    <row r="33" spans="1:3" ht="12.75">
      <c r="A33" s="819" t="s">
        <v>443</v>
      </c>
      <c r="B33" s="846"/>
      <c r="C33" s="796"/>
    </row>
    <row r="34" spans="1:3" ht="13.5" thickBot="1">
      <c r="A34" s="820" t="s">
        <v>444</v>
      </c>
      <c r="B34" s="848"/>
      <c r="C34" s="796"/>
    </row>
    <row r="35" spans="1:3" ht="26.25" thickBot="1">
      <c r="A35" s="821" t="s">
        <v>445</v>
      </c>
      <c r="B35" s="555">
        <f>-IF(SUM(B32:B34)=0,0,PMT(B34/12,B33,B32)*12)</f>
        <v>0</v>
      </c>
      <c r="C35" s="796"/>
    </row>
    <row r="36" spans="1:3" ht="12.75">
      <c r="A36" s="799"/>
      <c r="B36" s="800"/>
      <c r="C36" s="801"/>
    </row>
    <row r="37" spans="1:3" ht="12.75">
      <c r="A37" s="797"/>
      <c r="B37" s="832"/>
      <c r="C37" s="798"/>
    </row>
    <row r="38" ht="12.75">
      <c r="A38" s="792"/>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dimension ref="A1:W86"/>
  <sheetViews>
    <sheetView zoomScalePageLayoutView="0" workbookViewId="0" topLeftCell="A11">
      <selection activeCell="E11" sqref="E11"/>
    </sheetView>
  </sheetViews>
  <sheetFormatPr defaultColWidth="9.140625" defaultRowHeight="12.75"/>
  <cols>
    <col min="1" max="1" width="27.28125" style="0" customWidth="1"/>
    <col min="2" max="2" width="11.28125" style="0" bestFit="1" customWidth="1"/>
    <col min="3" max="7" width="9.00390625" style="0" customWidth="1"/>
    <col min="8" max="8" width="8.57421875" style="0" customWidth="1"/>
    <col min="9" max="12" width="9.00390625" style="0" customWidth="1"/>
    <col min="14" max="14" width="9.57421875" style="0" bestFit="1" customWidth="1"/>
  </cols>
  <sheetData>
    <row r="1" spans="1:6" ht="13.5" thickBot="1">
      <c r="A1" s="988" t="str">
        <f>'Budget with Assumptions'!A2</f>
        <v>Connected Futures Academy- Campus 5</v>
      </c>
      <c r="B1" s="776"/>
      <c r="C1" s="776"/>
      <c r="D1" s="776"/>
      <c r="E1" s="776"/>
      <c r="F1" s="652"/>
    </row>
    <row r="2" ht="12.75">
      <c r="A2" s="11"/>
    </row>
    <row r="4" spans="1:6" ht="12.75">
      <c r="A4" s="7" t="s">
        <v>418</v>
      </c>
      <c r="B4" s="7"/>
      <c r="C4" s="7"/>
      <c r="D4" s="7"/>
      <c r="E4" s="7"/>
      <c r="F4" s="7"/>
    </row>
    <row r="5" spans="1:6" ht="12.75">
      <c r="A5" s="7"/>
      <c r="B5" s="7"/>
      <c r="C5" s="7"/>
      <c r="D5" s="7"/>
      <c r="E5" s="7"/>
      <c r="F5" s="7"/>
    </row>
    <row r="6" spans="1:6" ht="12.75">
      <c r="A6" s="1013" t="s">
        <v>603</v>
      </c>
      <c r="B6" s="97"/>
      <c r="C6" s="97"/>
      <c r="D6" s="97"/>
      <c r="E6" s="97"/>
      <c r="F6" s="97"/>
    </row>
    <row r="7" spans="1:12" ht="12.75">
      <c r="A7" s="993" t="s">
        <v>193</v>
      </c>
      <c r="B7" s="994">
        <v>2014</v>
      </c>
      <c r="C7" s="994">
        <v>2015</v>
      </c>
      <c r="D7" s="994">
        <v>2016</v>
      </c>
      <c r="E7" s="994">
        <v>2017</v>
      </c>
      <c r="F7" s="994">
        <v>2018</v>
      </c>
      <c r="G7" s="994">
        <v>2019</v>
      </c>
      <c r="H7" s="994">
        <v>2020</v>
      </c>
      <c r="I7" s="994">
        <v>2021</v>
      </c>
      <c r="J7" s="994">
        <v>2022</v>
      </c>
      <c r="K7" s="994">
        <v>2023</v>
      </c>
      <c r="L7" s="994">
        <v>2024</v>
      </c>
    </row>
    <row r="8" spans="1:13" ht="12.75">
      <c r="A8" s="993" t="s">
        <v>661</v>
      </c>
      <c r="B8" s="995"/>
      <c r="C8" s="996">
        <f>$B$28+$B$29/C$14</f>
        <v>275000</v>
      </c>
      <c r="D8" s="996">
        <f aca="true" t="shared" si="0" ref="D8:L8">$B$26+$B$29/D$14</f>
        <v>91666.66666666667</v>
      </c>
      <c r="E8" s="996">
        <f t="shared" si="0"/>
        <v>87500</v>
      </c>
      <c r="F8" s="996">
        <f t="shared" si="0"/>
        <v>85000</v>
      </c>
      <c r="G8" s="996">
        <f t="shared" si="0"/>
        <v>85000</v>
      </c>
      <c r="H8" s="996">
        <f t="shared" si="0"/>
        <v>85000</v>
      </c>
      <c r="I8" s="996">
        <f t="shared" si="0"/>
        <v>85000</v>
      </c>
      <c r="J8" s="996">
        <f t="shared" si="0"/>
        <v>85000</v>
      </c>
      <c r="K8" s="996">
        <f t="shared" si="0"/>
        <v>85000</v>
      </c>
      <c r="L8" s="996">
        <f t="shared" si="0"/>
        <v>85000</v>
      </c>
      <c r="M8" s="995"/>
    </row>
    <row r="9" spans="1:13" ht="12.75">
      <c r="A9" s="993" t="s">
        <v>667</v>
      </c>
      <c r="B9" s="996">
        <f>B27</f>
        <v>150000</v>
      </c>
      <c r="C9" s="996">
        <f>$B$28+$B$29/C$14</f>
        <v>275000</v>
      </c>
      <c r="D9" s="996">
        <f>$B$26+$B$29/D$14</f>
        <v>91666.66666666667</v>
      </c>
      <c r="E9" s="996">
        <f aca="true" t="shared" si="1" ref="E9:L12">$B$26+$B$29/E$14</f>
        <v>87500</v>
      </c>
      <c r="F9" s="996">
        <f t="shared" si="1"/>
        <v>85000</v>
      </c>
      <c r="G9" s="996">
        <f t="shared" si="1"/>
        <v>85000</v>
      </c>
      <c r="H9" s="996">
        <f t="shared" si="1"/>
        <v>85000</v>
      </c>
      <c r="I9" s="996">
        <f t="shared" si="1"/>
        <v>85000</v>
      </c>
      <c r="J9" s="996">
        <f t="shared" si="1"/>
        <v>85000</v>
      </c>
      <c r="K9" s="996">
        <f t="shared" si="1"/>
        <v>85000</v>
      </c>
      <c r="L9" s="996">
        <f t="shared" si="1"/>
        <v>85000</v>
      </c>
      <c r="M9" s="995"/>
    </row>
    <row r="10" spans="1:13" ht="12.75">
      <c r="A10" s="993" t="s">
        <v>663</v>
      </c>
      <c r="B10" s="995"/>
      <c r="C10" s="995"/>
      <c r="D10" s="996">
        <f>B28+B29/D14</f>
        <v>266666.6666666667</v>
      </c>
      <c r="E10" s="996">
        <f t="shared" si="1"/>
        <v>87500</v>
      </c>
      <c r="F10" s="996">
        <f t="shared" si="1"/>
        <v>85000</v>
      </c>
      <c r="G10" s="996">
        <f t="shared" si="1"/>
        <v>85000</v>
      </c>
      <c r="H10" s="996">
        <f t="shared" si="1"/>
        <v>85000</v>
      </c>
      <c r="I10" s="996">
        <f t="shared" si="1"/>
        <v>85000</v>
      </c>
      <c r="J10" s="996">
        <f t="shared" si="1"/>
        <v>85000</v>
      </c>
      <c r="K10" s="996">
        <f t="shared" si="1"/>
        <v>85000</v>
      </c>
      <c r="L10" s="996">
        <f t="shared" si="1"/>
        <v>85000</v>
      </c>
      <c r="M10" s="995"/>
    </row>
    <row r="11" spans="1:13" ht="12.75">
      <c r="A11" s="993" t="s">
        <v>664</v>
      </c>
      <c r="B11" s="995"/>
      <c r="C11" s="995"/>
      <c r="D11" s="996"/>
      <c r="E11" s="996">
        <f>B28+(B29/E14)</f>
        <v>262500</v>
      </c>
      <c r="F11" s="996">
        <f t="shared" si="1"/>
        <v>85000</v>
      </c>
      <c r="G11" s="996">
        <f t="shared" si="1"/>
        <v>85000</v>
      </c>
      <c r="H11" s="996">
        <f t="shared" si="1"/>
        <v>85000</v>
      </c>
      <c r="I11" s="996">
        <f t="shared" si="1"/>
        <v>85000</v>
      </c>
      <c r="J11" s="996">
        <f t="shared" si="1"/>
        <v>85000</v>
      </c>
      <c r="K11" s="996">
        <f t="shared" si="1"/>
        <v>85000</v>
      </c>
      <c r="L11" s="996">
        <f t="shared" si="1"/>
        <v>85000</v>
      </c>
      <c r="M11" s="995"/>
    </row>
    <row r="12" spans="1:13" ht="12.75">
      <c r="A12" s="993" t="s">
        <v>665</v>
      </c>
      <c r="B12" s="995"/>
      <c r="C12" s="995"/>
      <c r="D12" s="996"/>
      <c r="E12" s="996"/>
      <c r="F12" s="996">
        <f>B28+(B29/F14)</f>
        <v>260000</v>
      </c>
      <c r="G12" s="996">
        <f t="shared" si="1"/>
        <v>85000</v>
      </c>
      <c r="H12" s="996">
        <f t="shared" si="1"/>
        <v>85000</v>
      </c>
      <c r="I12" s="996">
        <f t="shared" si="1"/>
        <v>85000</v>
      </c>
      <c r="J12" s="996">
        <f t="shared" si="1"/>
        <v>85000</v>
      </c>
      <c r="K12" s="996">
        <f t="shared" si="1"/>
        <v>85000</v>
      </c>
      <c r="L12" s="996">
        <f t="shared" si="1"/>
        <v>85000</v>
      </c>
      <c r="M12" s="995"/>
    </row>
    <row r="13" spans="1:12" ht="12.75">
      <c r="A13" s="993"/>
      <c r="B13" s="995"/>
      <c r="C13" s="995"/>
      <c r="D13" s="995"/>
      <c r="E13" s="995"/>
      <c r="F13" s="995"/>
      <c r="G13" s="995"/>
      <c r="H13" s="995"/>
      <c r="I13" s="995"/>
      <c r="J13" s="995"/>
      <c r="K13" s="995"/>
      <c r="L13" s="995"/>
    </row>
    <row r="14" spans="1:12" ht="12.75">
      <c r="A14" s="993" t="s">
        <v>668</v>
      </c>
      <c r="B14" s="997">
        <v>0</v>
      </c>
      <c r="C14" s="997">
        <v>2</v>
      </c>
      <c r="D14" s="997">
        <v>3</v>
      </c>
      <c r="E14" s="997">
        <v>4</v>
      </c>
      <c r="F14" s="997">
        <v>5</v>
      </c>
      <c r="G14" s="997">
        <f aca="true" t="shared" si="2" ref="G14:L14">F14</f>
        <v>5</v>
      </c>
      <c r="H14" s="997">
        <f t="shared" si="2"/>
        <v>5</v>
      </c>
      <c r="I14" s="997">
        <f t="shared" si="2"/>
        <v>5</v>
      </c>
      <c r="J14" s="997">
        <f t="shared" si="2"/>
        <v>5</v>
      </c>
      <c r="K14" s="997">
        <f t="shared" si="2"/>
        <v>5</v>
      </c>
      <c r="L14" s="997">
        <f t="shared" si="2"/>
        <v>5</v>
      </c>
    </row>
    <row r="15" spans="1:12" ht="12.75">
      <c r="A15" s="993"/>
      <c r="B15" s="995"/>
      <c r="C15" s="995"/>
      <c r="D15" s="995"/>
      <c r="E15" s="995"/>
      <c r="F15" s="995"/>
      <c r="G15" s="995"/>
      <c r="H15" s="995"/>
      <c r="I15" s="995"/>
      <c r="J15" s="995"/>
      <c r="K15" s="995"/>
      <c r="L15" s="995"/>
    </row>
    <row r="16" spans="1:2" ht="12.75">
      <c r="A16" s="998" t="s">
        <v>588</v>
      </c>
      <c r="B16" s="999" t="s">
        <v>589</v>
      </c>
    </row>
    <row r="17" spans="1:12" ht="12.75">
      <c r="A17" s="993" t="s">
        <v>587</v>
      </c>
      <c r="B17" s="994">
        <v>2014</v>
      </c>
      <c r="C17" s="994">
        <f>B17+1</f>
        <v>2015</v>
      </c>
      <c r="D17" s="994">
        <f>C17+1</f>
        <v>2016</v>
      </c>
      <c r="E17" s="994">
        <f>D17+1</f>
        <v>2017</v>
      </c>
      <c r="F17" s="994">
        <f>E17+1</f>
        <v>2018</v>
      </c>
      <c r="G17" s="994"/>
      <c r="H17" s="994"/>
      <c r="I17" s="994"/>
      <c r="J17" s="994"/>
      <c r="K17" s="994"/>
      <c r="L17" s="994"/>
    </row>
    <row r="18" spans="1:12" ht="12.75">
      <c r="A18" s="1000" t="s">
        <v>661</v>
      </c>
      <c r="B18" s="1001"/>
      <c r="C18" s="1002" t="s">
        <v>590</v>
      </c>
      <c r="D18" s="1003"/>
      <c r="E18" s="1004"/>
      <c r="F18" s="1004"/>
      <c r="G18" s="995"/>
      <c r="H18" s="995"/>
      <c r="I18" s="995"/>
      <c r="J18" s="995"/>
      <c r="K18" s="995"/>
      <c r="L18" s="995"/>
    </row>
    <row r="19" spans="1:12" ht="12.75">
      <c r="A19" s="1000" t="s">
        <v>667</v>
      </c>
      <c r="B19" s="1005"/>
      <c r="C19" s="1002" t="s">
        <v>590</v>
      </c>
      <c r="D19" s="1003"/>
      <c r="E19" s="1004"/>
      <c r="F19" s="1004"/>
      <c r="G19" s="995"/>
      <c r="H19" s="995"/>
      <c r="I19" s="995"/>
      <c r="J19" s="995"/>
      <c r="K19" s="995"/>
      <c r="L19" s="995"/>
    </row>
    <row r="20" spans="1:12" ht="12.75">
      <c r="A20" s="1000" t="s">
        <v>663</v>
      </c>
      <c r="B20" s="1001"/>
      <c r="C20" s="1003"/>
      <c r="D20" s="1002" t="s">
        <v>590</v>
      </c>
      <c r="E20" s="1004"/>
      <c r="F20" s="1004"/>
      <c r="G20" s="995"/>
      <c r="H20" s="995"/>
      <c r="I20" s="995"/>
      <c r="J20" s="995"/>
      <c r="K20" s="995"/>
      <c r="L20" s="995"/>
    </row>
    <row r="21" spans="1:12" ht="12.75">
      <c r="A21" s="1000" t="s">
        <v>664</v>
      </c>
      <c r="B21" s="1001"/>
      <c r="C21" s="1004"/>
      <c r="D21" s="1006" t="s">
        <v>591</v>
      </c>
      <c r="E21" s="1004" t="s">
        <v>592</v>
      </c>
      <c r="F21" s="1004"/>
      <c r="G21" s="995"/>
      <c r="H21" s="995"/>
      <c r="I21" s="995"/>
      <c r="J21" s="995"/>
      <c r="K21" s="995"/>
      <c r="L21" s="995"/>
    </row>
    <row r="22" spans="1:12" ht="12.75">
      <c r="A22" s="1000" t="s">
        <v>665</v>
      </c>
      <c r="B22" s="1001"/>
      <c r="C22" s="1004"/>
      <c r="D22" s="1006" t="s">
        <v>591</v>
      </c>
      <c r="E22" s="1004"/>
      <c r="F22" s="1004" t="s">
        <v>592</v>
      </c>
      <c r="G22" s="995"/>
      <c r="H22" s="995"/>
      <c r="I22" s="995"/>
      <c r="J22" s="995"/>
      <c r="K22" s="995"/>
      <c r="L22" s="995"/>
    </row>
    <row r="23" spans="1:2" ht="12.75">
      <c r="A23" s="993"/>
      <c r="B23" s="995"/>
    </row>
    <row r="24" spans="1:2" ht="12.75">
      <c r="A24" s="998" t="s">
        <v>593</v>
      </c>
      <c r="B24" s="995"/>
    </row>
    <row r="25" spans="1:3" ht="12.75">
      <c r="A25" s="994" t="s">
        <v>594</v>
      </c>
      <c r="B25" s="994" t="s">
        <v>595</v>
      </c>
      <c r="C25" s="994" t="s">
        <v>596</v>
      </c>
    </row>
    <row r="26" spans="1:3" ht="12.75">
      <c r="A26" s="1007" t="s">
        <v>597</v>
      </c>
      <c r="B26" s="1008">
        <v>75000</v>
      </c>
      <c r="C26" s="1009" t="s">
        <v>681</v>
      </c>
    </row>
    <row r="27" spans="1:3" ht="12.75">
      <c r="A27" s="1010" t="s">
        <v>598</v>
      </c>
      <c r="B27" s="1011">
        <v>150000</v>
      </c>
      <c r="C27" s="1009" t="s">
        <v>682</v>
      </c>
    </row>
    <row r="28" spans="1:3" ht="12.75">
      <c r="A28" s="1007" t="s">
        <v>599</v>
      </c>
      <c r="B28" s="1008">
        <v>250000</v>
      </c>
      <c r="C28" s="1012" t="s">
        <v>600</v>
      </c>
    </row>
    <row r="29" spans="1:3" ht="12.75">
      <c r="A29" s="1007" t="s">
        <v>601</v>
      </c>
      <c r="B29" s="1008">
        <v>50000</v>
      </c>
      <c r="C29" s="1012" t="s">
        <v>602</v>
      </c>
    </row>
    <row r="30" ht="6" customHeight="1"/>
    <row r="31" s="1050" customFormat="1" ht="6.75" customHeight="1"/>
    <row r="32" ht="6" customHeight="1"/>
    <row r="33" ht="13.5" customHeight="1">
      <c r="A33" s="1013" t="s">
        <v>669</v>
      </c>
    </row>
    <row r="34" spans="2:8" ht="12.75">
      <c r="B34" s="1051" t="s">
        <v>612</v>
      </c>
      <c r="C34" s="1051" t="s">
        <v>613</v>
      </c>
      <c r="D34" s="1051" t="s">
        <v>614</v>
      </c>
      <c r="E34" s="1051" t="s">
        <v>615</v>
      </c>
      <c r="F34" s="1051" t="s">
        <v>616</v>
      </c>
      <c r="G34" s="1014"/>
      <c r="H34" s="1014"/>
    </row>
    <row r="35" spans="1:6" ht="12.75">
      <c r="A35" s="1014" t="s">
        <v>611</v>
      </c>
      <c r="B35" s="1015">
        <f>0.106*B41</f>
        <v>36331.5</v>
      </c>
      <c r="C35" s="1015">
        <f>0.106*C41</f>
        <v>39761.13</v>
      </c>
      <c r="D35" s="1015">
        <f>0.106*D41</f>
        <v>43313.4126</v>
      </c>
      <c r="E35" s="1015">
        <f>0.106*E41</f>
        <v>44179.68085199999</v>
      </c>
      <c r="F35" s="1015">
        <f>0.106*F41</f>
        <v>45063.27446904</v>
      </c>
    </row>
    <row r="36" spans="1:8" ht="12.75">
      <c r="A36" s="1014" t="s">
        <v>187</v>
      </c>
      <c r="B36" s="1015">
        <f>'Budget Summary '!F74</f>
        <v>6543.125</v>
      </c>
      <c r="C36" s="1015">
        <f>'Budget Summary '!H74</f>
        <v>7043.7375</v>
      </c>
      <c r="D36" s="1015">
        <f>'Budget Summary '!J74</f>
        <v>7561.757250000001</v>
      </c>
      <c r="E36" s="1015">
        <f>'Budget Summary '!L74</f>
        <v>7712.992394999998</v>
      </c>
      <c r="F36" s="1015">
        <f>'Budget Summary '!N74</f>
        <v>7867.2522429</v>
      </c>
      <c r="H36" s="1016"/>
    </row>
    <row r="37" spans="1:6" ht="12.75">
      <c r="A37" s="1014" t="s">
        <v>184</v>
      </c>
      <c r="B37" s="1015">
        <f>('Budget with Assumptions'!$D$75/(AVERAGE(Personnel!$B$66,Personnel!$B$68:$B$70,Personnel!$B$73)))*B41</f>
        <v>29118.58407079646</v>
      </c>
      <c r="C37" s="1015">
        <f>('Budget with Assumptions'!$D$75/(AVERAGE(Personnel!$B$66,Personnel!$B$68:$B$70,Personnel!$B$73)))*C41</f>
        <v>31867.327433628318</v>
      </c>
      <c r="D37" s="1015">
        <f>('Budget with Assumptions'!$D$75/(AVERAGE(Personnel!$B$66,Personnel!$B$68:$B$70,Personnel!$B$73)))*D41</f>
        <v>34714.37309734514</v>
      </c>
      <c r="E37" s="1015">
        <f>('Budget with Assumptions'!$D$75/(AVERAGE(Personnel!$B$66,Personnel!$B$68:$B$70,Personnel!$B$73)))*E41</f>
        <v>35408.66055929203</v>
      </c>
      <c r="F37" s="1015">
        <f>('Budget with Assumptions'!$D$75/(AVERAGE(Personnel!$B$66,Personnel!$B$68:$B$70,Personnel!$B$73)))*F41</f>
        <v>36116.833770477875</v>
      </c>
    </row>
    <row r="38" spans="1:6" ht="12.75">
      <c r="A38" s="1014" t="s">
        <v>188</v>
      </c>
      <c r="B38" s="1015">
        <f aca="true" t="shared" si="3" ref="B38:F39">0.01*B$41</f>
        <v>3427.5</v>
      </c>
      <c r="C38" s="1015">
        <f t="shared" si="3"/>
        <v>3751.05</v>
      </c>
      <c r="D38" s="1015">
        <f t="shared" si="3"/>
        <v>4086.1710000000003</v>
      </c>
      <c r="E38" s="1015">
        <f t="shared" si="3"/>
        <v>4167.89442</v>
      </c>
      <c r="F38" s="1015">
        <f t="shared" si="3"/>
        <v>4251.2523083999995</v>
      </c>
    </row>
    <row r="39" spans="1:6" ht="12.75">
      <c r="A39" s="1018" t="s">
        <v>199</v>
      </c>
      <c r="B39" s="1019">
        <f t="shared" si="3"/>
        <v>3427.5</v>
      </c>
      <c r="C39" s="1019">
        <f t="shared" si="3"/>
        <v>3751.05</v>
      </c>
      <c r="D39" s="1019">
        <f t="shared" si="3"/>
        <v>4086.1710000000003</v>
      </c>
      <c r="E39" s="1019">
        <f t="shared" si="3"/>
        <v>4167.89442</v>
      </c>
      <c r="F39" s="1019">
        <f t="shared" si="3"/>
        <v>4251.2523083999995</v>
      </c>
    </row>
    <row r="40" spans="1:8" ht="12.75">
      <c r="A40" s="1014" t="s">
        <v>618</v>
      </c>
      <c r="B40" s="1015">
        <f>SUM(B35:B39)</f>
        <v>78848.20907079647</v>
      </c>
      <c r="C40" s="1015">
        <f>SUM(C35:C39)</f>
        <v>86174.29493362832</v>
      </c>
      <c r="D40" s="1015">
        <f>SUM(D35:D39)</f>
        <v>93761.88494734516</v>
      </c>
      <c r="E40" s="1015">
        <f>SUM(E35:E39)</f>
        <v>95637.12264629202</v>
      </c>
      <c r="F40" s="1015">
        <f>SUM(F35:F39)</f>
        <v>97549.86509921787</v>
      </c>
      <c r="G40" s="1014"/>
      <c r="H40" s="1014"/>
    </row>
    <row r="41" spans="1:6" ht="12.75">
      <c r="A41" s="1014" t="s">
        <v>619</v>
      </c>
      <c r="B41" s="1015">
        <f>Personnel!G142</f>
        <v>342750</v>
      </c>
      <c r="C41" s="1015">
        <f>Personnel!I142</f>
        <v>375105</v>
      </c>
      <c r="D41" s="1015">
        <f>Personnel!K142</f>
        <v>408617.10000000003</v>
      </c>
      <c r="E41" s="1015">
        <f>Personnel!M142</f>
        <v>416789.4419999999</v>
      </c>
      <c r="F41" s="1015">
        <f>Personnel!O142</f>
        <v>425125.23084</v>
      </c>
    </row>
    <row r="42" spans="1:6" ht="12.75">
      <c r="A42" s="1014" t="s">
        <v>620</v>
      </c>
      <c r="B42" s="1017">
        <f>B40/B41</f>
        <v>0.23004583244579568</v>
      </c>
      <c r="C42" s="1017">
        <f>C40/C41</f>
        <v>0.22973379436058788</v>
      </c>
      <c r="D42" s="1017">
        <f>D40/D41</f>
        <v>0.22946148104752628</v>
      </c>
      <c r="E42" s="1017">
        <f>E40/E41</f>
        <v>0.22946148104752623</v>
      </c>
      <c r="F42" s="1017">
        <f>F40/F41</f>
        <v>0.22946148104752626</v>
      </c>
    </row>
    <row r="43" ht="6" customHeight="1"/>
    <row r="44" s="1050" customFormat="1" ht="6.75" customHeight="1"/>
    <row r="45" ht="6" customHeight="1"/>
    <row r="46" spans="1:6" ht="15" customHeight="1">
      <c r="A46" s="1013" t="s">
        <v>652</v>
      </c>
      <c r="B46" s="1195" t="s">
        <v>653</v>
      </c>
      <c r="C46" s="1195"/>
      <c r="D46" s="1195"/>
      <c r="E46" s="1195"/>
      <c r="F46" s="1195"/>
    </row>
    <row r="47" spans="1:6" ht="12.75">
      <c r="A47" s="1054" t="s">
        <v>685</v>
      </c>
      <c r="B47" s="1053" t="s">
        <v>612</v>
      </c>
      <c r="C47" s="1053" t="s">
        <v>613</v>
      </c>
      <c r="D47" s="1053" t="s">
        <v>614</v>
      </c>
      <c r="E47" s="1053" t="s">
        <v>615</v>
      </c>
      <c r="F47" s="1053" t="s">
        <v>616</v>
      </c>
    </row>
    <row r="48" spans="1:7" ht="12.75">
      <c r="A48" s="1052">
        <v>0.3</v>
      </c>
      <c r="B48" s="1014">
        <v>125</v>
      </c>
      <c r="C48" s="1014">
        <v>40</v>
      </c>
      <c r="D48" s="1014">
        <v>45</v>
      </c>
      <c r="E48" s="1014">
        <v>20</v>
      </c>
      <c r="F48" s="1014">
        <v>15</v>
      </c>
      <c r="G48" s="1014" t="s">
        <v>683</v>
      </c>
    </row>
    <row r="49" spans="1:23" ht="12.75">
      <c r="A49" s="1052">
        <v>0.6</v>
      </c>
      <c r="B49" s="1014">
        <v>0</v>
      </c>
      <c r="C49" s="1014">
        <v>105</v>
      </c>
      <c r="D49" s="1014">
        <v>75</v>
      </c>
      <c r="E49" s="1014">
        <v>80</v>
      </c>
      <c r="F49" s="1014">
        <v>75</v>
      </c>
      <c r="G49" s="1014" t="s">
        <v>686</v>
      </c>
      <c r="O49" s="994"/>
      <c r="P49" s="994"/>
      <c r="Q49" s="994"/>
      <c r="R49" s="994"/>
      <c r="S49" s="994"/>
      <c r="T49" s="994"/>
      <c r="U49" s="994"/>
      <c r="V49" s="994"/>
      <c r="W49" s="994"/>
    </row>
    <row r="50" spans="1:23" ht="12.75">
      <c r="A50" s="1052">
        <v>1</v>
      </c>
      <c r="B50" s="1014">
        <v>0</v>
      </c>
      <c r="C50" s="1014">
        <v>0</v>
      </c>
      <c r="D50" s="1014">
        <v>45</v>
      </c>
      <c r="E50" s="1014">
        <v>65</v>
      </c>
      <c r="F50" s="1014">
        <v>75</v>
      </c>
      <c r="G50" s="1014" t="s">
        <v>687</v>
      </c>
      <c r="O50" s="996"/>
      <c r="P50" s="996"/>
      <c r="Q50" s="996"/>
      <c r="R50" s="996"/>
      <c r="S50" s="996"/>
      <c r="T50" s="996"/>
      <c r="U50" s="996"/>
      <c r="V50" s="996"/>
      <c r="W50" s="996"/>
    </row>
    <row r="51" spans="1:23" ht="12.75">
      <c r="A51" s="1033" t="s">
        <v>621</v>
      </c>
      <c r="B51" s="1034">
        <f>SUM(B48:B50)</f>
        <v>125</v>
      </c>
      <c r="C51" s="1034">
        <f>SUM(C48:C50)</f>
        <v>145</v>
      </c>
      <c r="D51" s="1034">
        <f>SUM(D48:D50)</f>
        <v>165</v>
      </c>
      <c r="E51" s="1034">
        <f>SUM(E48:E50)</f>
        <v>165</v>
      </c>
      <c r="F51" s="1034">
        <f>SUM(F48:F50)</f>
        <v>165</v>
      </c>
      <c r="O51" s="996"/>
      <c r="P51" s="996"/>
      <c r="Q51" s="996"/>
      <c r="R51" s="996"/>
      <c r="S51" s="996"/>
      <c r="T51" s="996"/>
      <c r="U51" s="996"/>
      <c r="V51" s="996"/>
      <c r="W51" s="996"/>
    </row>
    <row r="52" spans="1:23" ht="12.75">
      <c r="A52" s="1014"/>
      <c r="B52" s="1014"/>
      <c r="C52" s="1014"/>
      <c r="D52" s="1014"/>
      <c r="E52" s="1014"/>
      <c r="F52" s="1014"/>
      <c r="O52" s="996"/>
      <c r="P52" s="996"/>
      <c r="Q52" s="996"/>
      <c r="R52" s="996"/>
      <c r="S52" s="996"/>
      <c r="T52" s="996"/>
      <c r="U52" s="996"/>
      <c r="V52" s="996"/>
      <c r="W52" s="996"/>
    </row>
    <row r="53" spans="1:23" ht="12.75">
      <c r="A53" s="491"/>
      <c r="B53" s="1024"/>
      <c r="C53" s="1024"/>
      <c r="D53" s="1024"/>
      <c r="E53" s="1024"/>
      <c r="F53" s="1024"/>
      <c r="G53" s="1024"/>
      <c r="H53" s="1024"/>
      <c r="I53" s="1024"/>
      <c r="J53" s="1024"/>
      <c r="K53" s="1024"/>
      <c r="M53" s="995"/>
      <c r="N53" s="996"/>
      <c r="O53" s="996"/>
      <c r="P53" s="996"/>
      <c r="Q53" s="996"/>
      <c r="R53" s="996"/>
      <c r="S53" s="996"/>
      <c r="T53" s="996"/>
      <c r="U53" s="996"/>
      <c r="V53" s="996"/>
      <c r="W53" s="996"/>
    </row>
    <row r="54" spans="2:23" ht="23.25" customHeight="1">
      <c r="B54" s="1196" t="s">
        <v>684</v>
      </c>
      <c r="C54" s="1196"/>
      <c r="D54" s="1196"/>
      <c r="E54" s="1196"/>
      <c r="F54" s="1197"/>
      <c r="G54" s="97"/>
      <c r="H54" s="1024"/>
      <c r="I54" s="1024"/>
      <c r="J54" s="1024"/>
      <c r="K54" s="1024"/>
      <c r="M54" s="995"/>
      <c r="N54" s="996"/>
      <c r="O54" s="996"/>
      <c r="P54" s="996"/>
      <c r="Q54" s="996"/>
      <c r="R54" s="996"/>
      <c r="S54" s="996"/>
      <c r="T54" s="996"/>
      <c r="U54" s="996"/>
      <c r="V54" s="996"/>
      <c r="W54" s="996"/>
    </row>
    <row r="55" spans="2:23" ht="12.75">
      <c r="B55" s="1053" t="s">
        <v>612</v>
      </c>
      <c r="C55" s="1053" t="s">
        <v>613</v>
      </c>
      <c r="D55" s="1053" t="s">
        <v>614</v>
      </c>
      <c r="E55" s="1053" t="s">
        <v>615</v>
      </c>
      <c r="F55" s="1053" t="s">
        <v>616</v>
      </c>
      <c r="I55" s="1024"/>
      <c r="J55" s="1024"/>
      <c r="K55" s="1024"/>
      <c r="M55" s="995"/>
      <c r="N55" s="996"/>
      <c r="O55" s="996"/>
      <c r="P55" s="996"/>
      <c r="Q55" s="996"/>
      <c r="R55" s="996"/>
      <c r="S55" s="996"/>
      <c r="T55" s="996"/>
      <c r="U55" s="996"/>
      <c r="V55" s="996"/>
      <c r="W55" s="996"/>
    </row>
    <row r="56" spans="2:11" ht="12.75">
      <c r="B56" s="1014">
        <f aca="true" t="shared" si="4" ref="B56:F58">B48*$A48</f>
        <v>37.5</v>
      </c>
      <c r="C56" s="1014">
        <f t="shared" si="4"/>
        <v>12</v>
      </c>
      <c r="D56" s="1014">
        <f t="shared" si="4"/>
        <v>13.5</v>
      </c>
      <c r="E56" s="1014">
        <f t="shared" si="4"/>
        <v>6</v>
      </c>
      <c r="F56" s="1014">
        <f t="shared" si="4"/>
        <v>4.5</v>
      </c>
      <c r="H56" s="1024"/>
      <c r="I56" s="1024"/>
      <c r="J56" s="1024"/>
      <c r="K56" s="1024"/>
    </row>
    <row r="57" spans="2:11" ht="12.75">
      <c r="B57" s="1014">
        <f t="shared" si="4"/>
        <v>0</v>
      </c>
      <c r="C57" s="1014">
        <f t="shared" si="4"/>
        <v>63</v>
      </c>
      <c r="D57" s="1014">
        <f t="shared" si="4"/>
        <v>45</v>
      </c>
      <c r="E57" s="1014">
        <f t="shared" si="4"/>
        <v>48</v>
      </c>
      <c r="F57" s="1014">
        <f t="shared" si="4"/>
        <v>45</v>
      </c>
      <c r="G57" s="994"/>
      <c r="H57" s="1024"/>
      <c r="I57" s="1024"/>
      <c r="J57" s="1024"/>
      <c r="K57" s="1024"/>
    </row>
    <row r="58" spans="2:11" ht="12.75">
      <c r="B58" s="1014">
        <f t="shared" si="4"/>
        <v>0</v>
      </c>
      <c r="C58" s="1014">
        <f t="shared" si="4"/>
        <v>0</v>
      </c>
      <c r="D58" s="1014">
        <f t="shared" si="4"/>
        <v>45</v>
      </c>
      <c r="E58" s="1014">
        <f t="shared" si="4"/>
        <v>65</v>
      </c>
      <c r="F58" s="1014">
        <f t="shared" si="4"/>
        <v>75</v>
      </c>
      <c r="G58" s="996"/>
      <c r="H58" s="1024"/>
      <c r="I58" s="1024"/>
      <c r="J58" s="1024"/>
      <c r="K58" s="1024"/>
    </row>
    <row r="59" spans="1:11" ht="12.75">
      <c r="A59" s="1038" t="s">
        <v>655</v>
      </c>
      <c r="B59" s="1034">
        <f>SUM(B56:B58)</f>
        <v>37.5</v>
      </c>
      <c r="C59" s="1034">
        <f>SUM(C56:C58)</f>
        <v>75</v>
      </c>
      <c r="D59" s="1034">
        <f>SUM(D56:D58)</f>
        <v>103.5</v>
      </c>
      <c r="E59" s="1034">
        <f>SUM(E56:E58)</f>
        <v>119</v>
      </c>
      <c r="F59" s="1039">
        <f>SUM(F56:F58)</f>
        <v>124.5</v>
      </c>
      <c r="G59" s="996"/>
      <c r="H59" s="1022"/>
      <c r="I59" s="1022"/>
      <c r="J59" s="1022"/>
      <c r="K59" s="1022"/>
    </row>
    <row r="60" spans="1:11" ht="12.75">
      <c r="A60" s="1035" t="s">
        <v>654</v>
      </c>
      <c r="B60" s="1036">
        <f>B59*$B$62</f>
        <v>75000</v>
      </c>
      <c r="C60" s="1036">
        <f>C59*$B$62</f>
        <v>150000</v>
      </c>
      <c r="D60" s="1036">
        <f>D59*$B$62</f>
        <v>207000</v>
      </c>
      <c r="E60" s="1036">
        <f>E59*$B$62</f>
        <v>238000</v>
      </c>
      <c r="F60" s="1037">
        <f>F59*$B$62</f>
        <v>249000</v>
      </c>
      <c r="G60" s="996"/>
      <c r="H60" s="1022"/>
      <c r="I60" s="1022"/>
      <c r="J60" s="1022"/>
      <c r="K60" s="1022"/>
    </row>
    <row r="61" spans="1:11" ht="12.75">
      <c r="A61" s="1022"/>
      <c r="B61" s="1022"/>
      <c r="C61" s="1022"/>
      <c r="D61" s="1022"/>
      <c r="E61" s="1022"/>
      <c r="F61" s="1022"/>
      <c r="G61" s="1022"/>
      <c r="H61" s="1022"/>
      <c r="I61" s="1022"/>
      <c r="J61" s="1022"/>
      <c r="K61" s="1022"/>
    </row>
    <row r="62" spans="1:11" ht="12.75">
      <c r="A62" s="1055" t="s">
        <v>656</v>
      </c>
      <c r="B62" s="1056">
        <v>2000</v>
      </c>
      <c r="C62" s="1022"/>
      <c r="D62" s="1022"/>
      <c r="E62" s="1022"/>
      <c r="F62" s="1022"/>
      <c r="G62" s="1022"/>
      <c r="H62" s="1022"/>
      <c r="I62" s="1022"/>
      <c r="J62" s="1022"/>
      <c r="K62" s="1022"/>
    </row>
    <row r="63" spans="2:11" ht="12.75">
      <c r="B63" s="1022" t="s">
        <v>715</v>
      </c>
      <c r="C63" s="1022"/>
      <c r="D63" s="1022"/>
      <c r="E63" s="1022"/>
      <c r="F63" s="1022"/>
      <c r="G63" s="1022"/>
      <c r="H63" s="1022"/>
      <c r="I63" s="1022"/>
      <c r="J63" s="1022"/>
      <c r="K63" s="1022"/>
    </row>
    <row r="64" ht="6" customHeight="1"/>
    <row r="65" s="1050" customFormat="1" ht="6.75" customHeight="1"/>
    <row r="66" ht="6" customHeight="1"/>
    <row r="67" ht="16.5" customHeight="1">
      <c r="A67" s="1057" t="s">
        <v>677</v>
      </c>
    </row>
    <row r="68" spans="1:12" ht="13.5">
      <c r="A68" s="993"/>
      <c r="B68" s="1053" t="s">
        <v>674</v>
      </c>
      <c r="C68" s="1053" t="s">
        <v>612</v>
      </c>
      <c r="D68" s="1053" t="s">
        <v>613</v>
      </c>
      <c r="E68" s="1053" t="s">
        <v>614</v>
      </c>
      <c r="F68" s="1053" t="s">
        <v>615</v>
      </c>
      <c r="G68" s="1053" t="s">
        <v>616</v>
      </c>
      <c r="H68" s="996"/>
      <c r="I68" s="996"/>
      <c r="J68" s="1058" t="s">
        <v>596</v>
      </c>
      <c r="K68" s="996"/>
      <c r="L68" s="996"/>
    </row>
    <row r="69" spans="1:12" ht="12.75">
      <c r="A69" s="993" t="s">
        <v>671</v>
      </c>
      <c r="B69" s="996"/>
      <c r="C69" s="996">
        <f>$I69*B$51</f>
        <v>18750</v>
      </c>
      <c r="D69" s="996">
        <f aca="true" t="shared" si="5" ref="D69:G70">$I69*C$51</f>
        <v>21750</v>
      </c>
      <c r="E69" s="996">
        <f t="shared" si="5"/>
        <v>24750</v>
      </c>
      <c r="F69" s="996">
        <f t="shared" si="5"/>
        <v>24750</v>
      </c>
      <c r="G69" s="996">
        <f t="shared" si="5"/>
        <v>24750</v>
      </c>
      <c r="H69" s="996"/>
      <c r="I69" s="1056">
        <v>150</v>
      </c>
      <c r="J69" s="996" t="s">
        <v>688</v>
      </c>
      <c r="K69" s="996"/>
      <c r="L69" s="996"/>
    </row>
    <row r="70" spans="1:12" ht="12.75">
      <c r="A70" s="993" t="s">
        <v>672</v>
      </c>
      <c r="B70" s="996"/>
      <c r="C70" s="996">
        <f>$I70*B$51</f>
        <v>2500</v>
      </c>
      <c r="D70" s="996">
        <f t="shared" si="5"/>
        <v>2900</v>
      </c>
      <c r="E70" s="996">
        <f t="shared" si="5"/>
        <v>3300</v>
      </c>
      <c r="F70" s="996">
        <f t="shared" si="5"/>
        <v>3300</v>
      </c>
      <c r="G70" s="996">
        <f t="shared" si="5"/>
        <v>3300</v>
      </c>
      <c r="H70" s="996"/>
      <c r="I70" s="1056">
        <v>20</v>
      </c>
      <c r="J70" s="996" t="s">
        <v>688</v>
      </c>
      <c r="K70" s="996"/>
      <c r="L70" s="996"/>
    </row>
    <row r="71" spans="1:10" ht="12.75">
      <c r="A71" s="993" t="s">
        <v>673</v>
      </c>
      <c r="C71" s="996">
        <f>$I71*(B$51)+20000</f>
        <v>21250</v>
      </c>
      <c r="D71" s="996">
        <f>$I71*(C$51)+20000</f>
        <v>21450</v>
      </c>
      <c r="E71" s="996">
        <f>$I71*(D$51)+20000</f>
        <v>21650</v>
      </c>
      <c r="F71" s="996">
        <f>$I71*(E$51)+20000</f>
        <v>21650</v>
      </c>
      <c r="G71" s="996">
        <f>$I71*(F$51)+20000</f>
        <v>21650</v>
      </c>
      <c r="I71" s="1056">
        <v>10</v>
      </c>
      <c r="J71" s="996" t="s">
        <v>689</v>
      </c>
    </row>
    <row r="72" spans="1:10" ht="12.75">
      <c r="A72" s="993" t="s">
        <v>676</v>
      </c>
      <c r="B72" s="996"/>
      <c r="C72" s="996">
        <f>$I$72*B51+(40*I72)</f>
        <v>41250</v>
      </c>
      <c r="D72" s="996">
        <f>$I$72*(C51-B51)+(40*$I$72)</f>
        <v>15000</v>
      </c>
      <c r="E72" s="996">
        <f>$I$72*(D51-C51)+(40*$I$72)</f>
        <v>15000</v>
      </c>
      <c r="F72" s="996">
        <f>$I$72*(E51-D51)+(40*$I$72)</f>
        <v>10000</v>
      </c>
      <c r="G72" s="996">
        <f>$I$72*(F51-E51)+(40*$I$72)</f>
        <v>10000</v>
      </c>
      <c r="I72" s="1056">
        <v>250</v>
      </c>
      <c r="J72" s="996" t="s">
        <v>697</v>
      </c>
    </row>
    <row r="73" spans="1:10" ht="12.75">
      <c r="A73" s="993" t="s">
        <v>675</v>
      </c>
      <c r="B73" s="996">
        <v>10000</v>
      </c>
      <c r="C73" s="996">
        <v>20000</v>
      </c>
      <c r="D73" s="996">
        <v>10000</v>
      </c>
      <c r="E73" s="996">
        <v>5000</v>
      </c>
      <c r="F73" s="996">
        <v>5000</v>
      </c>
      <c r="G73" s="996">
        <v>5000</v>
      </c>
      <c r="J73" s="996" t="s">
        <v>690</v>
      </c>
    </row>
    <row r="74" ht="12.75">
      <c r="A74" s="993"/>
    </row>
    <row r="75" ht="7.5" customHeight="1">
      <c r="A75" s="993"/>
    </row>
    <row r="76" s="1050" customFormat="1" ht="7.5" customHeight="1">
      <c r="A76" s="1061"/>
    </row>
    <row r="77" ht="7.5" customHeight="1"/>
    <row r="78" ht="12.75">
      <c r="A78" s="1057" t="s">
        <v>693</v>
      </c>
    </row>
    <row r="79" spans="1:3" ht="12.75">
      <c r="A79" s="993" t="s">
        <v>665</v>
      </c>
      <c r="B79" s="1063">
        <f>VLOOKUP(A79,$A$82:$B$86,2,0)</f>
        <v>23500</v>
      </c>
      <c r="C79" s="1064">
        <f>VLOOKUP(A79,$A$82:$C$86,3,0)</f>
        <v>8</v>
      </c>
    </row>
    <row r="80" ht="12.75">
      <c r="B80" s="1060"/>
    </row>
    <row r="81" spans="2:4" ht="45">
      <c r="B81" s="1066" t="s">
        <v>694</v>
      </c>
      <c r="C81" s="1067" t="s">
        <v>695</v>
      </c>
      <c r="D81" s="1067" t="s">
        <v>703</v>
      </c>
    </row>
    <row r="82" spans="1:4" ht="12.75">
      <c r="A82" s="993" t="s">
        <v>661</v>
      </c>
      <c r="B82" s="1059">
        <v>23500</v>
      </c>
      <c r="C82" s="1062">
        <v>8</v>
      </c>
      <c r="D82" s="1062" t="s">
        <v>702</v>
      </c>
    </row>
    <row r="83" spans="1:4" ht="12.75">
      <c r="A83" s="993" t="s">
        <v>667</v>
      </c>
      <c r="B83" s="1059">
        <v>27000</v>
      </c>
      <c r="C83" s="1062">
        <v>12</v>
      </c>
      <c r="D83" s="1062" t="s">
        <v>704</v>
      </c>
    </row>
    <row r="84" spans="1:4" ht="12.75">
      <c r="A84" s="993" t="s">
        <v>663</v>
      </c>
      <c r="B84" s="1059">
        <v>23500</v>
      </c>
      <c r="C84" s="1062">
        <v>8</v>
      </c>
      <c r="D84" s="1062" t="s">
        <v>705</v>
      </c>
    </row>
    <row r="85" spans="1:4" ht="12.75">
      <c r="A85" s="993" t="s">
        <v>664</v>
      </c>
      <c r="B85" s="1059">
        <v>23500</v>
      </c>
      <c r="C85" s="1062">
        <v>8</v>
      </c>
      <c r="D85" s="1062" t="s">
        <v>702</v>
      </c>
    </row>
    <row r="86" spans="1:4" ht="12.75">
      <c r="A86" s="993" t="s">
        <v>665</v>
      </c>
      <c r="B86" s="1059">
        <v>23500</v>
      </c>
      <c r="C86" s="1062">
        <v>8</v>
      </c>
      <c r="D86" s="1062" t="s">
        <v>706</v>
      </c>
    </row>
  </sheetData>
  <sheetProtection/>
  <mergeCells count="2">
    <mergeCell ref="B46:F46"/>
    <mergeCell ref="B54:F5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N21" sqref="N21"/>
    </sheetView>
  </sheetViews>
  <sheetFormatPr defaultColWidth="9.140625" defaultRowHeight="12.75"/>
  <sheetData>
    <row r="1" ht="11.25" customHeight="1"/>
  </sheetData>
  <sheetProtection password="C9A0" sheet="1"/>
  <printOptions/>
  <pageMargins left="0.7" right="0.7" top="0.75" bottom="0.75" header="0.3" footer="0.3"/>
  <pageSetup horizontalDpi="600" verticalDpi="600" orientation="portrait" r:id="rId3"/>
  <legacyDrawing r:id="rId2"/>
  <oleObjects>
    <oleObject progId="Word.Document.12" shapeId="2205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Mitch</cp:lastModifiedBy>
  <cp:lastPrinted>2013-08-07T18:31:15Z</cp:lastPrinted>
  <dcterms:created xsi:type="dcterms:W3CDTF">2008-07-31T19:00:10Z</dcterms:created>
  <dcterms:modified xsi:type="dcterms:W3CDTF">2013-09-26T04:41:59Z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