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4080" activeTab="0"/>
  </bookViews>
  <sheets>
    <sheet name="Instructions" sheetId="1" r:id="rId1"/>
    <sheet name="Salaries - Year O" sheetId="2" r:id="rId2"/>
    <sheet name="Salaries - Year 1" sheetId="3" r:id="rId3"/>
    <sheet name="Salaries - Year 2" sheetId="4" r:id="rId4"/>
    <sheet name="Salaries - Year 3" sheetId="5" r:id="rId5"/>
    <sheet name="Salaries - Year 4" sheetId="6" r:id="rId6"/>
    <sheet name="Salaries - Year 5" sheetId="7" r:id="rId7"/>
    <sheet name="Contractual Clinicians" sheetId="8" state="hidden" r:id="rId8"/>
    <sheet name="Revenues-Per Capita " sheetId="9" r:id="rId9"/>
    <sheet name="Revenues-Federal &amp; State " sheetId="10" r:id="rId10"/>
    <sheet name="Budget with Assumptions" sheetId="11" r:id="rId11"/>
    <sheet name="Budget Summary " sheetId="12" r:id="rId12"/>
    <sheet name="Loans" sheetId="13" r:id="rId13"/>
    <sheet name="Calculations" sheetId="14" r:id="rId14"/>
  </sheets>
  <externalReferences>
    <externalReference r:id="rId17"/>
  </externalReferences>
  <definedNames>
    <definedName name="_xlnm.Print_Titles" localSheetId="11">'Budget Summary '!$A:$A,'Budget Summary '!$7:$9</definedName>
    <definedName name="_xlnm.Print_Titles" localSheetId="10">'Budget with Assumptions'!$A:$A,'Budget with Assumptions'!$7:$9</definedName>
  </definedNames>
  <calcPr fullCalcOnLoad="1"/>
</workbook>
</file>

<file path=xl/sharedStrings.xml><?xml version="1.0" encoding="utf-8"?>
<sst xmlns="http://schemas.openxmlformats.org/spreadsheetml/2006/main" count="1807" uniqueCount="729">
  <si>
    <t>Charter School</t>
  </si>
  <si>
    <t>Other</t>
  </si>
  <si>
    <t>Student Fees</t>
  </si>
  <si>
    <t>Direct Student Costs</t>
  </si>
  <si>
    <t>SGSA</t>
  </si>
  <si>
    <t>ELL</t>
  </si>
  <si>
    <t>Student Recruitment</t>
  </si>
  <si>
    <t>Salaries</t>
  </si>
  <si>
    <t>Staff Recruitment</t>
  </si>
  <si>
    <t>Professional Development</t>
  </si>
  <si>
    <t>Supplies</t>
  </si>
  <si>
    <t>Printing &amp; Copying</t>
  </si>
  <si>
    <t>Total Office Administration</t>
  </si>
  <si>
    <t>Total Occupancy</t>
  </si>
  <si>
    <t>Utilities</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</si>
  <si>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</si>
  <si>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</si>
  <si>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</si>
  <si>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</si>
  <si>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</si>
  <si>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</si>
  <si>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</si>
  <si>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</si>
  <si>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</si>
  <si>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</si>
  <si>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</si>
  <si>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</si>
  <si>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Employees</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</si>
  <si>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</si>
  <si>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</si>
  <si>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</si>
  <si>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</si>
  <si>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</si>
  <si>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</si>
  <si>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</si>
  <si>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</si>
  <si>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</si>
  <si>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</si>
  <si>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</si>
  <si>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Teachers</t>
  </si>
  <si>
    <t>Erate</t>
  </si>
  <si>
    <t>Fundraising Expense</t>
  </si>
  <si>
    <t>Estimated Rate Per Student</t>
  </si>
  <si>
    <t>Total Title 2 Revenue</t>
  </si>
  <si>
    <t>High School Per Capita Rate</t>
  </si>
  <si>
    <t>General</t>
  </si>
  <si>
    <t xml:space="preserve"> </t>
  </si>
  <si>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</si>
  <si>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</si>
  <si>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</si>
  <si>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</si>
  <si>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</si>
  <si>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</si>
  <si>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</si>
  <si>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</si>
  <si>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</si>
  <si>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</si>
  <si>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</si>
  <si>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</si>
  <si>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</si>
  <si>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</si>
  <si>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</si>
  <si>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</si>
  <si>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</si>
  <si>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</si>
  <si>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</si>
  <si>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</si>
  <si>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</si>
  <si>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</si>
  <si>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</si>
  <si>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</si>
  <si>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</si>
  <si>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</si>
  <si>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</si>
  <si>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</si>
  <si>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</si>
  <si>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</si>
  <si>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</si>
  <si>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</si>
  <si>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</si>
  <si>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</si>
  <si>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</si>
  <si>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</si>
  <si>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</si>
  <si>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</si>
  <si>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</si>
  <si>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</si>
  <si>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</si>
  <si>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</si>
  <si>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</si>
  <si>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</si>
  <si>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</si>
  <si>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</si>
  <si>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</si>
  <si>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</si>
  <si>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</si>
  <si>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</si>
  <si>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</si>
  <si>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</si>
  <si>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</si>
  <si>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</si>
  <si>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</si>
  <si>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</si>
  <si>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</si>
  <si>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</si>
  <si>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</si>
  <si>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</si>
  <si>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</si>
  <si>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</si>
  <si>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</si>
  <si>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</si>
  <si>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</si>
  <si>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Total Salaries and Fringes</t>
  </si>
  <si>
    <t>Amount</t>
  </si>
  <si>
    <t>Average Salary Range</t>
  </si>
  <si>
    <t>Total Reimbursement Range</t>
  </si>
  <si>
    <t>Average Compensation (Salaries and Fringes) Per Position</t>
  </si>
  <si>
    <t>Total Reimbursement</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</si>
  <si>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</si>
  <si>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</si>
  <si>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</si>
  <si>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</si>
  <si>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</si>
  <si>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</si>
  <si>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</si>
  <si>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</si>
  <si>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</si>
  <si>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</si>
  <si>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</si>
  <si>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</si>
  <si>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</si>
  <si>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</si>
  <si>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</si>
  <si>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</si>
  <si>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</si>
  <si>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</si>
  <si>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</si>
  <si>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</si>
  <si>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</si>
  <si>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</si>
  <si>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</si>
  <si>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</si>
  <si>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</si>
  <si>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</si>
  <si>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</si>
  <si>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</si>
  <si>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</si>
  <si>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</si>
  <si>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</si>
  <si>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</si>
  <si>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</si>
  <si>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</si>
  <si>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</si>
  <si>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</si>
  <si>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</si>
  <si>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</si>
  <si>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</si>
  <si>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</si>
  <si>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</si>
  <si>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</si>
  <si>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</si>
  <si>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</si>
  <si>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</si>
  <si>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</si>
  <si>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</si>
  <si>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</si>
  <si>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</si>
  <si>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</si>
  <si>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</si>
  <si>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</si>
  <si>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</si>
  <si>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</si>
  <si>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</si>
  <si>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</si>
  <si>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</si>
  <si>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</si>
  <si>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</si>
  <si>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</si>
  <si>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</si>
  <si>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</si>
  <si>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</si>
  <si>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</si>
  <si>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</si>
  <si>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</si>
  <si>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</si>
  <si>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</si>
  <si>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</si>
  <si>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</si>
  <si>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</si>
  <si>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</si>
  <si>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</si>
  <si>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</si>
  <si>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</si>
  <si>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</si>
  <si>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</si>
  <si>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</si>
  <si>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</si>
  <si>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</si>
  <si>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</si>
  <si>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</si>
  <si>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</si>
  <si>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</si>
  <si>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</si>
  <si>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</si>
  <si>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</si>
  <si>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</si>
  <si>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</si>
  <si>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</si>
  <si>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</si>
  <si>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</si>
  <si>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</si>
  <si>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</si>
  <si>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</si>
  <si>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</si>
  <si>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</si>
  <si>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</si>
  <si>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</si>
  <si>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</si>
  <si>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</si>
  <si>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</si>
  <si>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</si>
  <si>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</si>
  <si>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</si>
  <si>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</si>
  <si>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</si>
  <si>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</si>
  <si>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</si>
  <si>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</si>
  <si>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</si>
  <si>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 xml:space="preserve">The Per Capita Tuition Revenue is divided in the following two funding categories: </t>
  </si>
  <si>
    <t>For Non-SBB funding, the total enrollment (not weighted) will be used when calculating the Non-SBB revenue for all grade levels.</t>
  </si>
  <si>
    <t>Instructions</t>
  </si>
  <si>
    <t>General - Per Capita Tuition (SBB and Non-SBB Funding)</t>
  </si>
  <si>
    <r>
      <t xml:space="preserve">Title I Poverty Index (Title I Eligible </t>
    </r>
    <r>
      <rPr>
        <b/>
        <sz val="10"/>
        <rFont val="Calibri"/>
        <family val="2"/>
      </rPr>
      <t>÷</t>
    </r>
    <r>
      <rPr>
        <b/>
        <sz val="10"/>
        <rFont val="Arial"/>
        <family val="2"/>
      </rPr>
      <t xml:space="preserve"> Enrollment)</t>
    </r>
  </si>
  <si>
    <t>Projected % of Students Qualifying for Free and Reduced Lunch (FRL)</t>
  </si>
  <si>
    <t># of Students Qualifying for FRL</t>
  </si>
  <si>
    <t>Total Title I Funding for the Fiscal Year (Per Pupil Rate x Title I Eligible Students)</t>
  </si>
  <si>
    <t>General - Non-CPS Facility Supplement</t>
  </si>
  <si>
    <t>Instructions for Non-CPS Facility Supplemental Revenue</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</si>
  <si>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</si>
  <si>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</si>
  <si>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</si>
  <si>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</si>
  <si>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</si>
  <si>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</si>
  <si>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</si>
  <si>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</si>
  <si>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</si>
  <si>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</si>
  <si>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</si>
  <si>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</si>
  <si>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</si>
  <si>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</si>
  <si>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</si>
  <si>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</si>
  <si>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</si>
  <si>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</si>
  <si>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</si>
  <si>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</si>
  <si>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</si>
  <si>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</si>
  <si>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</si>
  <si>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</si>
  <si>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</si>
  <si>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</si>
  <si>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</si>
  <si>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</si>
  <si>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</si>
  <si>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</si>
  <si>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</si>
  <si>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</si>
  <si>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</si>
  <si>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</si>
  <si>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</si>
  <si>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</si>
  <si>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</si>
  <si>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</si>
  <si>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</si>
  <si>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</si>
  <si>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</si>
  <si>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</si>
  <si>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</si>
  <si>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</si>
  <si>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</si>
  <si>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</si>
  <si>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</si>
  <si>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</si>
  <si>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</si>
  <si>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</si>
  <si>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</si>
  <si>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</si>
  <si>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</si>
  <si>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</si>
  <si>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</si>
  <si>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</si>
  <si>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</si>
  <si>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</si>
  <si>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t xml:space="preserve">c) High School LRE3 Students - </t>
    </r>
    <r>
      <rPr>
        <b/>
        <sz val="11"/>
        <rFont val="Arial"/>
        <family val="2"/>
      </rPr>
      <t>1%</t>
    </r>
    <r>
      <rPr>
        <sz val="11"/>
        <rFont val="Arial"/>
        <family val="2"/>
      </rPr>
      <t xml:space="preserve"> of the total enrollment</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</si>
  <si>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</si>
  <si>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</si>
  <si>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</si>
  <si>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</si>
  <si>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</si>
  <si>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</si>
  <si>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</si>
  <si>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</si>
  <si>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</si>
  <si>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</si>
  <si>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</si>
  <si>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</si>
  <si>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</si>
  <si>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</si>
  <si>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</si>
  <si>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</si>
  <si>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</si>
  <si>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</si>
  <si>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</si>
  <si>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</si>
  <si>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</si>
  <si>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</si>
  <si>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</si>
  <si>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</si>
  <si>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</si>
  <si>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</si>
  <si>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</si>
  <si>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</si>
  <si>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</si>
  <si>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</si>
  <si>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</si>
  <si>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</si>
  <si>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</si>
  <si>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</si>
  <si>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</si>
  <si>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t>Loan(s) used to procure instructional equipment, educational materials, furniture, computers, or for general school operations.</t>
  </si>
  <si>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</si>
  <si>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</si>
  <si>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</si>
  <si>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</si>
  <si>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</si>
  <si>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</si>
  <si>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</si>
  <si>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</si>
  <si>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</si>
  <si>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</si>
  <si>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</si>
  <si>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   Total Clinician Positions</t>
  </si>
  <si>
    <r>
      <t xml:space="preserve">Special Education Contracted Clinician Services that are Reimbursable under CPS's policy </t>
    </r>
    <r>
      <rPr>
        <i/>
        <sz val="12"/>
        <rFont val="Cambria"/>
        <family val="1"/>
      </rPr>
      <t>(from Contractual Clinician Worksheet)</t>
    </r>
  </si>
  <si>
    <t>C) Contractual Clinicians (Special Education Reimbursement)</t>
  </si>
  <si>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</si>
  <si>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</si>
  <si>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</si>
  <si>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</si>
  <si>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</si>
  <si>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</si>
  <si>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</si>
  <si>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</si>
  <si>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</si>
  <si>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</si>
  <si>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</si>
  <si>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</si>
  <si>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</si>
  <si>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</si>
  <si>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</si>
  <si>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</si>
  <si>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</si>
  <si>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</si>
  <si>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</si>
  <si>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</si>
  <si>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</si>
  <si>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</si>
  <si>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</si>
  <si>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</si>
  <si>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</si>
  <si>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</si>
  <si>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</si>
  <si>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</si>
  <si>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</si>
  <si>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</si>
  <si>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</si>
  <si>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</si>
  <si>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</si>
  <si>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t>SBB &amp; Non-SBB ( Grades K-3)</t>
  </si>
  <si>
    <t>SBB &amp; Non-SBB (Grades 4-8)</t>
  </si>
  <si>
    <t>SBB &amp; Non-SBB (Grades 6-8)-This only for schools that have HS grades with grades 6-8.</t>
  </si>
  <si>
    <t>SBB &amp; Non-SBB (High School)</t>
  </si>
  <si>
    <t>NCLB-Title 2</t>
  </si>
  <si>
    <r>
      <t>Column J</t>
    </r>
    <r>
      <rPr>
        <sz val="11"/>
        <rFont val="Arial"/>
        <family val="2"/>
      </rPr>
      <t xml:space="preserve"> is for the budgeted amounts for the Incubation Year. </t>
    </r>
  </si>
  <si>
    <t>Position Description</t>
  </si>
  <si>
    <t>Number of Staff Per Position (FTE's)</t>
  </si>
  <si>
    <t>Average Salary for the Position</t>
  </si>
  <si>
    <t>Total Salaries</t>
  </si>
  <si>
    <t>Teacher Aides</t>
  </si>
  <si>
    <t>TOTALS</t>
  </si>
  <si>
    <t>FICA Expense</t>
  </si>
  <si>
    <t>Medicare Expense</t>
  </si>
  <si>
    <r>
      <t xml:space="preserve"> Certified Positions that </t>
    </r>
    <r>
      <rPr>
        <b/>
        <u val="single"/>
        <sz val="11"/>
        <rFont val="Times New Roman"/>
        <family val="1"/>
      </rPr>
      <t>Participate</t>
    </r>
    <r>
      <rPr>
        <b/>
        <sz val="11"/>
        <rFont val="Times New Roman"/>
        <family val="1"/>
      </rPr>
      <t xml:space="preserve"> in the Chicago Teachers' Pension Fund ("CTPF")</t>
    </r>
  </si>
  <si>
    <r>
      <t xml:space="preserve">School's Pick-up of </t>
    </r>
    <r>
      <rPr>
        <b/>
        <u val="single"/>
        <sz val="11"/>
        <rFont val="Arial"/>
        <family val="2"/>
      </rPr>
      <t>EMPLOYEES'</t>
    </r>
    <r>
      <rPr>
        <b/>
        <sz val="11"/>
        <rFont val="Arial"/>
        <family val="2"/>
      </rPr>
      <t xml:space="preserve"> Share of CTPF (Enter 0%-9% in Cell E12)</t>
    </r>
  </si>
  <si>
    <r>
      <t xml:space="preserve">Estimated Annual </t>
    </r>
    <r>
      <rPr>
        <b/>
        <u val="single"/>
        <sz val="11"/>
        <rFont val="Arial"/>
        <family val="2"/>
      </rPr>
      <t>EMPLOYER'S</t>
    </r>
    <r>
      <rPr>
        <b/>
        <sz val="11"/>
        <rFont val="Arial"/>
        <family val="2"/>
      </rPr>
      <t xml:space="preserve">  Contribution to the CTPF</t>
    </r>
  </si>
  <si>
    <t>Employer's Share of Medicare Expense</t>
  </si>
  <si>
    <r>
      <t xml:space="preserve">SPED Teachers </t>
    </r>
    <r>
      <rPr>
        <b/>
        <sz val="11"/>
        <rFont val="Arial"/>
        <family val="2"/>
      </rPr>
      <t>(reimbursed by CPS)</t>
    </r>
  </si>
  <si>
    <r>
      <t xml:space="preserve">SPED Teacher Aides </t>
    </r>
    <r>
      <rPr>
        <b/>
        <sz val="11"/>
        <rFont val="Arial"/>
        <family val="2"/>
      </rPr>
      <t>(reimbursed by CPS)</t>
    </r>
  </si>
  <si>
    <r>
      <t xml:space="preserve">SPED Clinicians-Psychologist </t>
    </r>
    <r>
      <rPr>
        <b/>
        <sz val="11"/>
        <rFont val="Arial"/>
        <family val="2"/>
      </rPr>
      <t>(reimbursed by CPS)</t>
    </r>
  </si>
  <si>
    <r>
      <t xml:space="preserve">SPED Clinicians-Social Worker </t>
    </r>
    <r>
      <rPr>
        <b/>
        <sz val="11"/>
        <rFont val="Arial"/>
        <family val="2"/>
      </rPr>
      <t>(reimbursed by CPS)</t>
    </r>
  </si>
  <si>
    <r>
      <t xml:space="preserve">SPED Clinicians-Speech Therapist </t>
    </r>
    <r>
      <rPr>
        <b/>
        <sz val="11"/>
        <rFont val="Arial"/>
        <family val="2"/>
      </rPr>
      <t>(reimbursed by CPS)</t>
    </r>
  </si>
  <si>
    <r>
      <t xml:space="preserve">SPED Clinicians-Physical Therapist </t>
    </r>
    <r>
      <rPr>
        <b/>
        <sz val="11"/>
        <rFont val="Arial"/>
        <family val="2"/>
      </rPr>
      <t>(reimbursed by CPS)</t>
    </r>
  </si>
  <si>
    <r>
      <t xml:space="preserve">SPED Clinicians-Occupational Therapist </t>
    </r>
    <r>
      <rPr>
        <b/>
        <sz val="11"/>
        <rFont val="Arial"/>
        <family val="2"/>
      </rPr>
      <t>(reimbursed by CPS)</t>
    </r>
  </si>
  <si>
    <r>
      <t xml:space="preserve">SPED Clinicians-Nurse </t>
    </r>
    <r>
      <rPr>
        <b/>
        <sz val="11"/>
        <rFont val="Arial"/>
        <family val="2"/>
      </rPr>
      <t>(reimbursed by CPS)</t>
    </r>
  </si>
  <si>
    <t>Totals</t>
  </si>
  <si>
    <r>
      <t xml:space="preserve">Positions that do </t>
    </r>
    <r>
      <rPr>
        <b/>
        <u val="single"/>
        <sz val="11"/>
        <rFont val="Times New Roman"/>
        <family val="1"/>
      </rPr>
      <t>NOT</t>
    </r>
    <r>
      <rPr>
        <b/>
        <sz val="11"/>
        <rFont val="Times New Roman"/>
        <family val="1"/>
      </rPr>
      <t xml:space="preserve"> Participate in the Chicago Teachers' Pension Fund</t>
    </r>
  </si>
  <si>
    <t>Employer's Share of FICA</t>
  </si>
  <si>
    <t>Business Manager</t>
  </si>
  <si>
    <t>Certified Personnel</t>
  </si>
  <si>
    <t>Non-Certified Personnel</t>
  </si>
  <si>
    <t xml:space="preserve"> Total Salaries</t>
  </si>
  <si>
    <t>Total Medicare Expense</t>
  </si>
  <si>
    <t xml:space="preserve"> Total Medicare Expense</t>
  </si>
  <si>
    <t>Total # of Employees that Participate in the CTPF</t>
  </si>
  <si>
    <r>
      <t xml:space="preserve">Total # of Employees that do </t>
    </r>
    <r>
      <rPr>
        <b/>
        <sz val="11"/>
        <color indexed="8"/>
        <rFont val="Calibri"/>
        <family val="2"/>
      </rPr>
      <t>NOT</t>
    </r>
    <r>
      <rPr>
        <sz val="10"/>
        <rFont val="Arial"/>
        <family val="0"/>
      </rPr>
      <t xml:space="preserve"> Participate in the CTPF</t>
    </r>
  </si>
  <si>
    <t xml:space="preserve"> Total # of Employees</t>
  </si>
  <si>
    <t>Special Education Reimbursable Positions</t>
  </si>
  <si>
    <t>FTE's</t>
  </si>
  <si>
    <t>Fringe Benefit %</t>
  </si>
  <si>
    <t>Special Education Reimbursement - Teachers</t>
  </si>
  <si>
    <t>Special Education Reimbursement - Teachers Aides</t>
  </si>
  <si>
    <r>
      <t xml:space="preserve">Special Education </t>
    </r>
    <r>
      <rPr>
        <b/>
        <u val="single"/>
        <sz val="10"/>
        <rFont val="Arial"/>
        <family val="2"/>
      </rPr>
      <t>Teachers</t>
    </r>
    <r>
      <rPr>
        <b/>
        <sz val="10"/>
        <rFont val="Arial"/>
        <family val="2"/>
      </rPr>
      <t xml:space="preserve"> Calculation for Reimbursement</t>
    </r>
  </si>
  <si>
    <r>
      <t xml:space="preserve">Special Education </t>
    </r>
    <r>
      <rPr>
        <b/>
        <u val="single"/>
        <sz val="10"/>
        <rFont val="Arial"/>
        <family val="2"/>
      </rPr>
      <t>Teachers Aides</t>
    </r>
    <r>
      <rPr>
        <b/>
        <sz val="10"/>
        <rFont val="Arial"/>
        <family val="2"/>
      </rPr>
      <t xml:space="preserve"> Calculation for Reimbursement</t>
    </r>
  </si>
  <si>
    <t>Total Special Education Reimbursement</t>
  </si>
  <si>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</si>
  <si>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Enter the Fringe Benefit % for the Special Education Teachers and Special Education Teacher Aides in Cell  B83</t>
  </si>
  <si>
    <t>Enter the Fringe Benefit % for the Special Education Teachers and Special Educiation Teacher Aides in Cell  B83</t>
  </si>
  <si>
    <t xml:space="preserve">C) Salaries - Year 1 </t>
  </si>
  <si>
    <t>B) Salaries - Year 0 (incubation year)</t>
  </si>
  <si>
    <t>D) Salaries - Year 2</t>
  </si>
  <si>
    <t>E) Salaries - Year 3</t>
  </si>
  <si>
    <t>F) Salaries - Year 4</t>
  </si>
  <si>
    <t>G) Salaries - Year 5</t>
  </si>
  <si>
    <t>J) Budget with Assumptions</t>
  </si>
  <si>
    <t>K) Budget Summary</t>
  </si>
  <si>
    <t>L) Loans</t>
  </si>
  <si>
    <t>M) Calculations</t>
  </si>
  <si>
    <t>The budget is divided in to thirteen worksheets:</t>
  </si>
  <si>
    <t>(B)  -  (G) Salaries Worksheets</t>
  </si>
  <si>
    <r>
      <rPr>
        <b/>
        <sz val="11"/>
        <rFont val="Arial"/>
        <family val="2"/>
      </rPr>
      <t>d) Column D (Sections 1 &amp; 2)</t>
    </r>
    <r>
      <rPr>
        <sz val="11"/>
        <rFont val="Arial"/>
        <family val="2"/>
      </rPr>
      <t xml:space="preserve"> totals the salaries.</t>
    </r>
  </si>
  <si>
    <r>
      <t>Please note that salaries are divided into two sections (</t>
    </r>
    <r>
      <rPr>
        <b/>
        <i/>
        <sz val="11"/>
        <rFont val="Arial"/>
        <family val="2"/>
      </rPr>
      <t>with the exception of the incubation year</t>
    </r>
    <r>
      <rPr>
        <sz val="11"/>
        <rFont val="Arial"/>
        <family val="2"/>
      </rPr>
      <t>). The first section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If you are selected to operate a charter school, you will be asked to contact the CTPF for further details regarding the timing and the eligibility of your employees to be members of the CTPF.</t>
    </r>
  </si>
  <si>
    <r>
      <rPr>
        <b/>
        <sz val="11"/>
        <rFont val="Arial"/>
        <family val="2"/>
      </rPr>
      <t>j)</t>
    </r>
    <r>
      <rPr>
        <sz val="11"/>
        <rFont val="Arial"/>
        <family val="2"/>
      </rPr>
      <t xml:space="preserve"> </t>
    </r>
    <r>
      <rPr>
        <b/>
        <sz val="11"/>
        <rFont val="Arial"/>
        <family val="2"/>
      </rPr>
      <t>Cell B68</t>
    </r>
    <r>
      <rPr>
        <sz val="11"/>
        <rFont val="Arial"/>
        <family val="2"/>
      </rPr>
      <t xml:space="preserve"> totals the salaries from Section 1 and Section 2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</si>
  <si>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h) Column F (Section 2)</t>
    </r>
    <r>
      <rPr>
        <sz val="11"/>
        <rFont val="Arial"/>
        <family val="2"/>
      </rPr>
      <t xml:space="preserve"> - The employer's share of Medicare is calculated.</t>
    </r>
  </si>
  <si>
    <r>
      <rPr>
        <b/>
        <sz val="11"/>
        <rFont val="Arial"/>
        <family val="2"/>
      </rPr>
      <t>i) Column G (Section 1)</t>
    </r>
    <r>
      <rPr>
        <sz val="11"/>
        <rFont val="Arial"/>
        <family val="2"/>
      </rPr>
      <t xml:space="preserve"> - The employer's share of Medicare is calculated.</t>
    </r>
  </si>
  <si>
    <t>English Language Learners - State of Illinois Funding</t>
  </si>
  <si>
    <t>Total Funding</t>
  </si>
  <si>
    <t>English Language Learners - Federal Funding</t>
  </si>
  <si>
    <t>Enter the number of ELL students that you are projecting. It can only be from 20 to 249 students. If you are projecting less than 20 ELL students, "0" should be entered.</t>
  </si>
  <si>
    <t>Rate for 20-249 ELL Students</t>
  </si>
  <si>
    <r>
      <t xml:space="preserve">This section is only for schools that are projecting </t>
    </r>
    <r>
      <rPr>
        <b/>
        <i/>
        <u val="single"/>
        <sz val="12"/>
        <rFont val="Arial"/>
        <family val="2"/>
      </rPr>
      <t>100 or more</t>
    </r>
    <r>
      <rPr>
        <b/>
        <sz val="12"/>
        <rFont val="Arial"/>
        <family val="2"/>
      </rPr>
      <t xml:space="preserve"> ELL students in any fiscal year.</t>
    </r>
  </si>
  <si>
    <r>
      <t xml:space="preserve">This section is only for schools that are projecting </t>
    </r>
    <r>
      <rPr>
        <b/>
        <i/>
        <u val="single"/>
        <sz val="12"/>
        <rFont val="Arial"/>
        <family val="2"/>
      </rPr>
      <t>20-249</t>
    </r>
    <r>
      <rPr>
        <b/>
        <sz val="12"/>
        <rFont val="Arial"/>
        <family val="2"/>
      </rPr>
      <t xml:space="preserve"> ELL students in any fiscal year.</t>
    </r>
  </si>
  <si>
    <t xml:space="preserve">   Total State Funding</t>
  </si>
  <si>
    <t xml:space="preserve">   Total Federal Funding</t>
  </si>
  <si>
    <t>ELL Funding Summary</t>
  </si>
  <si>
    <t>Total ELL Funding</t>
  </si>
  <si>
    <r>
      <t xml:space="preserve">This section is only for schools that are projecting </t>
    </r>
    <r>
      <rPr>
        <b/>
        <i/>
        <u val="single"/>
        <sz val="12"/>
        <rFont val="Arial"/>
        <family val="2"/>
      </rPr>
      <t>250 or more</t>
    </r>
    <r>
      <rPr>
        <b/>
        <sz val="12"/>
        <rFont val="Arial"/>
        <family val="2"/>
      </rPr>
      <t xml:space="preserve"> ELL students in any fiscal year.</t>
    </r>
  </si>
  <si>
    <r>
      <rPr>
        <b/>
        <sz val="10"/>
        <rFont val="Arial"/>
        <family val="2"/>
      </rPr>
      <t>Enter</t>
    </r>
    <r>
      <rPr>
        <sz val="10"/>
        <rFont val="Arial"/>
        <family val="2"/>
      </rPr>
      <t xml:space="preserve"> </t>
    </r>
    <r>
      <rPr>
        <b/>
        <sz val="10"/>
        <rFont val="Arial"/>
        <family val="2"/>
      </rPr>
      <t>1</t>
    </r>
    <r>
      <rPr>
        <sz val="10"/>
        <rFont val="Arial"/>
        <family val="2"/>
      </rPr>
      <t xml:space="preserve"> </t>
    </r>
    <r>
      <rPr>
        <b/>
        <sz val="10"/>
        <rFont val="Arial"/>
        <family val="2"/>
      </rPr>
      <t>only if you are projected to have 100 or more ELL studen</t>
    </r>
    <r>
      <rPr>
        <sz val="10"/>
        <rFont val="Arial"/>
        <family val="2"/>
      </rPr>
      <t>ts</t>
    </r>
    <r>
      <rPr>
        <b/>
        <sz val="10"/>
        <rFont val="Arial"/>
        <family val="2"/>
      </rPr>
      <t>; otherwise, leave blank or zero.</t>
    </r>
  </si>
  <si>
    <r>
      <t xml:space="preserve">Enter </t>
    </r>
    <r>
      <rPr>
        <b/>
        <sz val="10"/>
        <rFont val="Arial"/>
        <family val="2"/>
      </rPr>
      <t>1</t>
    </r>
    <r>
      <rPr>
        <sz val="10"/>
        <rFont val="Arial"/>
        <family val="2"/>
      </rPr>
      <t xml:space="preserve"> </t>
    </r>
    <r>
      <rPr>
        <b/>
        <sz val="10"/>
        <rFont val="Arial"/>
        <family val="2"/>
      </rPr>
      <t>only if you are projected to have 250 or more ELL studen</t>
    </r>
    <r>
      <rPr>
        <sz val="10"/>
        <rFont val="Arial"/>
        <family val="2"/>
      </rPr>
      <t>ts</t>
    </r>
    <r>
      <rPr>
        <b/>
        <sz val="10"/>
        <rFont val="Arial"/>
        <family val="2"/>
      </rPr>
      <t>; otherwise, leave blank or zero.</t>
    </r>
  </si>
  <si>
    <t>Instructions for Per Capita Revenues</t>
  </si>
  <si>
    <r>
      <rPr>
        <b/>
        <sz val="11"/>
        <rFont val="Arial"/>
        <family val="2"/>
      </rPr>
      <t>c)</t>
    </r>
    <r>
      <rPr>
        <sz val="11"/>
        <rFont val="Arial"/>
        <family val="2"/>
      </rPr>
      <t xml:space="preserve"> In </t>
    </r>
    <r>
      <rPr>
        <b/>
        <sz val="11"/>
        <rFont val="Arial"/>
        <family val="2"/>
      </rPr>
      <t>Column C (Sections 1 &amp; 2)</t>
    </r>
    <r>
      <rPr>
        <sz val="11"/>
        <rFont val="Arial"/>
        <family val="2"/>
      </rPr>
      <t xml:space="preserve">, enter the average salary per position. Please note that beginning in </t>
    </r>
    <r>
      <rPr>
        <b/>
        <sz val="11"/>
        <rFont val="Arial"/>
        <family val="2"/>
      </rPr>
      <t>Year 2,</t>
    </r>
    <r>
      <rPr>
        <sz val="11"/>
        <rFont val="Arial"/>
        <family val="2"/>
      </rPr>
      <t xml:space="preserve"> the average salaries (Column "C") are carried forward from the previous fiscal year. You can leave them unchanged, change them manually, or enter a % in </t>
    </r>
    <r>
      <rPr>
        <b/>
        <sz val="11"/>
        <rFont val="Arial"/>
        <family val="2"/>
      </rPr>
      <t>Cell B5</t>
    </r>
    <r>
      <rPr>
        <sz val="11"/>
        <rFont val="Arial"/>
        <family val="2"/>
      </rPr>
      <t xml:space="preserve"> if you want to increase them from the prior year. Please note that if you enter a % in </t>
    </r>
    <r>
      <rPr>
        <b/>
        <sz val="11"/>
        <rFont val="Arial"/>
        <family val="2"/>
      </rPr>
      <t>Cell B5</t>
    </r>
    <r>
      <rPr>
        <sz val="11"/>
        <rFont val="Arial"/>
        <family val="2"/>
      </rPr>
      <t xml:space="preserve"> that will increase </t>
    </r>
    <r>
      <rPr>
        <b/>
        <sz val="11"/>
        <rFont val="Arial"/>
        <family val="2"/>
      </rPr>
      <t>all</t>
    </r>
    <r>
      <rPr>
        <sz val="11"/>
        <rFont val="Arial"/>
        <family val="2"/>
      </rPr>
      <t xml:space="preserve"> of the salaries carried forward from the previous fiscal year.</t>
    </r>
  </si>
  <si>
    <r>
      <rPr>
        <b/>
        <sz val="11"/>
        <rFont val="Arial"/>
        <family val="2"/>
      </rPr>
      <t>e)Column E (Section 1)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t>
    </r>
    <r>
      <rPr>
        <b/>
        <sz val="11"/>
        <rFont val="Arial"/>
        <family val="2"/>
      </rPr>
      <t>Cell E12</t>
    </r>
    <r>
      <rPr>
        <sz val="11"/>
        <rFont val="Arial"/>
        <family val="2"/>
      </rPr>
      <t xml:space="preserve"> for the portion that the school/employer will pick-up. The percentage entered in </t>
    </r>
    <r>
      <rPr>
        <b/>
        <sz val="11"/>
        <rFont val="Arial"/>
        <family val="2"/>
      </rPr>
      <t>E12</t>
    </r>
    <r>
      <rPr>
        <sz val="11"/>
        <rFont val="Arial"/>
        <family val="2"/>
      </rPr>
      <t xml:space="preserve"> will be multiplied by the total pensionable salaries and wages in </t>
    </r>
    <r>
      <rPr>
        <b/>
        <sz val="11"/>
        <rFont val="Arial"/>
        <family val="2"/>
      </rPr>
      <t>Column D</t>
    </r>
    <r>
      <rPr>
        <sz val="11"/>
        <rFont val="Arial"/>
        <family val="2"/>
      </rPr>
      <t xml:space="preserve">, and calculate the expense. </t>
    </r>
    <r>
      <rPr>
        <b/>
        <sz val="11"/>
        <rFont val="Arial"/>
        <family val="2"/>
      </rPr>
      <t>Cell E35</t>
    </r>
    <r>
      <rPr>
        <sz val="11"/>
        <rFont val="Arial"/>
        <family val="2"/>
      </rPr>
      <t xml:space="preserve"> totals the expense and populates </t>
    </r>
    <r>
      <rPr>
        <b/>
        <sz val="11"/>
        <rFont val="Arial"/>
        <family val="2"/>
      </rPr>
      <t>Row 71 of the Budget with Assumptions</t>
    </r>
    <r>
      <rPr>
        <sz val="11"/>
        <rFont val="Arial"/>
        <family val="2"/>
      </rPr>
      <t xml:space="preserve"> worksheet.</t>
    </r>
  </si>
  <si>
    <r>
      <rPr>
        <b/>
        <sz val="11"/>
        <rFont val="Arial"/>
        <family val="2"/>
      </rPr>
      <t>f)</t>
    </r>
    <r>
      <rPr>
        <sz val="11"/>
        <rFont val="Arial"/>
        <family val="2"/>
      </rPr>
      <t xml:space="preserve"> </t>
    </r>
    <r>
      <rPr>
        <b/>
        <sz val="11"/>
        <rFont val="Arial"/>
        <family val="2"/>
      </rPr>
      <t>Column E</t>
    </r>
    <r>
      <rPr>
        <sz val="11"/>
        <rFont val="Arial"/>
        <family val="2"/>
      </rPr>
      <t xml:space="preserve">  </t>
    </r>
    <r>
      <rPr>
        <b/>
        <sz val="11"/>
        <rFont val="Arial"/>
        <family val="2"/>
      </rPr>
      <t>(Section 2)</t>
    </r>
    <r>
      <rPr>
        <sz val="11"/>
        <rFont val="Arial"/>
        <family val="2"/>
      </rPr>
      <t xml:space="preserve"> - For employees who do </t>
    </r>
    <r>
      <rPr>
        <b/>
        <sz val="11"/>
        <rFont val="Arial"/>
        <family val="2"/>
      </rPr>
      <t xml:space="preserve">not </t>
    </r>
    <r>
      <rPr>
        <sz val="11"/>
        <rFont val="Arial"/>
        <family val="2"/>
      </rPr>
      <t xml:space="preserve">participate in the CTPF, the employer's share of FICA is calculated (6.2% of salaries).  </t>
    </r>
    <r>
      <rPr>
        <b/>
        <sz val="11"/>
        <rFont val="Arial"/>
        <family val="2"/>
      </rPr>
      <t>Cell E63</t>
    </r>
    <r>
      <rPr>
        <sz val="11"/>
        <rFont val="Arial"/>
        <family val="2"/>
      </rPr>
      <t xml:space="preserve"> totals the expense and populates </t>
    </r>
    <r>
      <rPr>
        <b/>
        <sz val="11"/>
        <rFont val="Arial"/>
        <family val="2"/>
      </rPr>
      <t>Row 73</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</si>
  <si>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k)</t>
    </r>
    <r>
      <rPr>
        <sz val="11"/>
        <rFont val="Arial"/>
        <family val="2"/>
      </rPr>
      <t xml:space="preserve"> In </t>
    </r>
    <r>
      <rPr>
        <b/>
        <sz val="11"/>
        <rFont val="Arial"/>
        <family val="2"/>
      </rPr>
      <t>Rows 86-87</t>
    </r>
    <r>
      <rPr>
        <sz val="11"/>
        <rFont val="Arial"/>
        <family val="2"/>
      </rPr>
      <t xml:space="preserve"> the FTE's, salaries, and fringe benefit % are populated from the data entered above for the reimbursable special education teacher and aides. In </t>
    </r>
    <r>
      <rPr>
        <b/>
        <sz val="11"/>
        <rFont val="Arial"/>
        <family val="2"/>
      </rPr>
      <t>Cells E86 and E87</t>
    </r>
    <r>
      <rPr>
        <sz val="11"/>
        <rFont val="Arial"/>
        <family val="2"/>
      </rPr>
      <t xml:space="preserve"> the total salaries and fringes are calculated for those positions.</t>
    </r>
  </si>
  <si>
    <r>
      <rPr>
        <b/>
        <sz val="11"/>
        <rFont val="Arial"/>
        <family val="2"/>
      </rPr>
      <t>g)</t>
    </r>
    <r>
      <rPr>
        <sz val="11"/>
        <rFont val="Arial"/>
        <family val="2"/>
      </rPr>
      <t xml:space="preserve"> </t>
    </r>
    <r>
      <rPr>
        <b/>
        <sz val="11"/>
        <rFont val="Arial"/>
        <family val="2"/>
      </rPr>
      <t>Column F</t>
    </r>
    <r>
      <rPr>
        <sz val="11"/>
        <rFont val="Arial"/>
        <family val="2"/>
      </rPr>
      <t xml:space="preserve"> (</t>
    </r>
    <r>
      <rPr>
        <b/>
        <sz val="11"/>
        <rFont val="Arial"/>
        <family val="2"/>
      </rPr>
      <t>Section 1</t>
    </r>
    <r>
      <rPr>
        <sz val="11"/>
        <rFont val="Arial"/>
        <family val="2"/>
      </rPr>
      <t xml:space="preserve">) - A charter school is responsible for the employer's share of the annual cost of the pension expense. It is currently estimated at </t>
    </r>
    <r>
      <rPr>
        <b/>
        <sz val="11"/>
        <rFont val="Arial"/>
        <family val="2"/>
      </rPr>
      <t>11.16%</t>
    </r>
    <r>
      <rPr>
        <sz val="11"/>
        <rFont val="Arial"/>
        <family val="2"/>
      </rPr>
      <t xml:space="preserve"> (</t>
    </r>
    <r>
      <rPr>
        <b/>
        <sz val="11"/>
        <rFont val="Arial"/>
        <family val="2"/>
      </rPr>
      <t>Cell F12</t>
    </r>
    <r>
      <rPr>
        <sz val="11"/>
        <rFont val="Arial"/>
        <family val="2"/>
      </rPr>
      <t xml:space="preserve">) of pensionable salaries. The expense is calculated by taking the pensionable salaries in </t>
    </r>
    <r>
      <rPr>
        <b/>
        <sz val="11"/>
        <rFont val="Arial"/>
        <family val="2"/>
      </rPr>
      <t>Column D</t>
    </r>
    <r>
      <rPr>
        <sz val="11"/>
        <rFont val="Arial"/>
        <family val="2"/>
      </rPr>
      <t xml:space="preserve"> times </t>
    </r>
    <r>
      <rPr>
        <b/>
        <sz val="11"/>
        <rFont val="Arial"/>
        <family val="2"/>
      </rPr>
      <t>11.16%</t>
    </r>
    <r>
      <rPr>
        <sz val="11"/>
        <rFont val="Arial"/>
        <family val="2"/>
      </rPr>
      <t xml:space="preserve">. </t>
    </r>
    <r>
      <rPr>
        <b/>
        <sz val="11"/>
        <rFont val="Arial"/>
        <family val="2"/>
      </rPr>
      <t>Cell F35</t>
    </r>
    <r>
      <rPr>
        <sz val="11"/>
        <rFont val="Arial"/>
        <family val="2"/>
      </rPr>
      <t xml:space="preserve">  totals the expense and populates </t>
    </r>
    <r>
      <rPr>
        <b/>
        <sz val="11"/>
        <rFont val="Arial"/>
        <family val="2"/>
      </rPr>
      <t>Row 70</t>
    </r>
    <r>
      <rPr>
        <sz val="11"/>
        <rFont val="Arial"/>
        <family val="2"/>
      </rPr>
      <t xml:space="preserve"> of the </t>
    </r>
    <r>
      <rPr>
        <b/>
        <sz val="11"/>
        <rFont val="Arial"/>
        <family val="2"/>
      </rPr>
      <t>Budget with Assumptions</t>
    </r>
    <r>
      <rPr>
        <sz val="11"/>
        <rFont val="Arial"/>
        <family val="2"/>
      </rPr>
      <t xml:space="preserve"> worksheet.</t>
    </r>
  </si>
  <si>
    <t>(J) Budget with Assumptions Worksheet</t>
  </si>
  <si>
    <t>(K) Budget Summary</t>
  </si>
  <si>
    <t>(L) Loan Worksheet</t>
  </si>
  <si>
    <t>(M) Calculations Worksheet</t>
  </si>
  <si>
    <t xml:space="preserve">SECTION # 2                                             FY 2018 (1st Year of Operation ) </t>
  </si>
  <si>
    <r>
      <rPr>
        <b/>
        <sz val="10"/>
        <rFont val="Arial"/>
        <family val="2"/>
      </rPr>
      <t>Note:</t>
    </r>
    <r>
      <rPr>
        <sz val="10"/>
        <rFont val="Arial"/>
        <family val="2"/>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</si>
  <si>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 xml:space="preserve">SECTION # 2                                             FY 2019 (2nd Year of Operation ) </t>
  </si>
  <si>
    <t xml:space="preserve">SECTION # 2                                             FY 2020 (3rd Year of Operation ) </t>
  </si>
  <si>
    <t xml:space="preserve">SECTION # 2                                             FY 2021 (4th Year of Operation ) </t>
  </si>
  <si>
    <t xml:space="preserve">SECTION # 2                                             FY 2022 (5th Year of Operation ) </t>
  </si>
  <si>
    <t>Title I Eligible Per Pupil Rate ($579 base rate + $23 increases per Title I Index % increase)</t>
  </si>
  <si>
    <t>A) Instructions / Guidelines (this worksheet)</t>
  </si>
  <si>
    <t xml:space="preserve">H) Revenues-Per Capita </t>
  </si>
  <si>
    <t>I) Revenues-Federal and State</t>
  </si>
  <si>
    <r>
      <t xml:space="preserve">NOTE: Employees of </t>
    </r>
    <r>
      <rPr>
        <b/>
        <i/>
        <u val="single"/>
        <sz val="11"/>
        <rFont val="Arial"/>
        <family val="2"/>
      </rPr>
      <t>CONTRACT SCHOOLS</t>
    </r>
    <r>
      <rPr>
        <b/>
        <i/>
        <sz val="11"/>
        <rFont val="Arial"/>
        <family val="2"/>
      </rPr>
      <t xml:space="preserve"> do </t>
    </r>
    <r>
      <rPr>
        <b/>
        <i/>
        <u val="single"/>
        <sz val="11"/>
        <rFont val="Arial"/>
        <family val="2"/>
      </rPr>
      <t xml:space="preserve">NOT </t>
    </r>
    <r>
      <rPr>
        <b/>
        <i/>
        <sz val="11"/>
        <rFont val="Arial"/>
        <family val="2"/>
      </rPr>
      <t>participate in the Chicago Teachers' Pension Fund. Contract Schools should only complete the second section of the Salaries worksheet ("Positions that do NOT participate in the CTPF").</t>
    </r>
  </si>
  <si>
    <r>
      <rPr>
        <b/>
        <sz val="11"/>
        <rFont val="Arial"/>
        <family val="2"/>
      </rPr>
      <t>a)</t>
    </r>
    <r>
      <rPr>
        <sz val="11"/>
        <rFont val="Arial"/>
        <family val="2"/>
      </rPr>
      <t xml:space="preserve"> In </t>
    </r>
    <r>
      <rPr>
        <b/>
        <sz val="11"/>
        <rFont val="Arial"/>
        <family val="2"/>
      </rPr>
      <t>Column A (Sections 1 &amp; 2)</t>
    </r>
    <r>
      <rPr>
        <sz val="11"/>
        <rFont val="Arial"/>
        <family val="2"/>
      </rPr>
      <t xml:space="preserve">, enter the descriptions of the positions. </t>
    </r>
  </si>
  <si>
    <r>
      <rPr>
        <b/>
        <sz val="11"/>
        <rFont val="Arial"/>
        <family val="2"/>
      </rPr>
      <t>k)</t>
    </r>
    <r>
      <rPr>
        <sz val="11"/>
        <rFont val="Arial"/>
        <family val="2"/>
      </rPr>
      <t xml:space="preserve"> </t>
    </r>
    <r>
      <rPr>
        <b/>
        <sz val="11"/>
        <rFont val="Arial"/>
        <family val="2"/>
      </rPr>
      <t>Cell B74</t>
    </r>
    <r>
      <rPr>
        <sz val="11"/>
        <rFont val="Arial"/>
        <family val="2"/>
      </rPr>
      <t xml:space="preserve"> totals the Medicare expense from Section 1 and Section 2 and populates </t>
    </r>
    <r>
      <rPr>
        <b/>
        <sz val="11"/>
        <rFont val="Arial"/>
        <family val="2"/>
      </rPr>
      <t>Row 74</t>
    </r>
    <r>
      <rPr>
        <sz val="11"/>
        <rFont val="Arial"/>
        <family val="2"/>
      </rPr>
      <t xml:space="preserve"> of the</t>
    </r>
    <r>
      <rPr>
        <b/>
        <sz val="11"/>
        <rFont val="Arial"/>
        <family val="2"/>
      </rPr>
      <t xml:space="preserve"> Budget with Assumptions</t>
    </r>
    <r>
      <rPr>
        <sz val="11"/>
        <rFont val="Arial"/>
        <family val="2"/>
      </rPr>
      <t xml:space="preserve"> worksheet.</t>
    </r>
  </si>
  <si>
    <r>
      <rPr>
        <b/>
        <sz val="11"/>
        <rFont val="Arial"/>
        <family val="2"/>
      </rPr>
      <t>l)</t>
    </r>
    <r>
      <rPr>
        <sz val="11"/>
        <rFont val="Arial"/>
        <family val="2"/>
      </rPr>
      <t xml:space="preserve"> </t>
    </r>
    <r>
      <rPr>
        <b/>
        <sz val="11"/>
        <rFont val="Arial"/>
        <family val="2"/>
      </rPr>
      <t>Cell B80</t>
    </r>
    <r>
      <rPr>
        <sz val="11"/>
        <rFont val="Arial"/>
        <family val="2"/>
      </rPr>
      <t xml:space="preserve"> totals the number of employees from Section 1 and Section 2 and populates </t>
    </r>
    <r>
      <rPr>
        <b/>
        <sz val="11"/>
        <rFont val="Arial"/>
        <family val="2"/>
      </rPr>
      <t>Row 175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</si>
  <si>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j)</t>
    </r>
    <r>
      <rPr>
        <sz val="11"/>
        <rFont val="Arial"/>
        <family val="2"/>
      </rPr>
      <t xml:space="preserve"> In </t>
    </r>
    <r>
      <rPr>
        <b/>
        <sz val="11"/>
        <rFont val="Arial"/>
        <family val="2"/>
      </rPr>
      <t>Cell B83</t>
    </r>
    <r>
      <rPr>
        <sz val="11"/>
        <rFont val="Arial"/>
        <family val="2"/>
      </rPr>
      <t>, enter your school's  estimated fringe benefit % (it cannot include the 11.16% charge for the employer's share of the Chicago Teachers' Pension Fund).</t>
    </r>
  </si>
  <si>
    <t xml:space="preserve">(H) Revenues-Per Capita </t>
  </si>
  <si>
    <r>
      <t>The "</t>
    </r>
    <r>
      <rPr>
        <b/>
        <sz val="11"/>
        <rFont val="Arial"/>
        <family val="2"/>
      </rPr>
      <t>Revenues-Per Capita</t>
    </r>
    <r>
      <rPr>
        <sz val="11"/>
        <rFont val="Arial"/>
        <family val="2"/>
      </rPr>
      <t xml:space="preserve">" worksheet is for the Per Capita Tuition and Non-CPS Facility Supplement. </t>
    </r>
    <r>
      <rPr>
        <b/>
        <i/>
        <sz val="12"/>
        <rFont val="Arial"/>
        <family val="2"/>
      </rPr>
      <t xml:space="preserve">Note: This worksheet contains all </t>
    </r>
    <r>
      <rPr>
        <b/>
        <i/>
        <u val="single"/>
        <sz val="12"/>
        <rFont val="Arial"/>
        <family val="2"/>
      </rPr>
      <t>FIVE</t>
    </r>
    <r>
      <rPr>
        <b/>
        <i/>
        <sz val="12"/>
        <rFont val="Arial"/>
        <family val="2"/>
      </rPr>
      <t xml:space="preserve"> fiscal years after the Incubation year. The first year is from Columns A-E, and the last fiscal year is from Columns X-AB.</t>
    </r>
  </si>
  <si>
    <r>
      <rPr>
        <b/>
        <sz val="11"/>
        <rFont val="Arial"/>
        <family val="2"/>
      </rPr>
      <t>(d)</t>
    </r>
    <r>
      <rPr>
        <sz val="11"/>
        <rFont val="Arial"/>
        <family val="2"/>
      </rPr>
      <t xml:space="preserve"> English Language Learners (Federal and State)</t>
    </r>
  </si>
  <si>
    <t>Please use this worksheet to show any calculations for your budget.</t>
  </si>
  <si>
    <t>Rate for 100 or more ELL students</t>
  </si>
  <si>
    <t>Rate for 250 or more ELL students</t>
  </si>
  <si>
    <t>Property Insurance</t>
  </si>
  <si>
    <t>Liability Insurance</t>
  </si>
  <si>
    <t>Directors and Officers' Insurance</t>
  </si>
  <si>
    <t>Automobile Insurance</t>
  </si>
  <si>
    <t>Indemnity Insurance</t>
  </si>
  <si>
    <t>Other Insurance</t>
  </si>
  <si>
    <t>Section # 1                                FY 2018 (Incubation Year -Staffing )</t>
  </si>
  <si>
    <t xml:space="preserve">SECTION # 1                                             FY 2019 (1st Year of Operation ) </t>
  </si>
  <si>
    <t xml:space="preserve">SECTION # 1                                             FY 2020 (2nd Year of Operation ) </t>
  </si>
  <si>
    <t xml:space="preserve">SECTION # 1                                             FY 2021 (3rd Year of Operation ) </t>
  </si>
  <si>
    <t xml:space="preserve">SECTION # 1                                             FY 2022 (4th Year of Operation ) </t>
  </si>
  <si>
    <t xml:space="preserve">SECTION # 1                                             FY 2023 (5th Year of Operation ) </t>
  </si>
  <si>
    <t>Incubation Year (Fiscal Year Ending 6/30/18)</t>
  </si>
  <si>
    <t>Transportation Services</t>
  </si>
  <si>
    <t>Fee is calculated by multiplying the total of the Per Capita and SGSA revenues by 3% plus ELL revenues by 2.67%.</t>
  </si>
  <si>
    <t>2017 RFP Budget Instructions</t>
  </si>
  <si>
    <t>All budgeted revenues funded by CPS are ESTIMATES, and are NOT guarantees of future funding. All future funding is subject to Board approval. All fees charged by CPS are ESTIMATES only.</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</si>
  <si>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2018</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2019</t>
    </r>
    <r>
      <rPr>
        <sz val="11"/>
        <rFont val="Arial"/>
        <family val="2"/>
      </rPr>
      <t>.</t>
    </r>
  </si>
  <si>
    <r>
      <rPr>
        <b/>
        <sz val="11"/>
        <rFont val="Arial"/>
        <family val="2"/>
      </rPr>
      <t>b)</t>
    </r>
    <r>
      <rPr>
        <sz val="11"/>
        <rFont val="Arial"/>
        <family val="2"/>
      </rPr>
      <t xml:space="preserve"> In </t>
    </r>
    <r>
      <rPr>
        <b/>
        <sz val="11"/>
        <rFont val="Arial"/>
        <family val="2"/>
      </rPr>
      <t>Column B (Sections 1 &amp; 2)</t>
    </r>
    <r>
      <rPr>
        <sz val="11"/>
        <rFont val="Arial"/>
        <family val="2"/>
      </rPr>
      <t xml:space="preserve">, enter the number of staff per position. Please note that Special Education Teachers and Teacher Aides are highlighted in Cells </t>
    </r>
    <r>
      <rPr>
        <b/>
        <sz val="11"/>
        <rFont val="Arial"/>
        <family val="2"/>
      </rPr>
      <t>B27</t>
    </r>
    <r>
      <rPr>
        <sz val="11"/>
        <rFont val="Arial"/>
        <family val="2"/>
      </rPr>
      <t xml:space="preserve"> and </t>
    </r>
    <r>
      <rPr>
        <b/>
        <sz val="11"/>
        <rFont val="Arial"/>
        <family val="2"/>
      </rPr>
      <t>B28</t>
    </r>
    <r>
      <rPr>
        <sz val="11"/>
        <rFont val="Arial"/>
        <family val="2"/>
      </rPr>
      <t xml:space="preserve"> beginning in Year 1. If allocated/approved by CPS (based on a student's IEP's), </t>
    </r>
    <r>
      <rPr>
        <b/>
        <i/>
        <sz val="11"/>
        <rFont val="Arial"/>
        <family val="2"/>
      </rPr>
      <t>the salaries and fringe benefits for special education teachers and aides are multiplied by 96% to estimate the special education revenues.</t>
    </r>
    <r>
      <rPr>
        <sz val="11"/>
        <rFont val="Arial"/>
        <family val="2"/>
      </rPr>
      <t xml:space="preserve"> The revenues will automatically be calculated in this this template.  Clinicians/Related Service Providers (i.e., psychologist, social worker, nurse, speech pathologist, occupational therapist, and physical therapist) are reimbursable upon approval; however, at this stage in the RFP process, none should be budgeted.                </t>
    </r>
  </si>
  <si>
    <r>
      <rPr>
        <b/>
        <sz val="11"/>
        <rFont val="Arial"/>
        <family val="2"/>
      </rPr>
      <t>m)</t>
    </r>
    <r>
      <rPr>
        <sz val="11"/>
        <rFont val="Arial"/>
        <family val="2"/>
      </rPr>
      <t xml:space="preserve"> The total for the special education revenues (</t>
    </r>
    <r>
      <rPr>
        <b/>
        <sz val="11"/>
        <rFont val="Arial"/>
        <family val="2"/>
      </rPr>
      <t>B92 + B97</t>
    </r>
    <r>
      <rPr>
        <sz val="11"/>
        <rFont val="Arial"/>
        <family val="2"/>
      </rPr>
      <t xml:space="preserve">) is calculated in </t>
    </r>
    <r>
      <rPr>
        <b/>
        <sz val="11"/>
        <rFont val="Arial"/>
        <family val="2"/>
      </rPr>
      <t xml:space="preserve">Cell B100, </t>
    </r>
    <r>
      <rPr>
        <sz val="11"/>
        <rFont val="Arial"/>
        <family val="2"/>
      </rPr>
      <t xml:space="preserve">and populates </t>
    </r>
    <r>
      <rPr>
        <b/>
        <sz val="11"/>
        <rFont val="Arial"/>
        <family val="2"/>
      </rPr>
      <t>Row 21</t>
    </r>
    <r>
      <rPr>
        <sz val="11"/>
        <rFont val="Arial"/>
        <family val="2"/>
      </rPr>
      <t xml:space="preserve"> of the</t>
    </r>
    <r>
      <rPr>
        <b/>
        <sz val="11"/>
        <rFont val="Arial"/>
        <family val="2"/>
      </rPr>
      <t xml:space="preserve"> Budget with Assumptions </t>
    </r>
    <r>
      <rPr>
        <sz val="11"/>
        <rFont val="Arial"/>
        <family val="2"/>
      </rPr>
      <t>worksheet.</t>
    </r>
  </si>
  <si>
    <t>The reason for the weighting for the LRE3 students (K-8 and 9-12), and LRE2 students (9-12) is because they are spending less time in the classroom for general instruction, and the SBB funding is weighted accordingly to reflect that. However, it should be noted that CPS funds charter and contract schools for Special Education Teachers, Special Education Teacher Aides, and Clinicians/Related Service Providers based on the students' IEP's.</t>
  </si>
  <si>
    <r>
      <t xml:space="preserve">In </t>
    </r>
    <r>
      <rPr>
        <b/>
        <sz val="11"/>
        <rFont val="Arial"/>
        <family val="2"/>
      </rPr>
      <t>Row 106</t>
    </r>
    <r>
      <rPr>
        <sz val="11"/>
        <rFont val="Arial"/>
        <family val="2"/>
      </rPr>
      <t xml:space="preserve">, the CPS Administrative Fee (cost to the District) is computed. The fee is 3% of the following revenues: (1) Per capita revenues (SBB and Non-SBB), (2) SGSA, and (3)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</si>
  <si>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This section is only for schools that are projecting </t>
    </r>
    <r>
      <rPr>
        <b/>
        <i/>
        <u val="single"/>
        <sz val="12"/>
        <rFont val="Arial"/>
        <family val="2"/>
      </rPr>
      <t>20-99</t>
    </r>
    <r>
      <rPr>
        <b/>
        <i/>
        <sz val="12"/>
        <rFont val="Arial"/>
        <family val="2"/>
      </rPr>
      <t xml:space="preserve"> </t>
    </r>
    <r>
      <rPr>
        <b/>
        <sz val="12"/>
        <rFont val="Arial"/>
        <family val="2"/>
      </rPr>
      <t>ELL students in any fiscal year.</t>
    </r>
  </si>
  <si>
    <t>(I) Revenues-Federal &amp; State</t>
  </si>
  <si>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143</t>
    </r>
    <r>
      <rPr>
        <sz val="11"/>
        <rFont val="Arial"/>
        <family val="2"/>
      </rPr>
      <t>.</t>
    </r>
  </si>
  <si>
    <t>Enter the number of ELL students that you are projecting. It can only be from 20 to 99 students. If you are projecting less than 20 ELL students, "0" should be entered.</t>
  </si>
  <si>
    <t>Rate for 20-99 ELL Students</t>
  </si>
  <si>
    <t>l) In Rows 90-92 and 95-97, calculations are made to see if the revenues for special education teachers and aides are more than the estimated cap. For special education teachers, the average salaries and benefits cannot exceed $90,000 and for special education teacher aides it cannot exceed $40,000. If it does exceed the aforementioned amounts, the caps will be calculated for the special education revenues. The revenues for special education teachers and aides are calculated in Cells B92 and B97 respectively.</t>
  </si>
  <si>
    <t>a) Revenues - Most of the cells are pre-populated with amounts from the "Revenues-Per Capita" and the "Revenues-Federal &amp; State." worksheets. For the other revenues, please hard code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</si>
  <si>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t>Projected % of Students Qualifying for Temporary Assistance for Needy Families (TANF)</t>
  </si>
  <si>
    <t># of Students Qualifying for TANF</t>
  </si>
  <si>
    <t>Title I Eligible Students [(FRL x 60%)+(TANF x 40%)]</t>
  </si>
  <si>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 In </t>
    </r>
    <r>
      <rPr>
        <b/>
        <sz val="11"/>
        <rFont val="Arial"/>
        <family val="2"/>
      </rPr>
      <t>Row 9</t>
    </r>
    <r>
      <rPr>
        <sz val="11"/>
        <rFont val="Arial"/>
        <family val="2"/>
      </rPr>
      <t xml:space="preserve"> is the total enrollment (populated from the</t>
    </r>
    <r>
      <rPr>
        <b/>
        <sz val="11"/>
        <rFont val="Arial"/>
        <family val="2"/>
      </rPr>
      <t xml:space="preserve"> Revenues: Per Capita </t>
    </r>
    <r>
      <rPr>
        <sz val="11"/>
        <rFont val="Arial"/>
        <family val="2"/>
      </rPr>
      <t xml:space="preserve">worksheet). In </t>
    </r>
    <r>
      <rPr>
        <b/>
        <sz val="11"/>
        <rFont val="Arial"/>
        <family val="2"/>
      </rPr>
      <t>Row 10</t>
    </r>
    <r>
      <rPr>
        <sz val="11"/>
        <rFont val="Arial"/>
        <family val="2"/>
      </rPr>
      <t xml:space="preserve"> is the </t>
    </r>
    <r>
      <rPr>
        <b/>
        <sz val="11"/>
        <rFont val="Arial"/>
        <family val="2"/>
      </rPr>
      <t>estimated</t>
    </r>
    <r>
      <rPr>
        <sz val="11"/>
        <rFont val="Arial"/>
        <family val="2"/>
      </rPr>
      <t xml:space="preserve"> average FRL % (to be entered by applicant).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</si>
  <si>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(b) Federal Title1 Revenue (Rows 16-25)</t>
    </r>
    <r>
      <rPr>
        <sz val="11"/>
        <rFont val="Arial"/>
        <family val="2"/>
      </rPr>
      <t xml:space="preserve"> -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 xml:space="preserve">Row 20, </t>
    </r>
    <r>
      <rPr>
        <sz val="11"/>
        <rFont val="Arial"/>
        <family val="2"/>
      </rPr>
      <t xml:space="preserve">you will enter your school's projected percent of TANF eligible students. </t>
    </r>
    <r>
      <rPr>
        <b/>
        <sz val="11"/>
        <rFont val="Arial"/>
        <family val="2"/>
      </rPr>
      <t xml:space="preserve">Row 21 </t>
    </r>
    <r>
      <rPr>
        <sz val="11"/>
        <rFont val="Arial"/>
        <family val="2"/>
      </rPr>
      <t xml:space="preserve">will populate the number of TANF eligible students. In </t>
    </r>
    <r>
      <rPr>
        <b/>
        <sz val="11"/>
        <rFont val="Arial"/>
        <family val="2"/>
      </rPr>
      <t>Row 22</t>
    </r>
    <r>
      <rPr>
        <sz val="11"/>
        <rFont val="Arial"/>
        <family val="2"/>
      </rPr>
      <t xml:space="preserve"> is the calculation (</t>
    </r>
    <r>
      <rPr>
        <b/>
        <sz val="11"/>
        <rFont val="Arial"/>
        <family val="2"/>
      </rPr>
      <t>60% of Row 19 plus 40% of Row 21</t>
    </r>
    <r>
      <rPr>
        <sz val="11"/>
        <rFont val="Arial"/>
        <family val="2"/>
      </rPr>
      <t xml:space="preserve">) for the number of Title 1 eligible students. In </t>
    </r>
    <r>
      <rPr>
        <b/>
        <sz val="11"/>
        <rFont val="Arial"/>
        <family val="2"/>
      </rPr>
      <t>Row 23</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</si>
  <si>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Row 24</t>
    </r>
    <r>
      <rPr>
        <sz val="11"/>
        <rFont val="Arial"/>
        <family val="2"/>
      </rPr>
      <t xml:space="preserve">, the rate per eligible Title 1 student is calculated. The base rate is $579 if 40% or more is calculated in </t>
    </r>
    <r>
      <rPr>
        <b/>
        <sz val="11"/>
        <rFont val="Arial"/>
        <family val="2"/>
      </rPr>
      <t>Row 23</t>
    </r>
    <r>
      <rPr>
        <sz val="11"/>
        <rFont val="Arial"/>
        <family val="2"/>
      </rPr>
      <t xml:space="preserve">. For each percentage point over 40%, $23 is added to the base rate of $579. For example, if 50% was calculated in </t>
    </r>
    <r>
      <rPr>
        <b/>
        <sz val="11"/>
        <rFont val="Arial"/>
        <family val="2"/>
      </rPr>
      <t>Row 23</t>
    </r>
    <r>
      <rPr>
        <sz val="11"/>
        <rFont val="Arial"/>
        <family val="2"/>
      </rPr>
      <t xml:space="preserve">, the rate would be $809 ($579 base rate + (10 </t>
    </r>
    <r>
      <rPr>
        <i/>
        <sz val="10"/>
        <rFont val="Calibri"/>
        <family val="2"/>
      </rPr>
      <t>(50-40)</t>
    </r>
    <r>
      <rPr>
        <sz val="11"/>
        <rFont val="Arial"/>
        <family val="2"/>
      </rPr>
      <t xml:space="preserve"> x $23) or $230.</t>
    </r>
  </si>
  <si>
    <r>
      <t xml:space="preserve">In </t>
    </r>
    <r>
      <rPr>
        <b/>
        <sz val="11"/>
        <rFont val="Arial"/>
        <family val="2"/>
      </rPr>
      <t>Row 25</t>
    </r>
    <r>
      <rPr>
        <sz val="11"/>
        <rFont val="Arial"/>
        <family val="2"/>
      </rPr>
      <t>, the total Title 1 revenue is calculated by taking the Title 1 eligible enrollment (</t>
    </r>
    <r>
      <rPr>
        <b/>
        <sz val="11"/>
        <rFont val="Arial"/>
        <family val="2"/>
      </rPr>
      <t>Row 22</t>
    </r>
    <r>
      <rPr>
        <sz val="11"/>
        <rFont val="Arial"/>
        <family val="2"/>
      </rPr>
      <t xml:space="preserve">) times the rate in </t>
    </r>
    <r>
      <rPr>
        <b/>
        <sz val="11"/>
        <rFont val="Arial"/>
        <family val="2"/>
      </rPr>
      <t>Row 24</t>
    </r>
    <r>
      <rPr>
        <sz val="11"/>
        <rFont val="Arial"/>
        <family val="2"/>
      </rPr>
      <t>.</t>
    </r>
    <r>
      <rPr>
        <b/>
        <sz val="11"/>
        <rFont val="Arial"/>
        <family val="2"/>
      </rPr>
      <t xml:space="preserve"> Row 25</t>
    </r>
    <r>
      <rPr>
        <sz val="11"/>
        <rFont val="Arial"/>
        <family val="2"/>
      </rPr>
      <t xml:space="preserve"> populates </t>
    </r>
    <r>
      <rPr>
        <b/>
        <sz val="11"/>
        <rFont val="Arial"/>
        <family val="2"/>
      </rPr>
      <t>Row 19</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</si>
  <si>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(c) Federal Title 2 Revenue (Rows 28-31) - </t>
    </r>
    <r>
      <rPr>
        <sz val="11"/>
        <rFont val="Arial"/>
        <family val="2"/>
      </rPr>
      <t>This will calculate automatically by multiplying the estimated rate (</t>
    </r>
    <r>
      <rPr>
        <b/>
        <sz val="11"/>
        <rFont val="Arial"/>
        <family val="2"/>
      </rPr>
      <t>Row 30</t>
    </r>
    <r>
      <rPr>
        <sz val="11"/>
        <rFont val="Arial"/>
        <family val="2"/>
      </rPr>
      <t xml:space="preserve">) of </t>
    </r>
    <r>
      <rPr>
        <b/>
        <sz val="11"/>
        <rFont val="Arial"/>
        <family val="2"/>
      </rPr>
      <t xml:space="preserve">$70 </t>
    </r>
    <r>
      <rPr>
        <sz val="11"/>
        <rFont val="Arial"/>
        <family val="2"/>
      </rPr>
      <t>per student by the total enrollment (</t>
    </r>
    <r>
      <rPr>
        <b/>
        <sz val="11"/>
        <rFont val="Arial"/>
        <family val="2"/>
      </rPr>
      <t>Row 29</t>
    </r>
    <r>
      <rPr>
        <sz val="11"/>
        <rFont val="Arial"/>
        <family val="2"/>
      </rPr>
      <t>). The total Title 2 revenue (</t>
    </r>
    <r>
      <rPr>
        <b/>
        <sz val="11"/>
        <rFont val="Arial"/>
        <family val="2"/>
      </rPr>
      <t>Row 31</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t>
    </r>
  </si>
  <si>
    <r>
      <t>(</t>
    </r>
    <r>
      <rPr>
        <b/>
        <sz val="11"/>
        <rFont val="Arial"/>
        <family val="2"/>
      </rPr>
      <t>d) English Language Learners (ELL) State and Federal Revenues (Rows 47-75)</t>
    </r>
    <r>
      <rPr>
        <sz val="11"/>
        <rFont val="Arial"/>
        <family val="2"/>
      </rPr>
      <t xml:space="preserve"> - For </t>
    </r>
    <r>
      <rPr>
        <b/>
        <u val="single"/>
        <sz val="11"/>
        <rFont val="Arial"/>
        <family val="2"/>
      </rPr>
      <t>State funding</t>
    </r>
    <r>
      <rPr>
        <sz val="11"/>
        <rFont val="Arial"/>
        <family val="2"/>
      </rPr>
      <t xml:space="preserve">, in </t>
    </r>
    <r>
      <rPr>
        <b/>
        <sz val="11"/>
        <rFont val="Arial"/>
        <family val="2"/>
      </rPr>
      <t>Row 49</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100 or more</t>
    </r>
    <r>
      <rPr>
        <sz val="11"/>
        <rFont val="Arial"/>
        <family val="2"/>
      </rPr>
      <t xml:space="preserve"> in any fiscal year; otherwise leave</t>
    </r>
    <r>
      <rPr>
        <b/>
        <sz val="11"/>
        <rFont val="Arial"/>
        <family val="2"/>
      </rPr>
      <t xml:space="preserve"> blank or enter "0"</t>
    </r>
    <r>
      <rPr>
        <sz val="11"/>
        <rFont val="Arial"/>
        <family val="2"/>
      </rPr>
      <t xml:space="preserve">. In </t>
    </r>
    <r>
      <rPr>
        <b/>
        <sz val="11"/>
        <rFont val="Arial"/>
        <family val="2"/>
      </rPr>
      <t>Row 54</t>
    </r>
    <r>
      <rPr>
        <sz val="11"/>
        <rFont val="Arial"/>
        <family val="2"/>
      </rPr>
      <t xml:space="preserve">, enter </t>
    </r>
    <r>
      <rPr>
        <b/>
        <sz val="11"/>
        <rFont val="Arial"/>
        <family val="2"/>
      </rPr>
      <t>20-99</t>
    </r>
    <r>
      <rPr>
        <sz val="11"/>
        <rFont val="Arial"/>
        <family val="2"/>
      </rPr>
      <t xml:space="preserve"> only if you are projecting to have an ELL enrollment of </t>
    </r>
    <r>
      <rPr>
        <b/>
        <sz val="11"/>
        <rFont val="Arial"/>
        <family val="2"/>
      </rPr>
      <t>20-99;</t>
    </r>
    <r>
      <rPr>
        <sz val="11"/>
        <rFont val="Arial"/>
        <family val="2"/>
      </rPr>
      <t xml:space="preserve"> otherwise, leave </t>
    </r>
    <r>
      <rPr>
        <b/>
        <sz val="11"/>
        <rFont val="Arial"/>
        <family val="2"/>
      </rPr>
      <t>blank or enter "0"</t>
    </r>
    <r>
      <rPr>
        <sz val="11"/>
        <rFont val="Arial"/>
        <family val="2"/>
      </rPr>
      <t xml:space="preserve">.                                                                                                                    For </t>
    </r>
    <r>
      <rPr>
        <b/>
        <u val="single"/>
        <sz val="11"/>
        <rFont val="Arial"/>
        <family val="2"/>
      </rPr>
      <t>Federal funding</t>
    </r>
    <r>
      <rPr>
        <sz val="11"/>
        <rFont val="Arial"/>
        <family val="2"/>
      </rPr>
      <t xml:space="preserve">,  in </t>
    </r>
    <r>
      <rPr>
        <b/>
        <sz val="11"/>
        <rFont val="Arial"/>
        <family val="2"/>
      </rPr>
      <t>Row 61</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250 or more</t>
    </r>
    <r>
      <rPr>
        <sz val="11"/>
        <rFont val="Arial"/>
        <family val="2"/>
      </rPr>
      <t xml:space="preserve"> in any fiscal year; otherwise </t>
    </r>
    <r>
      <rPr>
        <b/>
        <sz val="11"/>
        <rFont val="Arial"/>
        <family val="2"/>
      </rPr>
      <t>leave blank or enter "0"</t>
    </r>
    <r>
      <rPr>
        <sz val="11"/>
        <rFont val="Arial"/>
        <family val="2"/>
      </rPr>
      <t xml:space="preserve">. In </t>
    </r>
    <r>
      <rPr>
        <b/>
        <sz val="11"/>
        <rFont val="Arial"/>
        <family val="2"/>
      </rPr>
      <t>Row 67</t>
    </r>
    <r>
      <rPr>
        <sz val="11"/>
        <rFont val="Arial"/>
        <family val="2"/>
      </rPr>
      <t xml:space="preserve">, enter </t>
    </r>
    <r>
      <rPr>
        <b/>
        <sz val="11"/>
        <rFont val="Arial"/>
        <family val="2"/>
      </rPr>
      <t>20-249</t>
    </r>
    <r>
      <rPr>
        <sz val="11"/>
        <rFont val="Arial"/>
        <family val="2"/>
      </rPr>
      <t xml:space="preserve"> only if you are projecting to have an ELL enrollment of </t>
    </r>
    <r>
      <rPr>
        <b/>
        <sz val="11"/>
        <rFont val="Arial"/>
        <family val="2"/>
      </rPr>
      <t>20-249</t>
    </r>
    <r>
      <rPr>
        <sz val="11"/>
        <rFont val="Arial"/>
        <family val="2"/>
      </rPr>
      <t xml:space="preserve">; otherwise, </t>
    </r>
    <r>
      <rPr>
        <b/>
        <sz val="11"/>
        <rFont val="Arial"/>
        <family val="2"/>
      </rPr>
      <t xml:space="preserve">leave bank or enter "0".                                                                                                               </t>
    </r>
    <r>
      <rPr>
        <sz val="11"/>
        <rFont val="Arial"/>
        <family val="2"/>
      </rPr>
      <t xml:space="preserve">                                                                             </t>
    </r>
    <r>
      <rPr>
        <b/>
        <sz val="11"/>
        <rFont val="Arial"/>
        <family val="2"/>
      </rPr>
      <t>Row 75</t>
    </r>
    <r>
      <rPr>
        <sz val="11"/>
        <rFont val="Arial"/>
        <family val="2"/>
      </rPr>
      <t xml:space="preserve"> totals the State and Federal ELL funding and populates </t>
    </r>
    <r>
      <rPr>
        <b/>
        <sz val="11"/>
        <rFont val="Arial"/>
        <family val="2"/>
      </rPr>
      <t>Row 20</t>
    </r>
    <r>
      <rPr>
        <sz val="11"/>
        <rFont val="Arial"/>
        <family val="2"/>
      </rPr>
      <t xml:space="preserve"> of the </t>
    </r>
    <r>
      <rPr>
        <b/>
        <sz val="11"/>
        <rFont val="Arial"/>
        <family val="2"/>
      </rPr>
      <t>Budget with Assumptions</t>
    </r>
    <r>
      <rPr>
        <sz val="11"/>
        <rFont val="Arial"/>
        <family val="2"/>
      </rPr>
      <t xml:space="preserve"> worksheet.                                                                                                                                     </t>
    </r>
    <r>
      <rPr>
        <b/>
        <i/>
        <u val="single"/>
        <sz val="11"/>
        <rFont val="Arial"/>
        <family val="2"/>
      </rPr>
      <t>Note 1: If you are unsure if you will have an ELL population at this time, it is recommended that you leave this section blank</t>
    </r>
    <r>
      <rPr>
        <i/>
        <sz val="11"/>
        <rFont val="Arial"/>
        <family val="2"/>
      </rPr>
      <t>.</t>
    </r>
    <r>
      <rPr>
        <sz val="11"/>
        <rFont val="Arial"/>
        <family val="2"/>
      </rPr>
      <t xml:space="preserve">                                                                                              </t>
    </r>
    <r>
      <rPr>
        <b/>
        <i/>
        <u val="single"/>
        <sz val="11"/>
        <rFont val="Arial"/>
        <family val="2"/>
      </rPr>
      <t>Note 2: Please see the attachment for an overview of ELL Funding.</t>
    </r>
  </si>
  <si>
    <t>Principal: Lower Grades</t>
  </si>
  <si>
    <t>School Counselor</t>
  </si>
  <si>
    <t>Office Manager</t>
  </si>
  <si>
    <t>Facilities Manager</t>
  </si>
  <si>
    <t>Part Time Latin Teacher</t>
  </si>
  <si>
    <t>Estimate 60% will receive financial aid</t>
  </si>
  <si>
    <t>Deferring Category 2 in 2020 to 2021</t>
  </si>
  <si>
    <t>ISBE Grant</t>
  </si>
  <si>
    <t>Federal Nutrition Reimbursement</t>
  </si>
  <si>
    <t>Other School Lunch Reimbursement</t>
  </si>
  <si>
    <t>Summer School</t>
  </si>
  <si>
    <t>Assumes 50% of the non-FRL students opt in</t>
  </si>
  <si>
    <t>2 classes, 20 students, $150 student fee</t>
  </si>
  <si>
    <t>$100 per comparable BCSI school</t>
  </si>
  <si>
    <t>$80 per comparable BCSI school</t>
  </si>
  <si>
    <t>$20 per comparable BCSI school</t>
  </si>
  <si>
    <t>$0 per comparable BCSI school</t>
  </si>
  <si>
    <t>30 Chromebooks @ $500/computer</t>
  </si>
  <si>
    <t>$2,850/classroom, $150/used classroom</t>
  </si>
  <si>
    <t>Instructional Supplies</t>
  </si>
  <si>
    <t>Food Service</t>
  </si>
  <si>
    <t>Field Trips</t>
  </si>
  <si>
    <t>Workbooks &amp; consumable educational supplies</t>
  </si>
  <si>
    <t>176 instructional days: B: 2.20, L:3.45, Snack: 0.95</t>
  </si>
  <si>
    <t xml:space="preserve">4 trips per class annually </t>
  </si>
  <si>
    <t>2 teachers paid $1,000 each</t>
  </si>
  <si>
    <t>5% matching for non-CTPF contributions, fees</t>
  </si>
  <si>
    <t>CTPF, SPED Teachers, full time admin: $6k plan</t>
  </si>
  <si>
    <t>1% of salaries</t>
  </si>
  <si>
    <t>5% of non-CTPF salaries</t>
  </si>
  <si>
    <t>Hires will be referred through internal networks</t>
  </si>
  <si>
    <t>$1000/teacher. BCSI provides free development</t>
  </si>
  <si>
    <t>$8000 annually per comparable BCSI school</t>
  </si>
  <si>
    <t>5 instructional days per teacher at $190 each</t>
  </si>
  <si>
    <t>$22/pupil per comparable BCSI school</t>
  </si>
  <si>
    <t>5 office spaces $1K each, contingencies fut yrs.</t>
  </si>
  <si>
    <t>Install Summer 2018, $6k phone,  $16.8k internet</t>
  </si>
  <si>
    <t>$23K + $6K per comparable Chicago Charter</t>
  </si>
  <si>
    <t>$10K/yr per comparable BCSI school</t>
  </si>
  <si>
    <t>Platinum Paylocity Package</t>
  </si>
  <si>
    <t>$65/pupil per comparable BCSI school</t>
  </si>
  <si>
    <t>$500 per comparable BCSI school</t>
  </si>
  <si>
    <t xml:space="preserve">Consultants: ERATE ($4.5k) Budget ($2-3k) ann. </t>
  </si>
  <si>
    <t>Considers teacher development travel</t>
  </si>
  <si>
    <t>Asset Tracking</t>
  </si>
  <si>
    <t>$5K YR1, $500 thereafter per quote</t>
  </si>
  <si>
    <t>Quoted by IFF</t>
  </si>
  <si>
    <t>Asbestos Inspection and Management</t>
  </si>
  <si>
    <t>lnitial $10k and $5k every three years thereafter</t>
  </si>
  <si>
    <t>$10,000 Y1, $2,000 thereafter</t>
  </si>
  <si>
    <t>Chicago Classical Academy</t>
  </si>
  <si>
    <t>Section</t>
  </si>
  <si>
    <t>Item</t>
  </si>
  <si>
    <t>Rationale</t>
  </si>
  <si>
    <t>Reference Person</t>
  </si>
  <si>
    <t>Contact Phone</t>
  </si>
  <si>
    <t>Contact Email</t>
  </si>
  <si>
    <t>Assumption</t>
  </si>
  <si>
    <t>Enrollment</t>
  </si>
  <si>
    <t>Assumes "Aggressive" scenario is achievable given comparable Barney Charter School Initiatve (BSCI) enrollment strength (100% in year 1 for K-5 in many cases). Increased enrollment would have a positive impact on CCA financials.</t>
  </si>
  <si>
    <t>Phillip Kilgore</t>
  </si>
  <si>
    <t>517-607-2307</t>
  </si>
  <si>
    <t xml:space="preserve">pkilgore@hillsdale.edu </t>
  </si>
  <si>
    <t>Classrooms</t>
  </si>
  <si>
    <t>Assumes maximum class sizes of 28.</t>
  </si>
  <si>
    <t>Est% of Students Eligible for FRL</t>
  </si>
  <si>
    <t>Assumes 60% based on blend of South Loop students and surrounding neighborhoods</t>
  </si>
  <si>
    <t>ELL %</t>
  </si>
  <si>
    <t>Assumes 9.5%, in line with South Loop Elementary.</t>
  </si>
  <si>
    <t>Diverse Learner Students</t>
  </si>
  <si>
    <t xml:space="preserve">Assumes 13% based on the National Center for Education Statistics 2013-14 study </t>
  </si>
  <si>
    <t>Revenue</t>
  </si>
  <si>
    <t>CPS Per Capita</t>
  </si>
  <si>
    <t>Assumes rates from 2017 RFP template. Our understanding is the final rates are released late June/July.</t>
  </si>
  <si>
    <t>Assumes SGSA rate from 2017 RFP template.</t>
  </si>
  <si>
    <t>ELL (Title 3)</t>
  </si>
  <si>
    <t>Assumes rates from 2017 RFP template.</t>
  </si>
  <si>
    <t>Special Education</t>
  </si>
  <si>
    <t xml:space="preserve">Assumes full reimbursement of SPED teacher + assistant  exepenses. </t>
  </si>
  <si>
    <t>Josh Marder</t>
  </si>
  <si>
    <t>773-582-1100 x11</t>
  </si>
  <si>
    <t>jmarder@agcchicago.org</t>
  </si>
  <si>
    <t>Assumes grant successfully obtained. ISBE presentation indicates the initial $150k must be applied towards teacher/curriculum development.  The subsequent $400,000 must be applied towards broader development.</t>
  </si>
  <si>
    <t>Claudia Quezada</t>
  </si>
  <si>
    <t>312-814-1613</t>
  </si>
  <si>
    <t>cquezada@isbe.net</t>
  </si>
  <si>
    <t>Title 1</t>
  </si>
  <si>
    <t>Title 2</t>
  </si>
  <si>
    <t>Federal Nutrition Reimbursement (Gov)</t>
  </si>
  <si>
    <t xml:space="preserve">Assumes 100% reimbursement of free and reduced meals. </t>
  </si>
  <si>
    <t>ERATE</t>
  </si>
  <si>
    <t>Assumptions based on consultation with ERATE consultant (Jane Kratochvil)</t>
  </si>
  <si>
    <t>Jane Kratochvil</t>
  </si>
  <si>
    <t>773-412-9072</t>
  </si>
  <si>
    <t>jkratochvil@infiniteconnect.net</t>
  </si>
  <si>
    <t xml:space="preserve">Assumes $150 per student. Assumes 60% of students qualify for need based scholarship. Academy for Global Citizenship (Chicago charter) assumes $50/all students in higher grades.  </t>
  </si>
  <si>
    <t xml:space="preserve">jmarder@agcchicago.org </t>
  </si>
  <si>
    <t>Food Service Revenue (Parents)</t>
  </si>
  <si>
    <t xml:space="preserve">Assumes 50% of non free and reduced lunch students will opt in to food program and parents cover 100% of costs. </t>
  </si>
  <si>
    <t>Assumes two classes per summer, with 20 students in each, $150 student fee per class.</t>
  </si>
  <si>
    <t>Misc Revenue</t>
  </si>
  <si>
    <t>Assumes $0.</t>
  </si>
  <si>
    <t>Expense: Direct Student</t>
  </si>
  <si>
    <t>Classroom Supplies</t>
  </si>
  <si>
    <t>Assumes $100/student, in line with comparable BCSI school. Implies no parental assistance, could potentially have parents assist.  ($200/student KIPP aggregate). Consumable expenses (paper, pencils, scissors).</t>
  </si>
  <si>
    <t>Kim Miller</t>
  </si>
  <si>
    <t>970-214-9340</t>
  </si>
  <si>
    <t>kmiller@goldenviewclassical.org</t>
  </si>
  <si>
    <t>Text &amp; Curriculum</t>
  </si>
  <si>
    <t>Assumes 80/student per comparable BCSI school. Includes lit books given to student and teacher manuals.</t>
  </si>
  <si>
    <t>Assumes $20/student, higher than comparable BCSI schools at $15/student.  Most testing occurs in high school grades. K-5 testing includes: Latin Exam ($5)</t>
  </si>
  <si>
    <t>Assumes $10,000 for first year recruitment.  Academy Global Citizenship student recruitment budget was "minimal."</t>
  </si>
  <si>
    <t>Assumes $0/student, in line with comparable BCSI school.  Low tech model relative to most schools.</t>
  </si>
  <si>
    <t>Technology Equipment</t>
  </si>
  <si>
    <t>Assumes 30 computers necessary for student assessments. 30 computers at $500/computer</t>
  </si>
  <si>
    <t>Assumes $100/student, in line with comparable BSCI school.  Some BCSI models indicating $100-$200/student. $150/student @ KIPP. Includes consumable workbooks and literature.</t>
  </si>
  <si>
    <t xml:space="preserve">Assumes $50/desk x 28 desks = $1,400 + $25/chair x 28 chairs = $700. Teacher: $250 table + 500 Misc. Investigate CPS potential excess supply. </t>
  </si>
  <si>
    <t>Food Service (Gourmet Gorilla)</t>
  </si>
  <si>
    <t xml:space="preserve">Assumes $6.50/day and 176 instructional days. Assumes CCA covers FRL students, but is fully reimbursed by Federal program.  $6.50 includes: Breakfast, lunch, and snack. </t>
  </si>
  <si>
    <t>SPED  Expenses that will NOT be reimbursed by CPS</t>
  </si>
  <si>
    <t>Assumes $0, all SPED expenses are reimbursed.</t>
  </si>
  <si>
    <t>Assumes $5-10k annually.  Buses: $150.  Offset by $5 fee per student. ($20,000 per Josh Marder annually)</t>
  </si>
  <si>
    <t>Assumes two classes per summer, with 20 students in each, $150 student fee per class. Plus $1k per teacher comp.</t>
  </si>
  <si>
    <t>Transportation</t>
  </si>
  <si>
    <t>Assumption pending</t>
  </si>
  <si>
    <t>Expense: Personnel Cost</t>
  </si>
  <si>
    <t>Comparable BCSI schools are 55% of revenue in steady state</t>
  </si>
  <si>
    <t>School's Share of Employer Contribution to CTPF</t>
  </si>
  <si>
    <t>Assuming 100% of full time teachers (including SPED), and principals certified. Assumes 11.16% rate in 2017 RFP.</t>
  </si>
  <si>
    <t>Pension-CTPF(Charter School's Share of 9%)</t>
  </si>
  <si>
    <t xml:space="preserve">Assumes CCA picks up 5% (of the 9%).  Remaining 4% paid by the employee. </t>
  </si>
  <si>
    <t>Assumes CCA contributes 5% into a retirement account for the non-pensionable employees (assuming 4% contribution from employee.  Expense also includes advisory expenses.</t>
  </si>
  <si>
    <t>Adria Siewert</t>
  </si>
  <si>
    <t>630-285-8459</t>
  </si>
  <si>
    <t>asiewert@wealthenhancement.com</t>
  </si>
  <si>
    <t>State Unemployment Tax</t>
  </si>
  <si>
    <t>Assumes 6.2% on the non-CTPF wages.</t>
  </si>
  <si>
    <t>Assumes 1.45% of all personnel salaries.</t>
  </si>
  <si>
    <t xml:space="preserve">Assumes avg monthly healthcare cost for 35 year old employee is $500, $1000 deductable. Provider: OneDigital. </t>
  </si>
  <si>
    <t>Craig Stubler</t>
  </si>
  <si>
    <t>224-257-4074</t>
  </si>
  <si>
    <t>cstubler@onedigital.com</t>
  </si>
  <si>
    <t>Workers Comp</t>
  </si>
  <si>
    <t>Assumes 1% of all salaries, though ultimately will be a buidling specific cost.</t>
  </si>
  <si>
    <t>Assumes $500/teacher for travel to visit the school.</t>
  </si>
  <si>
    <t>Jonathan Stack</t>
  </si>
  <si>
    <t>jstack85@gmail.com</t>
  </si>
  <si>
    <t>Assumes $50k annually. $1000/teacher at comparable BSCI school.  $40-45k/year at Academy Global Citizenship (large percentage of this was IB expenses). BCSI will cover much of this free of charge.</t>
  </si>
  <si>
    <t>Assumes $8,000 per year</t>
  </si>
  <si>
    <t>Assumes five days per teacher per year. Assumes subtitute rate $190/day, $110 half day.</t>
  </si>
  <si>
    <t>Teacher Wages</t>
  </si>
  <si>
    <t>Lead teacher starts at $60k, Junior teacher starts at $47k. TAs start at $20k, 2% annual raise. Academy Global Citizenship: $60k avg starting salary.</t>
  </si>
  <si>
    <t>Expense: Office Administration</t>
  </si>
  <si>
    <t>Assumes $22/student, in line with KIPP budgets. Comparable BSCI schools run at $7 +$14 misc. Includes office supplies for administrators.</t>
  </si>
  <si>
    <t>Assumes 5 offices at $500, staff longue for $1000, 20% contingency in the second year, future $150 contingency</t>
  </si>
  <si>
    <t>Assumes $500/month for phone and inputs for internet quote with MXOTech</t>
  </si>
  <si>
    <t>George Mirov</t>
  </si>
  <si>
    <t>312-212-8091</t>
  </si>
  <si>
    <t>gmirov@mxotech.com</t>
  </si>
  <si>
    <t>Internet Service</t>
  </si>
  <si>
    <t>Assumes $1,400/month based on comparable Chicago chater school.</t>
  </si>
  <si>
    <t>Assumes $10k in incubation, in line with KIPP schools, $23k+$5-6k for hourly work annually per Academy Global Citizenship.</t>
  </si>
  <si>
    <t>Assumes $10k annually, in line with comparable Chicago charter school</t>
  </si>
  <si>
    <t xml:space="preserve">Assumes $5k for first year, $11k therafter (Paylocity Platinum pack) based on comparable Chicago charter school. </t>
  </si>
  <si>
    <t>Assumes $65 per student comparable Chicago charter school. $47 at comparable BCSI school.</t>
  </si>
  <si>
    <t>Assumes $500 annually. 25 cents * 2 stamps * 500 students =$250 + $250 contingency</t>
  </si>
  <si>
    <t>Misc. Outside Services (consulting)</t>
  </si>
  <si>
    <t xml:space="preserve">Assumes oustide service expenses for Erate consultant and budget consultant fees. </t>
  </si>
  <si>
    <t>Nurse Service (Outsourced)</t>
  </si>
  <si>
    <t>Assuming $0.</t>
  </si>
  <si>
    <t>Security Service (Outsourced)</t>
  </si>
  <si>
    <t>Assumes $3,500. Includes leadership travel and professional development travel.</t>
  </si>
  <si>
    <t>Assumes methodology from 2017 RFP template.</t>
  </si>
  <si>
    <t>Assumes $5,000 in incubation and $500 annually thereafter. Vendor: Wisetrack.</t>
  </si>
  <si>
    <t>Sandy Turner</t>
  </si>
  <si>
    <t>800-263-0000 x348</t>
  </si>
  <si>
    <t>s.turner@tvl.com</t>
  </si>
  <si>
    <t>Expense: Occupancy</t>
  </si>
  <si>
    <t>15-18% target steady state.</t>
  </si>
  <si>
    <t>Assumes estimates from IFF feasibility engagement</t>
  </si>
  <si>
    <t>Sarah Kirk</t>
  </si>
  <si>
    <t>312-340-6046</t>
  </si>
  <si>
    <t>skirk@iff.org</t>
  </si>
  <si>
    <t>Asbestos Inspection &amp; Management</t>
  </si>
  <si>
    <t>Assumes initial inspection for $10k and $5k every three years thereafter</t>
  </si>
  <si>
    <t>Debt Service</t>
  </si>
  <si>
    <t>Assumes estimates from IFF feasibility engagement.  Official underwriting will be required to determine the final loan amount. For a leased facility, borrowing capacity may be somewhat lower.</t>
  </si>
  <si>
    <t>Expense: Other</t>
  </si>
  <si>
    <t>Assumes $20k per year. Includes sexual abuse, auto and other insurance</t>
  </si>
  <si>
    <t>Drew Sandler</t>
  </si>
  <si>
    <t>Kamm Insurance</t>
  </si>
  <si>
    <t>Director and Officer Insurance</t>
  </si>
  <si>
    <t>Assumes $2-6K per year</t>
  </si>
  <si>
    <t>Fundraising</t>
  </si>
  <si>
    <t>Lockers</t>
  </si>
  <si>
    <t>Cafeteria Furniture</t>
  </si>
  <si>
    <t>Library Expense</t>
  </si>
  <si>
    <t>800 S Wells Proposal</t>
  </si>
  <si>
    <t>Origination Fee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</si>
</sst>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 numFmtId="181" formatCode="0.00_);\(0.00\)"/>
  </numFmts>
  <fonts count="7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b/>
      <i/>
      <sz val="11"/>
      <name val="Arial"/>
      <family val="2"/>
    </font>
    <font>
      <b/>
      <u val="single"/>
      <sz val="11"/>
      <name val="Arial"/>
      <family val="2"/>
    </font>
    <font>
      <b/>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name val="Times New Roman"/>
      <family val="1"/>
    </font>
    <font>
      <sz val="11"/>
      <name val="Times New Roman"/>
      <family val="1"/>
    </font>
    <font>
      <sz val="11"/>
      <color indexed="8"/>
      <name val="Times New Roman"/>
      <family val="1"/>
    </font>
    <font>
      <b/>
      <sz val="11"/>
      <color indexed="8"/>
      <name val="Times New Roman"/>
      <family val="1"/>
    </font>
    <font>
      <b/>
      <u val="single"/>
      <sz val="11"/>
      <name val="Times New Roman"/>
      <family val="1"/>
    </font>
    <font>
      <b/>
      <u val="single"/>
      <sz val="10"/>
      <name val="Arial"/>
      <family val="2"/>
    </font>
    <font>
      <b/>
      <i/>
      <u val="single"/>
      <sz val="12"/>
      <name val="Arial"/>
      <family val="2"/>
    </font>
    <font>
      <sz val="10"/>
      <name val="Arial Narrow"/>
      <family val="2"/>
    </font>
    <font>
      <u val="single"/>
      <sz val="10"/>
      <name val="Arial Narrow"/>
      <family val="2"/>
    </font>
    <font>
      <b/>
      <sz val="12"/>
      <color indexed="8"/>
      <name val="Calibri"/>
      <family val="2"/>
    </font>
    <font>
      <b/>
      <sz val="10"/>
      <color indexed="8"/>
      <name val="Arial Narrow"/>
      <family val="2"/>
    </font>
    <font>
      <sz val="10"/>
      <color indexed="8"/>
      <name val="Arial Narrow"/>
      <family val="2"/>
    </font>
    <font>
      <u val="single"/>
      <sz val="11"/>
      <color indexed="12"/>
      <name val="Calibri"/>
      <family val="2"/>
    </font>
    <font>
      <u val="single"/>
      <sz val="10"/>
      <color indexed="12"/>
      <name val="Calibri"/>
      <family val="2"/>
    </font>
    <font>
      <u val="single"/>
      <sz val="10"/>
      <color indexed="12"/>
      <name val="Arial Narrow"/>
      <family val="2"/>
    </font>
    <font>
      <u val="single"/>
      <sz val="11"/>
      <color theme="10"/>
      <name val="Calibri"/>
      <family val="2"/>
    </font>
    <font>
      <sz val="11"/>
      <color theme="1"/>
      <name val="Calibri"/>
      <family val="2"/>
    </font>
    <font>
      <b/>
      <sz val="11"/>
      <color theme="1"/>
      <name val="Calibri"/>
      <family val="2"/>
    </font>
    <font>
      <b/>
      <sz val="12"/>
      <color theme="1"/>
      <name val="Calibri"/>
      <family val="2"/>
    </font>
    <font>
      <b/>
      <sz val="10"/>
      <color theme="1"/>
      <name val="Arial Narrow"/>
      <family val="2"/>
    </font>
    <font>
      <sz val="10"/>
      <color theme="1"/>
      <name val="Arial Narrow"/>
      <family val="2"/>
    </font>
    <font>
      <u val="single"/>
      <sz val="10"/>
      <color theme="10"/>
      <name val="Calibri"/>
      <family val="2"/>
    </font>
    <font>
      <u val="single"/>
      <sz val="10"/>
      <color theme="10"/>
      <name val="Arial Narrow"/>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5" tint="0.7999799847602844"/>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thin"/>
      <right style="thin"/>
      <top/>
      <bottom style="thin"/>
    </border>
    <border>
      <left style="medium"/>
      <right>
        <color indexed="63"/>
      </right>
      <top>
        <color indexed="63"/>
      </top>
      <bottom style="medium"/>
    </border>
    <border>
      <left style="medium"/>
      <right style="medium"/>
      <top>
        <color indexed="63"/>
      </top>
      <bottom style="medium"/>
    </border>
    <border>
      <left style="medium"/>
      <right/>
      <top style="medium"/>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right style="medium"/>
      <top style="medium"/>
      <bottom style="medium"/>
    </border>
    <border>
      <left style="medium"/>
      <right style="thin"/>
      <top/>
      <bottom style="thin"/>
    </border>
    <border>
      <left style="medium"/>
      <right style="thin"/>
      <top style="thin"/>
      <bottom/>
    </border>
    <border>
      <left>
        <color indexed="63"/>
      </left>
      <right style="medium"/>
      <top style="medium"/>
      <bottom>
        <color indexed="63"/>
      </bottom>
    </border>
    <border>
      <left/>
      <right style="thin"/>
      <top/>
      <bottom style="thin"/>
    </border>
    <border>
      <left style="medium"/>
      <right style="medium"/>
      <top style="thin"/>
      <bottom style="thin"/>
    </border>
    <border>
      <left style="thin"/>
      <right/>
      <top style="thin"/>
      <bottom style="thin"/>
    </border>
    <border>
      <left style="thin"/>
      <right style="thin"/>
      <top>
        <color indexed="63"/>
      </top>
      <bottom>
        <color indexed="63"/>
      </bottom>
    </border>
    <border>
      <left style="thin"/>
      <right/>
      <top/>
      <bottom style="thin"/>
    </border>
    <border>
      <left/>
      <right style="thin"/>
      <top style="thin"/>
      <bottom style="thin"/>
    </border>
    <border>
      <left/>
      <right style="thin"/>
      <top style="thin"/>
      <bottom/>
    </border>
    <border>
      <left style="thin"/>
      <right/>
      <top/>
      <bottom/>
    </border>
    <border>
      <left style="medium"/>
      <right style="medium"/>
      <top>
        <color indexed="63"/>
      </top>
      <bottom style="thin"/>
    </border>
    <border>
      <left/>
      <right style="thin"/>
      <top/>
      <bottom/>
    </border>
    <border>
      <left/>
      <right/>
      <top/>
      <bottom style="thin"/>
    </border>
    <border>
      <left style="medium"/>
      <right>
        <color indexed="63"/>
      </right>
      <top style="thin"/>
      <bottom>
        <color indexed="63"/>
      </bottom>
    </border>
    <border>
      <left style="medium"/>
      <right style="medium"/>
      <top style="medium"/>
      <bottom style="thin"/>
    </border>
    <border>
      <left style="medium"/>
      <right style="medium"/>
      <top style="thin"/>
      <bottom style="medium"/>
    </border>
    <border>
      <left style="thin"/>
      <right/>
      <top style="thin"/>
      <bottom/>
    </border>
    <border>
      <left>
        <color indexed="63"/>
      </left>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color indexed="63"/>
      </bottom>
    </border>
    <border>
      <left style="thin"/>
      <right style="medium"/>
      <top/>
      <bottom style="thin"/>
    </border>
    <border>
      <left style="double"/>
      <right style="double"/>
      <top style="double"/>
      <bottom>
        <color indexed="63"/>
      </bottom>
    </border>
    <border>
      <left style="double"/>
      <right style="double"/>
      <top>
        <color indexed="63"/>
      </top>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5"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045">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60" applyNumberFormat="1" applyFont="1" applyAlignment="1">
      <alignment horizontal="right"/>
      <protection/>
    </xf>
    <xf numFmtId="165" fontId="33" fillId="0" borderId="0" xfId="60" applyNumberFormat="1" applyFont="1" applyAlignment="1">
      <alignment horizontal="left" indent="1"/>
      <protection/>
    </xf>
    <xf numFmtId="165" fontId="30" fillId="0" borderId="0" xfId="60" applyNumberFormat="1" applyFont="1" applyAlignment="1">
      <alignment horizontal="left"/>
      <protection/>
    </xf>
    <xf numFmtId="0" fontId="35" fillId="0" borderId="0" xfId="60" applyFont="1" applyAlignment="1">
      <alignment horizontal="left" indent="2"/>
      <protection/>
    </xf>
    <xf numFmtId="165" fontId="30" fillId="0" borderId="10" xfId="60" applyNumberFormat="1" applyFont="1" applyBorder="1" applyAlignment="1" applyProtection="1">
      <alignment horizontal="right"/>
      <protection locked="0"/>
    </xf>
    <xf numFmtId="165" fontId="35" fillId="0" borderId="0" xfId="60" applyNumberFormat="1" applyFont="1" applyAlignment="1">
      <alignment horizontal="left" indent="2"/>
      <protection/>
    </xf>
    <xf numFmtId="165" fontId="30" fillId="0" borderId="0" xfId="60" applyNumberFormat="1" applyFont="1" applyAlignment="1" applyProtection="1">
      <alignment horizontal="left"/>
      <protection locked="0"/>
    </xf>
    <xf numFmtId="165" fontId="30" fillId="0" borderId="0" xfId="60" applyNumberFormat="1" applyFont="1" applyAlignment="1" applyProtection="1">
      <alignment horizontal="right"/>
      <protection locked="0"/>
    </xf>
    <xf numFmtId="0" fontId="35" fillId="0" borderId="0" xfId="60" applyFont="1" applyAlignment="1" applyProtection="1">
      <alignment horizontal="left" indent="2"/>
      <protection locked="0"/>
    </xf>
    <xf numFmtId="165" fontId="35" fillId="0" borderId="0" xfId="60" applyNumberFormat="1" applyFont="1" applyAlignment="1" applyProtection="1">
      <alignment horizontal="left" indent="2"/>
      <protection locked="0"/>
    </xf>
    <xf numFmtId="165" fontId="30" fillId="0" borderId="0" xfId="60" applyNumberFormat="1" applyFont="1" applyBorder="1" applyAlignment="1">
      <alignment horizontal="right"/>
      <protection/>
    </xf>
    <xf numFmtId="165" fontId="30" fillId="0" borderId="0" xfId="0" applyNumberFormat="1" applyFont="1" applyBorder="1" applyAlignment="1">
      <alignment/>
    </xf>
    <xf numFmtId="0" fontId="30" fillId="0" borderId="0" xfId="60" applyFont="1" applyAlignment="1" applyProtection="1">
      <alignment horizontal="left" indent="1"/>
      <protection locked="0"/>
    </xf>
    <xf numFmtId="165" fontId="30" fillId="0" borderId="0" xfId="60"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60" applyNumberFormat="1" applyFont="1" applyAlignment="1" applyProtection="1">
      <alignment horizontal="left" indent="2"/>
      <protection locked="0"/>
    </xf>
    <xf numFmtId="0" fontId="33" fillId="0" borderId="0" xfId="60" applyFont="1" applyAlignment="1" applyProtection="1">
      <alignment horizontal="left" indent="1"/>
      <protection locked="0"/>
    </xf>
    <xf numFmtId="165" fontId="30" fillId="0" borderId="0" xfId="60" applyNumberFormat="1" applyFont="1" applyBorder="1" applyAlignment="1" applyProtection="1">
      <alignment horizontal="right"/>
      <protection locked="0"/>
    </xf>
    <xf numFmtId="165" fontId="33" fillId="0" borderId="0" xfId="60"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60" applyFont="1" applyBorder="1" applyAlignment="1" applyProtection="1">
      <alignment horizontal="left" indent="1"/>
      <protection locked="0"/>
    </xf>
    <xf numFmtId="165" fontId="30" fillId="0" borderId="0" xfId="60" applyNumberFormat="1" applyFont="1" applyBorder="1" applyAlignment="1" applyProtection="1">
      <alignment horizontal="left" indent="1"/>
      <protection locked="0"/>
    </xf>
    <xf numFmtId="165" fontId="30" fillId="0" borderId="0" xfId="60"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0" fillId="0" borderId="0" xfId="0" applyFill="1" applyBorder="1" applyAlignment="1" applyProtection="1">
      <alignment/>
      <protection locked="0"/>
    </xf>
    <xf numFmtId="0" fontId="27" fillId="0" borderId="11"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2" xfId="0" applyNumberFormat="1" applyBorder="1" applyAlignment="1">
      <alignment/>
    </xf>
    <xf numFmtId="5" fontId="27" fillId="0" borderId="11" xfId="0" applyNumberFormat="1" applyFont="1" applyBorder="1" applyAlignment="1">
      <alignment/>
    </xf>
    <xf numFmtId="5" fontId="27" fillId="0" borderId="10" xfId="0" applyNumberFormat="1" applyFont="1" applyBorder="1" applyAlignment="1">
      <alignment/>
    </xf>
    <xf numFmtId="5" fontId="27" fillId="0" borderId="12"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0" xfId="0" applyBorder="1" applyAlignment="1">
      <alignment wrapText="1"/>
    </xf>
    <xf numFmtId="0" fontId="0" fillId="0" borderId="0" xfId="0" applyBorder="1" applyAlignment="1">
      <alignment/>
    </xf>
    <xf numFmtId="0" fontId="22" fillId="0" borderId="11"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3" xfId="0" applyFont="1" applyBorder="1" applyAlignment="1">
      <alignment horizontal="center"/>
    </xf>
    <xf numFmtId="167" fontId="0" fillId="24" borderId="10" xfId="42" applyNumberFormat="1" applyFont="1" applyFill="1" applyBorder="1" applyAlignment="1" applyProtection="1">
      <alignment/>
      <protection locked="0"/>
    </xf>
    <xf numFmtId="5" fontId="0" fillId="0" borderId="12"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0" fontId="0" fillId="0" borderId="0" xfId="0" applyFont="1" applyAlignment="1" applyProtection="1">
      <alignment/>
      <protection locked="0"/>
    </xf>
    <xf numFmtId="0" fontId="27" fillId="25" borderId="11" xfId="0" applyFont="1" applyFill="1" applyBorder="1" applyAlignment="1">
      <alignment horizontal="center"/>
    </xf>
    <xf numFmtId="0" fontId="21" fillId="25" borderId="11" xfId="0" applyFont="1" applyFill="1" applyBorder="1" applyAlignment="1">
      <alignment horizontal="center" wrapText="1"/>
    </xf>
    <xf numFmtId="0" fontId="21" fillId="25" borderId="11" xfId="0" applyFont="1" applyFill="1" applyBorder="1" applyAlignment="1">
      <alignment horizontal="center"/>
    </xf>
    <xf numFmtId="43" fontId="0" fillId="26" borderId="10" xfId="42" applyFont="1" applyFill="1" applyBorder="1" applyAlignment="1" applyProtection="1">
      <alignment/>
      <protection locked="0"/>
    </xf>
    <xf numFmtId="0" fontId="0" fillId="27" borderId="0" xfId="0" applyFill="1" applyAlignment="1" applyProtection="1">
      <alignment/>
      <protection locked="0"/>
    </xf>
    <xf numFmtId="0" fontId="0" fillId="26" borderId="0" xfId="0" applyFill="1" applyAlignment="1" applyProtection="1">
      <alignment/>
      <protection locked="0"/>
    </xf>
    <xf numFmtId="43" fontId="0" fillId="26" borderId="12" xfId="42" applyFont="1" applyFill="1" applyBorder="1" applyAlignment="1" applyProtection="1">
      <alignment/>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14" xfId="0" applyFont="1" applyFill="1" applyBorder="1" applyAlignment="1">
      <alignment horizontal="center" wrapText="1"/>
    </xf>
    <xf numFmtId="0" fontId="21" fillId="26" borderId="15" xfId="0" applyFont="1" applyFill="1" applyBorder="1" applyAlignment="1">
      <alignment horizontal="center" wrapText="1"/>
    </xf>
    <xf numFmtId="0" fontId="0" fillId="0" borderId="16" xfId="0" applyBorder="1" applyAlignment="1" applyProtection="1">
      <alignment/>
      <protection locked="0"/>
    </xf>
    <xf numFmtId="0" fontId="0" fillId="0" borderId="17"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1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14" xfId="0" applyFont="1" applyBorder="1" applyAlignment="1">
      <alignment/>
    </xf>
    <xf numFmtId="165" fontId="26" fillId="0" borderId="0" xfId="0" applyNumberFormat="1" applyFont="1" applyBorder="1" applyAlignment="1">
      <alignment/>
    </xf>
    <xf numFmtId="0" fontId="0" fillId="26" borderId="1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18" xfId="0" applyFont="1" applyFill="1" applyBorder="1" applyAlignment="1">
      <alignment horizontal="center"/>
    </xf>
    <xf numFmtId="0" fontId="27" fillId="26" borderId="15" xfId="0" applyFont="1" applyFill="1" applyBorder="1" applyAlignment="1">
      <alignment horizontal="center"/>
    </xf>
    <xf numFmtId="0" fontId="27" fillId="26" borderId="1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19" xfId="0" applyFont="1" applyBorder="1" applyAlignment="1">
      <alignment horizontal="center"/>
    </xf>
    <xf numFmtId="0" fontId="0" fillId="0" borderId="16" xfId="0" applyBorder="1" applyAlignment="1">
      <alignment/>
    </xf>
    <xf numFmtId="0" fontId="27" fillId="0" borderId="1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14" xfId="0" applyFont="1" applyFill="1" applyBorder="1" applyAlignment="1" applyProtection="1" quotePrefix="1">
      <alignment horizontal="center"/>
      <protection locked="0"/>
    </xf>
    <xf numFmtId="0" fontId="21" fillId="26" borderId="20" xfId="0" applyFont="1" applyFill="1" applyBorder="1" applyAlignment="1">
      <alignment horizontal="center" wrapText="1"/>
    </xf>
    <xf numFmtId="0" fontId="21" fillId="26" borderId="21" xfId="0" applyFont="1" applyFill="1" applyBorder="1" applyAlignment="1">
      <alignment horizontal="center" wrapText="1"/>
    </xf>
    <xf numFmtId="0" fontId="0" fillId="0" borderId="17"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0" fontId="0" fillId="26" borderId="16" xfId="0" applyFill="1" applyBorder="1" applyAlignment="1" applyProtection="1">
      <alignment/>
      <protection locked="0"/>
    </xf>
    <xf numFmtId="0" fontId="0" fillId="0" borderId="14" xfId="0" applyBorder="1" applyAlignment="1" applyProtection="1">
      <alignment/>
      <protection locked="0"/>
    </xf>
    <xf numFmtId="37" fontId="27" fillId="0" borderId="11" xfId="0" applyNumberFormat="1" applyFont="1" applyBorder="1" applyAlignment="1" applyProtection="1">
      <alignment/>
      <protection locked="0"/>
    </xf>
    <xf numFmtId="37" fontId="27" fillId="0" borderId="11" xfId="0" applyNumberFormat="1" applyFont="1" applyBorder="1" applyAlignment="1">
      <alignment/>
    </xf>
    <xf numFmtId="0" fontId="0" fillId="0" borderId="14" xfId="0" applyBorder="1" applyAlignment="1">
      <alignment/>
    </xf>
    <xf numFmtId="0" fontId="0" fillId="0" borderId="0" xfId="0" applyBorder="1" applyAlignment="1" applyProtection="1">
      <alignment/>
      <protection/>
    </xf>
    <xf numFmtId="0" fontId="0" fillId="0" borderId="16" xfId="0" applyBorder="1" applyAlignment="1" applyProtection="1">
      <alignment horizontal="center"/>
      <protection/>
    </xf>
    <xf numFmtId="0" fontId="0" fillId="0" borderId="0" xfId="0" applyFont="1" applyBorder="1" applyAlignment="1" applyProtection="1">
      <alignment/>
      <protection/>
    </xf>
    <xf numFmtId="37" fontId="0" fillId="0" borderId="16" xfId="0" applyNumberFormat="1" applyBorder="1" applyAlignment="1" applyProtection="1">
      <alignment horizontal="center"/>
      <protection/>
    </xf>
    <xf numFmtId="5" fontId="0" fillId="0" borderId="16" xfId="0" applyNumberFormat="1" applyBorder="1" applyAlignment="1" applyProtection="1">
      <alignment horizontal="center"/>
      <protection/>
    </xf>
    <xf numFmtId="5" fontId="27" fillId="0" borderId="16" xfId="0" applyNumberFormat="1" applyFont="1" applyBorder="1" applyAlignment="1" applyProtection="1">
      <alignment horizontal="center"/>
      <protection/>
    </xf>
    <xf numFmtId="0" fontId="0" fillId="0" borderId="18" xfId="0" applyBorder="1" applyAlignment="1">
      <alignment/>
    </xf>
    <xf numFmtId="0" fontId="0" fillId="0" borderId="15" xfId="0" applyBorder="1" applyAlignment="1">
      <alignment/>
    </xf>
    <xf numFmtId="0" fontId="0" fillId="0" borderId="15" xfId="0" applyBorder="1" applyAlignment="1" applyProtection="1">
      <alignment/>
      <protection/>
    </xf>
    <xf numFmtId="0" fontId="0" fillId="0" borderId="22" xfId="0" applyBorder="1" applyAlignment="1" applyProtection="1">
      <alignment horizontal="center"/>
      <protection/>
    </xf>
    <xf numFmtId="0" fontId="0" fillId="0" borderId="18" xfId="0"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horizontal="center"/>
      <protection locked="0"/>
    </xf>
    <xf numFmtId="0" fontId="0" fillId="0" borderId="0" xfId="0" applyAlignment="1">
      <alignment horizontal="center"/>
    </xf>
    <xf numFmtId="5" fontId="0" fillId="0" borderId="10" xfId="0" applyNumberFormat="1" applyBorder="1" applyAlignment="1">
      <alignment horizontal="center"/>
    </xf>
    <xf numFmtId="0" fontId="0" fillId="0" borderId="23" xfId="0" applyBorder="1" applyAlignment="1">
      <alignment/>
    </xf>
    <xf numFmtId="0" fontId="27" fillId="0" borderId="0" xfId="0" applyFont="1" applyBorder="1" applyAlignment="1" applyProtection="1">
      <alignment/>
      <protection locked="0"/>
    </xf>
    <xf numFmtId="0" fontId="0" fillId="27" borderId="13" xfId="0" applyFill="1" applyBorder="1" applyAlignment="1">
      <alignment/>
    </xf>
    <xf numFmtId="0" fontId="0" fillId="27" borderId="24" xfId="0" applyFill="1" applyBorder="1" applyAlignment="1">
      <alignment/>
    </xf>
    <xf numFmtId="37" fontId="0" fillId="26" borderId="15" xfId="0" applyNumberFormat="1" applyFill="1" applyBorder="1" applyAlignment="1" applyProtection="1">
      <alignment horizontal="center"/>
      <protection locked="0"/>
    </xf>
    <xf numFmtId="0" fontId="0" fillId="27" borderId="13" xfId="0" applyFill="1" applyBorder="1" applyAlignment="1" applyProtection="1">
      <alignment/>
      <protection locked="0"/>
    </xf>
    <xf numFmtId="0" fontId="21" fillId="27" borderId="24" xfId="0" applyFont="1" applyFill="1" applyBorder="1" applyAlignment="1">
      <alignment horizontal="center" wrapText="1"/>
    </xf>
    <xf numFmtId="0" fontId="21" fillId="27" borderId="24" xfId="0" applyFont="1" applyFill="1" applyBorder="1" applyAlignment="1" applyProtection="1">
      <alignment horizontal="center" wrapText="1"/>
      <protection locked="0"/>
    </xf>
    <xf numFmtId="0" fontId="27" fillId="27" borderId="24" xfId="0" applyFont="1" applyFill="1" applyBorder="1" applyAlignment="1" applyProtection="1">
      <alignment horizontal="center"/>
      <protection locked="0"/>
    </xf>
    <xf numFmtId="0" fontId="0" fillId="27" borderId="24" xfId="0" applyFill="1" applyBorder="1" applyAlignment="1" applyProtection="1">
      <alignment/>
      <protection locked="0"/>
    </xf>
    <xf numFmtId="0" fontId="27" fillId="27" borderId="24" xfId="0" applyFont="1" applyFill="1" applyBorder="1" applyAlignment="1" applyProtection="1">
      <alignment horizontal="center" wrapText="1"/>
      <protection locked="0"/>
    </xf>
    <xf numFmtId="0" fontId="21" fillId="27" borderId="24" xfId="0" applyFont="1" applyFill="1" applyBorder="1" applyAlignment="1" applyProtection="1">
      <alignment/>
      <protection locked="0"/>
    </xf>
    <xf numFmtId="0" fontId="21" fillId="27" borderId="24" xfId="0" applyFont="1" applyFill="1" applyBorder="1" applyAlignment="1" applyProtection="1">
      <alignment horizontal="center"/>
      <protection locked="0"/>
    </xf>
    <xf numFmtId="37" fontId="0" fillId="27" borderId="24" xfId="0" applyNumberFormat="1" applyFill="1" applyBorder="1" applyAlignment="1" applyProtection="1">
      <alignment/>
      <protection locked="0"/>
    </xf>
    <xf numFmtId="37" fontId="27" fillId="27" borderId="24" xfId="0" applyNumberFormat="1" applyFont="1" applyFill="1" applyBorder="1" applyAlignment="1" applyProtection="1">
      <alignment/>
      <protection locked="0"/>
    </xf>
    <xf numFmtId="0" fontId="26" fillId="26" borderId="25" xfId="0" applyFont="1" applyFill="1" applyBorder="1" applyAlignment="1" quotePrefix="1">
      <alignment horizontal="left"/>
    </xf>
    <xf numFmtId="0" fontId="27" fillId="26" borderId="23" xfId="0" applyFont="1" applyFill="1" applyBorder="1" applyAlignment="1">
      <alignment horizontal="left"/>
    </xf>
    <xf numFmtId="0" fontId="0" fillId="26" borderId="23" xfId="0" applyFill="1" applyBorder="1" applyAlignment="1">
      <alignment horizontal="center"/>
    </xf>
    <xf numFmtId="0" fontId="26" fillId="28" borderId="26" xfId="0" applyFont="1" applyFill="1" applyBorder="1" applyAlignment="1">
      <alignment horizontal="left"/>
    </xf>
    <xf numFmtId="0" fontId="26" fillId="26" borderId="14" xfId="0" applyFont="1" applyFill="1" applyBorder="1" applyAlignment="1" applyProtection="1" quotePrefix="1">
      <alignment horizontal="left"/>
      <protection locked="0"/>
    </xf>
    <xf numFmtId="0" fontId="21" fillId="26" borderId="14" xfId="0" applyFont="1" applyFill="1" applyBorder="1" applyAlignment="1" applyProtection="1">
      <alignment/>
      <protection locked="0"/>
    </xf>
    <xf numFmtId="0" fontId="0" fillId="26" borderId="14" xfId="0" applyFill="1" applyBorder="1" applyAlignment="1" applyProtection="1">
      <alignment/>
      <protection locked="0"/>
    </xf>
    <xf numFmtId="165" fontId="26" fillId="0" borderId="15" xfId="0" applyNumberFormat="1" applyFont="1" applyBorder="1" applyAlignment="1">
      <alignment/>
    </xf>
    <xf numFmtId="0" fontId="0" fillId="26" borderId="15" xfId="0" applyFont="1" applyFill="1" applyBorder="1" applyAlignment="1" quotePrefix="1">
      <alignment horizontal="center"/>
    </xf>
    <xf numFmtId="0" fontId="0" fillId="27" borderId="19" xfId="0" applyFill="1" applyBorder="1" applyAlignment="1" applyProtection="1">
      <alignment/>
      <protection locked="0"/>
    </xf>
    <xf numFmtId="0" fontId="27" fillId="27" borderId="0" xfId="0" applyFont="1" applyFill="1" applyAlignment="1">
      <alignment/>
    </xf>
    <xf numFmtId="0" fontId="30" fillId="0" borderId="10" xfId="60" applyFont="1" applyBorder="1" applyAlignment="1" applyProtection="1">
      <alignment horizontal="left" vertical="top"/>
      <protection locked="0"/>
    </xf>
    <xf numFmtId="0" fontId="22" fillId="0" borderId="19" xfId="0" applyFont="1" applyBorder="1" applyAlignment="1">
      <alignment wrapText="1"/>
    </xf>
    <xf numFmtId="0" fontId="27" fillId="0" borderId="24" xfId="0" applyFont="1" applyBorder="1" applyAlignment="1">
      <alignment horizontal="center"/>
    </xf>
    <xf numFmtId="0" fontId="26" fillId="0" borderId="13" xfId="0" applyFont="1" applyBorder="1" applyAlignment="1">
      <alignment wrapText="1"/>
    </xf>
    <xf numFmtId="0" fontId="22" fillId="0" borderId="24" xfId="0" applyFont="1" applyBorder="1" applyAlignment="1">
      <alignment wrapText="1"/>
    </xf>
    <xf numFmtId="0" fontId="21" fillId="25" borderId="11" xfId="0" applyFont="1" applyFill="1" applyBorder="1" applyAlignment="1" quotePrefix="1">
      <alignment horizontal="center" wrapText="1"/>
    </xf>
    <xf numFmtId="0" fontId="30" fillId="0" borderId="10" xfId="60"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8" borderId="11" xfId="60" applyFont="1" applyFill="1" applyBorder="1" applyAlignment="1">
      <alignment horizontal="left" indent="1"/>
      <protection/>
    </xf>
    <xf numFmtId="0" fontId="33" fillId="28" borderId="11" xfId="60" applyFont="1" applyFill="1" applyBorder="1" applyAlignment="1">
      <alignment horizontal="left" indent="1"/>
      <protection/>
    </xf>
    <xf numFmtId="2" fontId="20" fillId="28" borderId="11" xfId="0" applyNumberFormat="1" applyFont="1" applyFill="1" applyBorder="1" applyAlignment="1" applyProtection="1">
      <alignment/>
      <protection/>
    </xf>
    <xf numFmtId="0" fontId="37" fillId="0" borderId="0" xfId="0" applyFont="1" applyAlignment="1" applyProtection="1">
      <alignment/>
      <protection/>
    </xf>
    <xf numFmtId="0" fontId="33" fillId="28" borderId="11"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60" applyNumberFormat="1" applyFont="1" applyAlignment="1">
      <alignment horizontal="center"/>
      <protection/>
    </xf>
    <xf numFmtId="165" fontId="35" fillId="0" borderId="0" xfId="60" applyNumberFormat="1" applyFont="1" applyAlignment="1">
      <alignment horizontal="center"/>
      <protection/>
    </xf>
    <xf numFmtId="165" fontId="30" fillId="0" borderId="0" xfId="60" applyNumberFormat="1" applyFont="1" applyAlignment="1" applyProtection="1">
      <alignment horizontal="center"/>
      <protection locked="0"/>
    </xf>
    <xf numFmtId="165" fontId="35" fillId="0" borderId="0" xfId="60" applyNumberFormat="1" applyFont="1" applyAlignment="1" applyProtection="1">
      <alignment horizontal="center"/>
      <protection locked="0"/>
    </xf>
    <xf numFmtId="165" fontId="33" fillId="0" borderId="0" xfId="60" applyNumberFormat="1" applyFont="1" applyAlignment="1" applyProtection="1">
      <alignment horizontal="center"/>
      <protection locked="0"/>
    </xf>
    <xf numFmtId="165" fontId="30" fillId="0" borderId="0" xfId="60"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8" borderId="11" xfId="0" applyFont="1" applyFill="1" applyBorder="1" applyAlignment="1">
      <alignment horizontal="center"/>
    </xf>
    <xf numFmtId="5" fontId="27" fillId="0" borderId="11" xfId="0" applyNumberFormat="1" applyFont="1" applyBorder="1" applyAlignment="1">
      <alignment horizontal="center"/>
    </xf>
    <xf numFmtId="0" fontId="27" fillId="28" borderId="11" xfId="0" applyFont="1" applyFill="1" applyBorder="1" applyAlignment="1">
      <alignment/>
    </xf>
    <xf numFmtId="0" fontId="27" fillId="28" borderId="11" xfId="0" applyFont="1" applyFill="1" applyBorder="1" applyAlignment="1">
      <alignment horizontal="center" wrapText="1"/>
    </xf>
    <xf numFmtId="0" fontId="27" fillId="26" borderId="0" xfId="0" applyFont="1" applyFill="1" applyBorder="1" applyAlignment="1">
      <alignment/>
    </xf>
    <xf numFmtId="165" fontId="30" fillId="29" borderId="10" xfId="0" applyNumberFormat="1" applyFont="1" applyFill="1" applyBorder="1" applyAlignment="1" applyProtection="1">
      <alignment/>
      <protection/>
    </xf>
    <xf numFmtId="165" fontId="30" fillId="26" borderId="0" xfId="60" applyNumberFormat="1" applyFont="1" applyFill="1" applyAlignment="1" applyProtection="1">
      <alignment horizontal="left"/>
      <protection locked="0"/>
    </xf>
    <xf numFmtId="165" fontId="30" fillId="26" borderId="0" xfId="60"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60" applyNumberFormat="1" applyFont="1" applyFill="1" applyAlignment="1">
      <alignment horizontal="right"/>
      <protection/>
    </xf>
    <xf numFmtId="165" fontId="30" fillId="26" borderId="0" xfId="60" applyNumberFormat="1" applyFont="1" applyFill="1" applyAlignment="1" applyProtection="1">
      <alignment horizontal="right"/>
      <protection locked="0"/>
    </xf>
    <xf numFmtId="0" fontId="0" fillId="26" borderId="0" xfId="0" applyFill="1" applyAlignment="1">
      <alignment/>
    </xf>
    <xf numFmtId="165" fontId="30" fillId="26" borderId="0" xfId="60"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1" xfId="60" applyNumberFormat="1" applyFont="1" applyBorder="1" applyAlignment="1" applyProtection="1">
      <alignment horizontal="center"/>
      <protection locked="0"/>
    </xf>
    <xf numFmtId="165" fontId="30" fillId="0" borderId="17"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1" xfId="60" applyNumberFormat="1" applyFont="1" applyBorder="1" applyAlignment="1" applyProtection="1">
      <alignment horizontal="center"/>
      <protection locked="0"/>
    </xf>
    <xf numFmtId="165" fontId="33" fillId="0" borderId="11" xfId="0" applyNumberFormat="1" applyFont="1" applyBorder="1" applyAlignment="1" applyProtection="1">
      <alignment/>
      <protection locked="0"/>
    </xf>
    <xf numFmtId="165" fontId="33" fillId="0" borderId="0" xfId="60"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60" applyNumberFormat="1" applyFont="1" applyAlignment="1">
      <alignment horizontal="left"/>
      <protection/>
    </xf>
    <xf numFmtId="165" fontId="33" fillId="26" borderId="0" xfId="60" applyNumberFormat="1" applyFont="1" applyFill="1" applyAlignment="1">
      <alignment horizontal="right"/>
      <protection/>
    </xf>
    <xf numFmtId="165" fontId="33" fillId="0" borderId="0" xfId="60" applyNumberFormat="1" applyFont="1" applyAlignment="1" applyProtection="1">
      <alignment horizontal="left"/>
      <protection/>
    </xf>
    <xf numFmtId="165" fontId="33" fillId="26" borderId="0" xfId="60" applyNumberFormat="1" applyFont="1" applyFill="1" applyAlignment="1" applyProtection="1">
      <alignment horizontal="right"/>
      <protection/>
    </xf>
    <xf numFmtId="165" fontId="33" fillId="0" borderId="0" xfId="60" applyNumberFormat="1" applyFont="1" applyAlignment="1" applyProtection="1">
      <alignment horizontal="left"/>
      <protection locked="0"/>
    </xf>
    <xf numFmtId="0" fontId="37" fillId="28" borderId="19" xfId="0" applyFont="1" applyFill="1" applyBorder="1" applyAlignment="1">
      <alignment horizontal="center"/>
    </xf>
    <xf numFmtId="165" fontId="30" fillId="29" borderId="10" xfId="0" applyNumberFormat="1" applyFont="1" applyFill="1" applyBorder="1" applyAlignment="1" applyProtection="1">
      <alignment horizontal="right"/>
      <protection/>
    </xf>
    <xf numFmtId="0" fontId="30" fillId="0" borderId="27" xfId="60" applyFont="1" applyBorder="1" applyAlignment="1" applyProtection="1">
      <alignment horizontal="left" vertical="top"/>
      <protection locked="0"/>
    </xf>
    <xf numFmtId="0" fontId="33" fillId="28" borderId="11" xfId="60" applyFont="1" applyFill="1" applyBorder="1" applyAlignment="1" applyProtection="1">
      <alignment horizontal="left" indent="1"/>
      <protection/>
    </xf>
    <xf numFmtId="165" fontId="30" fillId="0" borderId="0" xfId="0" applyNumberFormat="1" applyFont="1" applyBorder="1" applyAlignment="1">
      <alignment/>
    </xf>
    <xf numFmtId="165" fontId="33" fillId="28" borderId="11" xfId="0" applyNumberFormat="1" applyFont="1" applyFill="1" applyBorder="1" applyAlignment="1" applyProtection="1">
      <alignment horizontal="left" wrapText="1" indent="1"/>
      <protection locked="0"/>
    </xf>
    <xf numFmtId="0" fontId="33" fillId="28" borderId="11" xfId="0" applyFont="1" applyFill="1" applyBorder="1" applyAlignment="1">
      <alignment horizontal="left"/>
    </xf>
    <xf numFmtId="165" fontId="30" fillId="0" borderId="0" xfId="0" applyNumberFormat="1" applyFont="1" applyBorder="1" applyAlignment="1">
      <alignment horizontal="left" wrapText="1" indent="1"/>
    </xf>
    <xf numFmtId="165" fontId="33" fillId="28" borderId="11" xfId="0" applyNumberFormat="1" applyFont="1" applyFill="1" applyBorder="1" applyAlignment="1">
      <alignment wrapText="1"/>
    </xf>
    <xf numFmtId="165" fontId="33" fillId="28" borderId="11" xfId="0" applyNumberFormat="1" applyFont="1" applyFill="1" applyBorder="1" applyAlignment="1" quotePrefix="1">
      <alignment wrapText="1"/>
    </xf>
    <xf numFmtId="0" fontId="33" fillId="0" borderId="0" xfId="0" applyFont="1" applyBorder="1" applyAlignment="1" applyProtection="1">
      <alignment/>
      <protection/>
    </xf>
    <xf numFmtId="0" fontId="33" fillId="28" borderId="11"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7"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21" fillId="28" borderId="11" xfId="0" applyFont="1" applyFill="1" applyBorder="1" applyAlignment="1">
      <alignment/>
    </xf>
    <xf numFmtId="0" fontId="21" fillId="28" borderId="11" xfId="0" applyFont="1" applyFill="1" applyBorder="1" applyAlignment="1" applyProtection="1">
      <alignment/>
      <protection/>
    </xf>
    <xf numFmtId="5" fontId="27" fillId="29" borderId="10" xfId="0" applyNumberFormat="1" applyFont="1" applyFill="1" applyBorder="1" applyAlignment="1">
      <alignment horizontal="center"/>
    </xf>
    <xf numFmtId="0" fontId="27" fillId="29" borderId="10" xfId="0" applyFont="1" applyFill="1" applyBorder="1" applyAlignment="1">
      <alignment horizontal="center"/>
    </xf>
    <xf numFmtId="5" fontId="27" fillId="29" borderId="11" xfId="0" applyNumberFormat="1" applyFont="1" applyFill="1" applyBorder="1" applyAlignment="1">
      <alignment horizontal="center"/>
    </xf>
    <xf numFmtId="0" fontId="0" fillId="29" borderId="17" xfId="0" applyFont="1" applyFill="1" applyBorder="1" applyAlignment="1">
      <alignment/>
    </xf>
    <xf numFmtId="0" fontId="0" fillId="29" borderId="17" xfId="0" applyFont="1" applyFill="1" applyBorder="1" applyAlignment="1" applyProtection="1">
      <alignment/>
      <protection/>
    </xf>
    <xf numFmtId="0" fontId="0" fillId="29" borderId="10" xfId="0" applyFont="1" applyFill="1" applyBorder="1" applyAlignment="1" applyProtection="1">
      <alignment/>
      <protection/>
    </xf>
    <xf numFmtId="0" fontId="26" fillId="28" borderId="11" xfId="0" applyFont="1" applyFill="1" applyBorder="1" applyAlignment="1">
      <alignment horizontal="center"/>
    </xf>
    <xf numFmtId="0" fontId="26" fillId="28" borderId="28" xfId="0" applyFont="1" applyFill="1" applyBorder="1" applyAlignment="1">
      <alignment horizontal="center"/>
    </xf>
    <xf numFmtId="0" fontId="27" fillId="28" borderId="11"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5" fontId="35" fillId="0" borderId="11" xfId="60" applyNumberFormat="1" applyFont="1" applyBorder="1" applyAlignment="1" applyProtection="1">
      <alignment horizontal="center"/>
      <protection locked="0"/>
    </xf>
    <xf numFmtId="5" fontId="35" fillId="0" borderId="20" xfId="60" applyNumberFormat="1" applyFont="1" applyBorder="1" applyAlignment="1" applyProtection="1">
      <alignment horizontal="center"/>
      <protection locked="0"/>
    </xf>
    <xf numFmtId="0" fontId="0" fillId="29" borderId="12" xfId="0" applyFont="1" applyFill="1" applyBorder="1" applyAlignment="1">
      <alignment/>
    </xf>
    <xf numFmtId="5" fontId="30" fillId="29"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8" borderId="11" xfId="0" applyFont="1" applyFill="1" applyBorder="1" applyAlignment="1" applyProtection="1">
      <alignment horizontal="center"/>
      <protection/>
    </xf>
    <xf numFmtId="0" fontId="26" fillId="29" borderId="29" xfId="0" applyFont="1" applyFill="1" applyBorder="1" applyAlignment="1">
      <alignment horizontal="left"/>
    </xf>
    <xf numFmtId="0" fontId="26" fillId="29" borderId="30" xfId="0" applyFont="1" applyFill="1" applyBorder="1" applyAlignment="1">
      <alignment horizontal="left"/>
    </xf>
    <xf numFmtId="0" fontId="0" fillId="26" borderId="25" xfId="0" applyFont="1" applyFill="1" applyBorder="1" applyAlignment="1" applyProtection="1" quotePrefix="1">
      <alignment horizontal="center"/>
      <protection locked="0"/>
    </xf>
    <xf numFmtId="37" fontId="0" fillId="26" borderId="23" xfId="0" applyNumberFormat="1" applyFill="1" applyBorder="1" applyAlignment="1" applyProtection="1">
      <alignment horizontal="center"/>
      <protection locked="0"/>
    </xf>
    <xf numFmtId="0" fontId="0" fillId="26" borderId="23" xfId="0" applyFont="1" applyFill="1" applyBorder="1" applyAlignment="1" applyProtection="1" quotePrefix="1">
      <alignment horizontal="center"/>
      <protection locked="0"/>
    </xf>
    <xf numFmtId="0" fontId="0" fillId="26" borderId="31" xfId="0" applyFill="1" applyBorder="1" applyAlignment="1" applyProtection="1">
      <alignment horizontal="center"/>
      <protection locked="0"/>
    </xf>
    <xf numFmtId="0" fontId="0" fillId="26" borderId="16" xfId="0" applyFill="1" applyBorder="1" applyAlignment="1" applyProtection="1">
      <alignment horizontal="center"/>
      <protection locked="0"/>
    </xf>
    <xf numFmtId="0" fontId="0" fillId="26" borderId="18" xfId="0" applyFont="1" applyFill="1" applyBorder="1" applyAlignment="1" applyProtection="1" quotePrefix="1">
      <alignment horizontal="center"/>
      <protection locked="0"/>
    </xf>
    <xf numFmtId="0" fontId="0" fillId="26" borderId="15" xfId="0" applyFont="1" applyFill="1" applyBorder="1" applyAlignment="1" applyProtection="1" quotePrefix="1">
      <alignment horizontal="center"/>
      <protection locked="0"/>
    </xf>
    <xf numFmtId="0" fontId="0" fillId="26" borderId="22" xfId="0" applyFill="1" applyBorder="1" applyAlignment="1" applyProtection="1">
      <alignment horizontal="center"/>
      <protection locked="0"/>
    </xf>
    <xf numFmtId="5" fontId="27" fillId="26" borderId="0" xfId="0" applyNumberFormat="1" applyFont="1" applyFill="1" applyBorder="1" applyAlignment="1" applyProtection="1">
      <alignment horizontal="center"/>
      <protection locked="0"/>
    </xf>
    <xf numFmtId="0" fontId="26" fillId="29" borderId="32" xfId="0" applyFont="1" applyFill="1" applyBorder="1" applyAlignment="1">
      <alignment horizontal="left"/>
    </xf>
    <xf numFmtId="0" fontId="0" fillId="26" borderId="31" xfId="0" applyFill="1" applyBorder="1" applyAlignment="1">
      <alignment/>
    </xf>
    <xf numFmtId="0" fontId="0" fillId="0" borderId="25" xfId="0" applyBorder="1" applyAlignment="1">
      <alignment/>
    </xf>
    <xf numFmtId="0" fontId="0" fillId="0" borderId="16" xfId="0" applyBorder="1" applyAlignment="1" applyProtection="1">
      <alignment horizontal="center"/>
      <protection locked="0"/>
    </xf>
    <xf numFmtId="0" fontId="21" fillId="26" borderId="16" xfId="0" applyFont="1" applyFill="1" applyBorder="1" applyAlignment="1">
      <alignment horizontal="center" wrapText="1"/>
    </xf>
    <xf numFmtId="37" fontId="0" fillId="26" borderId="16" xfId="0" applyNumberFormat="1" applyFill="1" applyBorder="1" applyAlignment="1" applyProtection="1">
      <alignment horizontal="center"/>
      <protection locked="0"/>
    </xf>
    <xf numFmtId="37" fontId="0" fillId="26" borderId="22" xfId="0" applyNumberFormat="1" applyFill="1" applyBorder="1" applyAlignment="1" applyProtection="1">
      <alignment horizontal="center"/>
      <protection locked="0"/>
    </xf>
    <xf numFmtId="0" fontId="27" fillId="0" borderId="18" xfId="0" applyFont="1" applyBorder="1" applyAlignment="1">
      <alignment/>
    </xf>
    <xf numFmtId="0" fontId="26" fillId="26" borderId="14" xfId="0" applyFont="1" applyFill="1" applyBorder="1" applyAlignment="1">
      <alignment horizontal="left"/>
    </xf>
    <xf numFmtId="0" fontId="0" fillId="26" borderId="17" xfId="0" applyFill="1" applyBorder="1" applyAlignment="1" applyProtection="1">
      <alignment horizontal="right"/>
      <protection locked="0"/>
    </xf>
    <xf numFmtId="0" fontId="0" fillId="26" borderId="17" xfId="0" applyFill="1" applyBorder="1" applyAlignment="1" applyProtection="1">
      <alignment/>
      <protection locked="0"/>
    </xf>
    <xf numFmtId="165" fontId="33" fillId="28" borderId="11" xfId="0" applyNumberFormat="1" applyFont="1" applyFill="1" applyBorder="1" applyAlignment="1" applyProtection="1">
      <alignment vertical="top"/>
      <protection/>
    </xf>
    <xf numFmtId="0" fontId="30" fillId="29" borderId="17" xfId="0" applyFont="1" applyFill="1" applyBorder="1" applyAlignment="1" applyProtection="1">
      <alignment horizontal="left" vertical="top" indent="1"/>
      <protection/>
    </xf>
    <xf numFmtId="0" fontId="30" fillId="29" borderId="10" xfId="0" applyFont="1" applyFill="1" applyBorder="1" applyAlignment="1" applyProtection="1">
      <alignment horizontal="left" vertical="top" indent="1"/>
      <protection/>
    </xf>
    <xf numFmtId="0" fontId="30" fillId="29" borderId="10" xfId="0" applyFont="1" applyFill="1" applyBorder="1" applyAlignment="1" applyProtection="1">
      <alignment horizontal="left" vertical="top" wrapText="1" indent="1"/>
      <protection/>
    </xf>
    <xf numFmtId="0" fontId="30" fillId="29" borderId="33" xfId="60" applyFont="1" applyFill="1" applyBorder="1" applyAlignment="1" applyProtection="1">
      <alignment horizontal="left" vertical="top"/>
      <protection/>
    </xf>
    <xf numFmtId="0" fontId="30" fillId="29" borderId="24" xfId="60" applyFont="1" applyFill="1" applyBorder="1" applyAlignment="1" applyProtection="1">
      <alignment horizontal="left" vertical="top"/>
      <protection/>
    </xf>
    <xf numFmtId="165" fontId="33" fillId="0" borderId="11" xfId="60" applyNumberFormat="1" applyFont="1" applyBorder="1" applyAlignment="1" applyProtection="1">
      <alignment horizontal="right"/>
      <protection locked="0"/>
    </xf>
    <xf numFmtId="0" fontId="0" fillId="30" borderId="23" xfId="0" applyFill="1" applyBorder="1" applyAlignment="1">
      <alignment/>
    </xf>
    <xf numFmtId="0" fontId="0" fillId="30" borderId="15" xfId="0" applyFill="1" applyBorder="1" applyAlignment="1">
      <alignment/>
    </xf>
    <xf numFmtId="0" fontId="22" fillId="0" borderId="13" xfId="0" applyFont="1" applyBorder="1" applyAlignment="1">
      <alignment wrapText="1"/>
    </xf>
    <xf numFmtId="0" fontId="22" fillId="0" borderId="13" xfId="0" applyFont="1" applyBorder="1" applyAlignment="1">
      <alignment vertical="top" wrapText="1"/>
    </xf>
    <xf numFmtId="0" fontId="22" fillId="0" borderId="11" xfId="0" applyFont="1" applyBorder="1" applyAlignment="1">
      <alignment vertical="top" wrapText="1"/>
    </xf>
    <xf numFmtId="0" fontId="21" fillId="25" borderId="13" xfId="0" applyFont="1" applyFill="1" applyBorder="1" applyAlignment="1">
      <alignment horizontal="center" wrapText="1"/>
    </xf>
    <xf numFmtId="5" fontId="27" fillId="0" borderId="24" xfId="0" applyNumberFormat="1" applyFont="1" applyBorder="1" applyAlignment="1" applyProtection="1">
      <alignment horizontal="right"/>
      <protection locked="0"/>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2" fillId="0" borderId="11" xfId="0" applyFont="1" applyBorder="1" applyAlignment="1">
      <alignment horizontal="left" vertical="top" wrapText="1"/>
    </xf>
    <xf numFmtId="0" fontId="26" fillId="0" borderId="11" xfId="0" applyFont="1" applyBorder="1" applyAlignment="1">
      <alignment horizontal="left" vertical="top" wrapText="1"/>
    </xf>
    <xf numFmtId="0" fontId="26" fillId="25" borderId="11" xfId="0" applyFont="1" applyFill="1" applyBorder="1" applyAlignment="1">
      <alignment horizontal="center" vertical="top" wrapText="1"/>
    </xf>
    <xf numFmtId="0" fontId="22" fillId="0" borderId="24" xfId="0" applyFont="1" applyBorder="1" applyAlignment="1">
      <alignment vertical="top" wrapText="1"/>
    </xf>
    <xf numFmtId="0" fontId="39" fillId="0" borderId="19" xfId="0" applyFont="1" applyBorder="1" applyAlignment="1">
      <alignment vertical="top" wrapText="1"/>
    </xf>
    <xf numFmtId="0" fontId="22" fillId="0" borderId="19" xfId="0" applyFont="1" applyBorder="1" applyAlignment="1">
      <alignment vertical="top" wrapText="1"/>
    </xf>
    <xf numFmtId="0" fontId="22" fillId="0" borderId="31" xfId="0" applyFont="1" applyBorder="1" applyAlignment="1">
      <alignment vertical="top" wrapText="1"/>
    </xf>
    <xf numFmtId="165" fontId="33" fillId="29" borderId="11" xfId="0" applyNumberFormat="1" applyFont="1" applyFill="1" applyBorder="1" applyAlignment="1" applyProtection="1">
      <alignment horizontal="right"/>
      <protection/>
    </xf>
    <xf numFmtId="165" fontId="33" fillId="29" borderId="11" xfId="0" applyNumberFormat="1" applyFont="1" applyFill="1" applyBorder="1" applyAlignment="1" applyProtection="1">
      <alignment/>
      <protection/>
    </xf>
    <xf numFmtId="165" fontId="33" fillId="29" borderId="11" xfId="60" applyNumberFormat="1" applyFont="1" applyFill="1" applyBorder="1" applyAlignment="1">
      <alignment horizontal="right"/>
      <protection/>
    </xf>
    <xf numFmtId="165" fontId="33" fillId="29" borderId="11" xfId="60" applyNumberFormat="1" applyFont="1" applyFill="1" applyBorder="1" applyAlignment="1" applyProtection="1">
      <alignment horizontal="right"/>
      <protection/>
    </xf>
    <xf numFmtId="5" fontId="33" fillId="29" borderId="11" xfId="60" applyNumberFormat="1" applyFont="1" applyFill="1" applyBorder="1" applyAlignment="1">
      <alignment horizontal="right"/>
      <protection/>
    </xf>
    <xf numFmtId="5" fontId="33" fillId="29" borderId="11" xfId="0" applyNumberFormat="1" applyFont="1" applyFill="1" applyBorder="1" applyAlignment="1" applyProtection="1">
      <alignment/>
      <protection/>
    </xf>
    <xf numFmtId="0" fontId="27" fillId="29" borderId="11" xfId="0" applyFont="1" applyFill="1" applyBorder="1" applyAlignment="1">
      <alignment horizontal="center"/>
    </xf>
    <xf numFmtId="165" fontId="35" fillId="29" borderId="11" xfId="0" applyNumberFormat="1" applyFont="1" applyFill="1" applyBorder="1" applyAlignment="1" applyProtection="1">
      <alignment horizontal="center"/>
      <protection/>
    </xf>
    <xf numFmtId="165" fontId="30" fillId="29" borderId="11" xfId="60" applyNumberFormat="1" applyFont="1" applyFill="1" applyBorder="1" applyAlignment="1" applyProtection="1">
      <alignment horizontal="center"/>
      <protection/>
    </xf>
    <xf numFmtId="165" fontId="35" fillId="29" borderId="11" xfId="60" applyNumberFormat="1" applyFont="1" applyFill="1" applyBorder="1" applyAlignment="1" applyProtection="1">
      <alignment horizontal="center"/>
      <protection/>
    </xf>
    <xf numFmtId="165" fontId="30" fillId="29" borderId="11" xfId="0" applyNumberFormat="1" applyFont="1" applyFill="1" applyBorder="1" applyAlignment="1" applyProtection="1">
      <alignment horizontal="center"/>
      <protection/>
    </xf>
    <xf numFmtId="5" fontId="27" fillId="29" borderId="11" xfId="0" applyNumberFormat="1" applyFont="1" applyFill="1" applyBorder="1" applyAlignment="1" applyProtection="1">
      <alignment/>
      <protection/>
    </xf>
    <xf numFmtId="0" fontId="0" fillId="29" borderId="26" xfId="0" applyFill="1" applyBorder="1" applyAlignment="1">
      <alignment horizontal="center"/>
    </xf>
    <xf numFmtId="0" fontId="0" fillId="29" borderId="17" xfId="0" applyFill="1" applyBorder="1" applyAlignment="1">
      <alignment/>
    </xf>
    <xf numFmtId="0" fontId="0" fillId="29" borderId="10" xfId="0" applyFill="1" applyBorder="1" applyAlignment="1">
      <alignment/>
    </xf>
    <xf numFmtId="0" fontId="0" fillId="29" borderId="12" xfId="0" applyFill="1" applyBorder="1" applyAlignment="1">
      <alignment/>
    </xf>
    <xf numFmtId="0" fontId="27" fillId="29" borderId="11" xfId="0" applyFont="1" applyFill="1" applyBorder="1" applyAlignment="1">
      <alignment/>
    </xf>
    <xf numFmtId="0" fontId="27" fillId="29" borderId="10" xfId="0" applyFont="1" applyFill="1" applyBorder="1" applyAlignment="1">
      <alignment horizontal="right"/>
    </xf>
    <xf numFmtId="0" fontId="27" fillId="29" borderId="34" xfId="0" applyFont="1" applyFill="1" applyBorder="1" applyAlignment="1">
      <alignment horizontal="right"/>
    </xf>
    <xf numFmtId="9" fontId="27" fillId="29" borderId="35" xfId="0" applyNumberFormat="1" applyFont="1" applyFill="1" applyBorder="1" applyAlignment="1">
      <alignment horizontal="right"/>
    </xf>
    <xf numFmtId="0" fontId="27" fillId="29" borderId="11" xfId="0" applyFont="1" applyFill="1" applyBorder="1" applyAlignment="1">
      <alignment horizontal="right"/>
    </xf>
    <xf numFmtId="0" fontId="27" fillId="29" borderId="17" xfId="0" applyFont="1" applyFill="1" applyBorder="1" applyAlignment="1">
      <alignment/>
    </xf>
    <xf numFmtId="165" fontId="27" fillId="29" borderId="12" xfId="0" applyNumberFormat="1" applyFont="1" applyFill="1" applyBorder="1" applyAlignment="1">
      <alignment/>
    </xf>
    <xf numFmtId="165" fontId="26" fillId="29" borderId="11" xfId="0" applyNumberFormat="1" applyFont="1" applyFill="1" applyBorder="1" applyAlignment="1">
      <alignment/>
    </xf>
    <xf numFmtId="165" fontId="27" fillId="29" borderId="17" xfId="0" applyNumberFormat="1" applyFont="1" applyFill="1" applyBorder="1" applyAlignment="1">
      <alignment/>
    </xf>
    <xf numFmtId="165" fontId="0" fillId="29" borderId="17" xfId="0" applyNumberFormat="1" applyFill="1" applyBorder="1" applyAlignment="1">
      <alignment/>
    </xf>
    <xf numFmtId="165" fontId="0" fillId="29" borderId="12" xfId="0" applyNumberFormat="1" applyFill="1" applyBorder="1" applyAlignment="1">
      <alignment/>
    </xf>
    <xf numFmtId="0" fontId="0" fillId="29" borderId="36" xfId="0" applyFill="1" applyBorder="1" applyAlignment="1">
      <alignment/>
    </xf>
    <xf numFmtId="0" fontId="27" fillId="29" borderId="20" xfId="0" applyFont="1" applyFill="1" applyBorder="1" applyAlignment="1">
      <alignment/>
    </xf>
    <xf numFmtId="0" fontId="26" fillId="29" borderId="11" xfId="0" applyFont="1" applyFill="1" applyBorder="1" applyAlignment="1">
      <alignment/>
    </xf>
    <xf numFmtId="37" fontId="27" fillId="29" borderId="11" xfId="0" applyNumberFormat="1" applyFont="1" applyFill="1" applyBorder="1" applyAlignment="1">
      <alignment/>
    </xf>
    <xf numFmtId="37" fontId="27" fillId="29" borderId="10" xfId="0" applyNumberFormat="1" applyFont="1" applyFill="1" applyBorder="1" applyAlignment="1">
      <alignment/>
    </xf>
    <xf numFmtId="5" fontId="27" fillId="29" borderId="12" xfId="0" applyNumberFormat="1" applyFont="1" applyFill="1" applyBorder="1" applyAlignment="1">
      <alignment/>
    </xf>
    <xf numFmtId="5" fontId="27" fillId="29" borderId="11" xfId="0" applyNumberFormat="1" applyFont="1" applyFill="1" applyBorder="1" applyAlignment="1">
      <alignment/>
    </xf>
    <xf numFmtId="0" fontId="26" fillId="29" borderId="11" xfId="0" applyFont="1" applyFill="1" applyBorder="1" applyAlignment="1">
      <alignment horizontal="center"/>
    </xf>
    <xf numFmtId="0" fontId="0" fillId="29" borderId="29" xfId="0" applyFont="1" applyFill="1" applyBorder="1" applyAlignment="1">
      <alignment horizontal="center"/>
    </xf>
    <xf numFmtId="0" fontId="27" fillId="29" borderId="26" xfId="0" applyFont="1" applyFill="1" applyBorder="1" applyAlignment="1">
      <alignment horizontal="center"/>
    </xf>
    <xf numFmtId="0" fontId="27" fillId="29" borderId="30" xfId="0" applyFont="1" applyFill="1" applyBorder="1" applyAlignment="1">
      <alignment horizontal="center"/>
    </xf>
    <xf numFmtId="0" fontId="26" fillId="29" borderId="19" xfId="0" applyFont="1" applyFill="1" applyBorder="1" applyAlignment="1">
      <alignment horizontal="center" wrapText="1"/>
    </xf>
    <xf numFmtId="0" fontId="26" fillId="29" borderId="19" xfId="0" applyFont="1" applyFill="1" applyBorder="1" applyAlignment="1">
      <alignment horizontal="center"/>
    </xf>
    <xf numFmtId="0" fontId="26" fillId="29" borderId="28" xfId="0" applyFont="1" applyFill="1" applyBorder="1" applyAlignment="1">
      <alignment horizontal="center"/>
    </xf>
    <xf numFmtId="0" fontId="0" fillId="29" borderId="32" xfId="0" applyFont="1" applyFill="1" applyBorder="1" applyAlignment="1">
      <alignment horizontal="center"/>
    </xf>
    <xf numFmtId="0" fontId="0" fillId="29" borderId="37" xfId="0" applyFill="1" applyBorder="1" applyAlignment="1">
      <alignment horizontal="center"/>
    </xf>
    <xf numFmtId="0" fontId="27" fillId="29" borderId="37" xfId="0" applyFont="1" applyFill="1" applyBorder="1" applyAlignment="1">
      <alignment horizontal="center"/>
    </xf>
    <xf numFmtId="0" fontId="27" fillId="29" borderId="38" xfId="0" applyFont="1" applyFill="1" applyBorder="1" applyAlignment="1">
      <alignment horizontal="center"/>
    </xf>
    <xf numFmtId="0" fontId="27" fillId="29" borderId="28" xfId="0" applyFont="1" applyFill="1" applyBorder="1" applyAlignment="1">
      <alignment horizontal="center"/>
    </xf>
    <xf numFmtId="0" fontId="0" fillId="29" borderId="29" xfId="0" applyFont="1" applyFill="1" applyBorder="1" applyAlignment="1">
      <alignment wrapText="1"/>
    </xf>
    <xf numFmtId="0" fontId="0" fillId="29" borderId="30" xfId="0" applyFont="1" applyFill="1" applyBorder="1" applyAlignment="1">
      <alignment/>
    </xf>
    <xf numFmtId="0" fontId="27" fillId="29" borderId="20" xfId="0" applyFont="1" applyFill="1" applyBorder="1" applyAlignment="1">
      <alignment horizontal="center"/>
    </xf>
    <xf numFmtId="0" fontId="27" fillId="29" borderId="29" xfId="0" applyFont="1" applyFill="1" applyBorder="1" applyAlignment="1">
      <alignment wrapText="1"/>
    </xf>
    <xf numFmtId="0" fontId="0" fillId="29" borderId="32" xfId="0" applyFont="1" applyFill="1" applyBorder="1" applyAlignment="1">
      <alignment wrapText="1"/>
    </xf>
    <xf numFmtId="0" fontId="0" fillId="29" borderId="38" xfId="0" applyFont="1" applyFill="1" applyBorder="1" applyAlignment="1">
      <alignment/>
    </xf>
    <xf numFmtId="0" fontId="27" fillId="29" borderId="28" xfId="0" applyFont="1" applyFill="1" applyBorder="1" applyAlignment="1">
      <alignment/>
    </xf>
    <xf numFmtId="0" fontId="27" fillId="29" borderId="21" xfId="0" applyFont="1" applyFill="1" applyBorder="1" applyAlignment="1">
      <alignment horizontal="center"/>
    </xf>
    <xf numFmtId="0" fontId="27" fillId="29" borderId="32" xfId="0" applyFont="1" applyFill="1" applyBorder="1" applyAlignment="1">
      <alignment wrapText="1"/>
    </xf>
    <xf numFmtId="0" fontId="0" fillId="29" borderId="26" xfId="0" applyFont="1" applyFill="1" applyBorder="1" applyAlignment="1">
      <alignment horizontal="center"/>
    </xf>
    <xf numFmtId="0" fontId="27" fillId="29" borderId="19" xfId="0" applyFont="1" applyFill="1" applyBorder="1" applyAlignment="1">
      <alignment horizontal="center" wrapText="1"/>
    </xf>
    <xf numFmtId="0" fontId="27" fillId="29" borderId="19" xfId="0" applyFont="1" applyFill="1" applyBorder="1" applyAlignment="1">
      <alignment horizontal="center"/>
    </xf>
    <xf numFmtId="0" fontId="0" fillId="29" borderId="37" xfId="0" applyFont="1" applyFill="1" applyBorder="1" applyAlignment="1">
      <alignment horizontal="center"/>
    </xf>
    <xf numFmtId="0" fontId="0" fillId="29" borderId="39" xfId="0" applyFill="1" applyBorder="1" applyAlignment="1">
      <alignment/>
    </xf>
    <xf numFmtId="0" fontId="0" fillId="0" borderId="12" xfId="0" applyBorder="1" applyAlignment="1" applyProtection="1">
      <alignment horizontal="right"/>
      <protection locked="0"/>
    </xf>
    <xf numFmtId="37" fontId="0" fillId="26" borderId="22" xfId="0" applyNumberFormat="1" applyFill="1" applyBorder="1" applyAlignment="1">
      <alignment horizontal="center"/>
    </xf>
    <xf numFmtId="0" fontId="0" fillId="26" borderId="16" xfId="0" applyFill="1" applyBorder="1" applyAlignment="1">
      <alignment horizontal="center"/>
    </xf>
    <xf numFmtId="37" fontId="0" fillId="26" borderId="16" xfId="0" applyNumberFormat="1" applyFill="1" applyBorder="1" applyAlignment="1">
      <alignment horizontal="center"/>
    </xf>
    <xf numFmtId="5" fontId="27" fillId="27" borderId="24" xfId="0" applyNumberFormat="1" applyFont="1" applyFill="1" applyBorder="1" applyAlignment="1" applyProtection="1">
      <alignment/>
      <protection locked="0"/>
    </xf>
    <xf numFmtId="0" fontId="0" fillId="0" borderId="22" xfId="0" applyBorder="1" applyAlignment="1" applyProtection="1">
      <alignment horizontal="center"/>
      <protection locked="0"/>
    </xf>
    <xf numFmtId="0" fontId="27" fillId="28" borderId="20" xfId="0" applyFont="1" applyFill="1" applyBorder="1" applyAlignment="1">
      <alignment horizontal="left"/>
    </xf>
    <xf numFmtId="0" fontId="27" fillId="29" borderId="26" xfId="0" applyFont="1" applyFill="1" applyBorder="1" applyAlignment="1">
      <alignment/>
    </xf>
    <xf numFmtId="0" fontId="27" fillId="29" borderId="30" xfId="0" applyFont="1" applyFill="1" applyBorder="1" applyAlignment="1">
      <alignment/>
    </xf>
    <xf numFmtId="0" fontId="27" fillId="29" borderId="11" xfId="0" applyFont="1" applyFill="1" applyBorder="1" applyAlignment="1">
      <alignment horizontal="center" wrapText="1"/>
    </xf>
    <xf numFmtId="0" fontId="0" fillId="29" borderId="28" xfId="0" applyFill="1" applyBorder="1" applyAlignment="1">
      <alignment/>
    </xf>
    <xf numFmtId="0" fontId="27" fillId="29" borderId="19" xfId="0" applyFont="1" applyFill="1" applyBorder="1" applyAlignment="1">
      <alignment horizontal="center"/>
    </xf>
    <xf numFmtId="177" fontId="27" fillId="29" borderId="11" xfId="0" applyNumberFormat="1" applyFont="1" applyFill="1" applyBorder="1" applyAlignment="1">
      <alignment horizontal="right"/>
    </xf>
    <xf numFmtId="177" fontId="27" fillId="29" borderId="11" xfId="0" applyNumberFormat="1" applyFont="1" applyFill="1" applyBorder="1" applyAlignment="1">
      <alignment/>
    </xf>
    <xf numFmtId="178" fontId="27" fillId="29" borderId="17" xfId="0" applyNumberFormat="1" applyFont="1" applyFill="1" applyBorder="1" applyAlignment="1">
      <alignment/>
    </xf>
    <xf numFmtId="177" fontId="27" fillId="29" borderId="17" xfId="0" applyNumberFormat="1" applyFont="1" applyFill="1" applyBorder="1" applyAlignment="1">
      <alignment/>
    </xf>
    <xf numFmtId="9" fontId="27" fillId="29" borderId="39" xfId="0" applyNumberFormat="1" applyFont="1" applyFill="1" applyBorder="1" applyAlignment="1">
      <alignment horizontal="right"/>
    </xf>
    <xf numFmtId="9" fontId="27" fillId="29" borderId="11" xfId="0" applyNumberFormat="1" applyFont="1" applyFill="1" applyBorder="1" applyAlignment="1">
      <alignment/>
    </xf>
    <xf numFmtId="0" fontId="27" fillId="29" borderId="11" xfId="0" applyFont="1" applyFill="1" applyBorder="1" applyAlignment="1" applyProtection="1">
      <alignment horizontal="center"/>
      <protection/>
    </xf>
    <xf numFmtId="0" fontId="0" fillId="29" borderId="11" xfId="0" applyFont="1" applyFill="1" applyBorder="1" applyAlignment="1" applyProtection="1">
      <alignment horizontal="center"/>
      <protection/>
    </xf>
    <xf numFmtId="0" fontId="0" fillId="29" borderId="11" xfId="0" applyFont="1" applyFill="1" applyBorder="1" applyAlignment="1" applyProtection="1" quotePrefix="1">
      <alignment horizontal="center"/>
      <protection/>
    </xf>
    <xf numFmtId="0" fontId="0" fillId="28" borderId="11" xfId="0" applyFont="1" applyFill="1" applyBorder="1" applyAlignment="1" applyProtection="1">
      <alignment horizontal="left" wrapText="1"/>
      <protection/>
    </xf>
    <xf numFmtId="16" fontId="27" fillId="28" borderId="11"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9" borderId="10" xfId="0" applyNumberFormat="1" applyFont="1" applyFill="1" applyBorder="1" applyAlignment="1" applyProtection="1">
      <alignment horizontal="center"/>
      <protection/>
    </xf>
    <xf numFmtId="0" fontId="27" fillId="29" borderId="19" xfId="0" applyFont="1" applyFill="1" applyBorder="1" applyAlignment="1" applyProtection="1">
      <alignment/>
      <protection/>
    </xf>
    <xf numFmtId="0" fontId="27" fillId="29" borderId="11" xfId="0" applyFont="1" applyFill="1" applyBorder="1" applyAlignment="1" applyProtection="1">
      <alignment/>
      <protection/>
    </xf>
    <xf numFmtId="0" fontId="27" fillId="29" borderId="17" xfId="0" applyFont="1" applyFill="1" applyBorder="1" applyAlignment="1" applyProtection="1">
      <alignment horizontal="right"/>
      <protection/>
    </xf>
    <xf numFmtId="9" fontId="27" fillId="29" borderId="10" xfId="0" applyNumberFormat="1" applyFont="1" applyFill="1" applyBorder="1" applyAlignment="1" applyProtection="1">
      <alignment horizontal="right"/>
      <protection/>
    </xf>
    <xf numFmtId="37" fontId="27" fillId="29" borderId="10" xfId="0" applyNumberFormat="1" applyFont="1" applyFill="1" applyBorder="1" applyAlignment="1" applyProtection="1">
      <alignment horizontal="right"/>
      <protection/>
    </xf>
    <xf numFmtId="165" fontId="27" fillId="29" borderId="10" xfId="0" applyNumberFormat="1" applyFont="1" applyFill="1" applyBorder="1" applyAlignment="1" applyProtection="1">
      <alignment horizontal="right"/>
      <protection/>
    </xf>
    <xf numFmtId="5" fontId="27" fillId="29" borderId="19" xfId="0" applyNumberFormat="1" applyFont="1" applyFill="1" applyBorder="1" applyAlignment="1" applyProtection="1">
      <alignment horizontal="right"/>
      <protection/>
    </xf>
    <xf numFmtId="5" fontId="27" fillId="0" borderId="24" xfId="0" applyNumberFormat="1" applyFont="1" applyBorder="1" applyAlignment="1" applyProtection="1">
      <alignment horizontal="right"/>
      <protection/>
    </xf>
    <xf numFmtId="5" fontId="35" fillId="29" borderId="11" xfId="60"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9" borderId="11" xfId="60" applyNumberFormat="1" applyFont="1" applyFill="1" applyBorder="1" applyAlignment="1" applyProtection="1">
      <alignment horizontal="center"/>
      <protection/>
    </xf>
    <xf numFmtId="0" fontId="27" fillId="27" borderId="11" xfId="0" applyFont="1" applyFill="1" applyBorder="1" applyAlignment="1" applyProtection="1">
      <alignment horizontal="center"/>
      <protection locked="0"/>
    </xf>
    <xf numFmtId="0" fontId="21" fillId="27" borderId="20" xfId="0" applyFont="1" applyFill="1" applyBorder="1" applyAlignment="1">
      <alignment wrapText="1"/>
    </xf>
    <xf numFmtId="0" fontId="26" fillId="27" borderId="25" xfId="0" applyFont="1" applyFill="1" applyBorder="1" applyAlignment="1">
      <alignment wrapText="1"/>
    </xf>
    <xf numFmtId="0" fontId="21" fillId="27" borderId="14" xfId="0" applyFont="1" applyFill="1" applyBorder="1" applyAlignment="1">
      <alignment horizontal="center" wrapText="1"/>
    </xf>
    <xf numFmtId="0" fontId="27" fillId="27" borderId="14" xfId="0" applyFont="1" applyFill="1" applyBorder="1" applyAlignment="1">
      <alignment horizontal="center"/>
    </xf>
    <xf numFmtId="0" fontId="0" fillId="27" borderId="14" xfId="0" applyFill="1" applyBorder="1" applyAlignment="1">
      <alignment horizontal="center"/>
    </xf>
    <xf numFmtId="0" fontId="0" fillId="27" borderId="14" xfId="0" applyFont="1" applyFill="1" applyBorder="1" applyAlignment="1">
      <alignment horizontal="center"/>
    </xf>
    <xf numFmtId="0" fontId="0" fillId="27" borderId="14" xfId="0" applyFill="1" applyBorder="1" applyAlignment="1" applyProtection="1">
      <alignment horizontal="center"/>
      <protection locked="0"/>
    </xf>
    <xf numFmtId="0" fontId="0" fillId="27" borderId="14" xfId="0" applyFont="1" applyFill="1" applyBorder="1" applyAlignment="1">
      <alignment wrapText="1"/>
    </xf>
    <xf numFmtId="0" fontId="0" fillId="27" borderId="14" xfId="0" applyFont="1" applyFill="1" applyBorder="1" applyAlignment="1">
      <alignment/>
    </xf>
    <xf numFmtId="0" fontId="27" fillId="27" borderId="14" xfId="0" applyFont="1" applyFill="1" applyBorder="1" applyAlignment="1">
      <alignment/>
    </xf>
    <xf numFmtId="0" fontId="27" fillId="27" borderId="14" xfId="0" applyFont="1" applyFill="1" applyBorder="1" applyAlignment="1" applyProtection="1">
      <alignment/>
      <protection locked="0"/>
    </xf>
    <xf numFmtId="0" fontId="0" fillId="27" borderId="14" xfId="0" applyFont="1" applyFill="1" applyBorder="1" applyAlignment="1" applyProtection="1" quotePrefix="1">
      <alignment horizontal="center"/>
      <protection locked="0"/>
    </xf>
    <xf numFmtId="0" fontId="27" fillId="27" borderId="18" xfId="0" applyFont="1" applyFill="1" applyBorder="1" applyAlignment="1">
      <alignment/>
    </xf>
    <xf numFmtId="0" fontId="21" fillId="27" borderId="16" xfId="0" applyFont="1" applyFill="1" applyBorder="1" applyAlignment="1">
      <alignment horizontal="center" vertical="top" wrapText="1"/>
    </xf>
    <xf numFmtId="5" fontId="27" fillId="27" borderId="16" xfId="0" applyNumberFormat="1" applyFont="1" applyFill="1" applyBorder="1" applyAlignment="1" applyProtection="1">
      <alignment/>
      <protection locked="0"/>
    </xf>
    <xf numFmtId="0" fontId="0" fillId="27" borderId="16" xfId="0" applyFill="1" applyBorder="1" applyAlignment="1" applyProtection="1">
      <alignment/>
      <protection locked="0"/>
    </xf>
    <xf numFmtId="0" fontId="21" fillId="27" borderId="16" xfId="0" applyFont="1" applyFill="1" applyBorder="1" applyAlignment="1" applyProtection="1">
      <alignment/>
      <protection locked="0"/>
    </xf>
    <xf numFmtId="0" fontId="27" fillId="27" borderId="16" xfId="0" applyFont="1" applyFill="1" applyBorder="1" applyAlignment="1" applyProtection="1">
      <alignment horizontal="center"/>
      <protection locked="0"/>
    </xf>
    <xf numFmtId="0" fontId="0" fillId="27" borderId="22" xfId="0" applyFill="1" applyBorder="1" applyAlignment="1" applyProtection="1">
      <alignment/>
      <protection locked="0"/>
    </xf>
    <xf numFmtId="0" fontId="21" fillId="27" borderId="24" xfId="0" applyFont="1" applyFill="1" applyBorder="1" applyAlignment="1">
      <alignment horizontal="center" vertical="top" wrapText="1"/>
    </xf>
    <xf numFmtId="0" fontId="21" fillId="27" borderId="24" xfId="0" applyFont="1" applyFill="1" applyBorder="1" applyAlignment="1">
      <alignment horizontal="left" vertical="top" wrapText="1"/>
    </xf>
    <xf numFmtId="0" fontId="21" fillId="27" borderId="24"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8" borderId="11" xfId="0" applyNumberFormat="1" applyFont="1" applyFill="1" applyBorder="1" applyAlignment="1">
      <alignment horizontal="center"/>
    </xf>
    <xf numFmtId="5" fontId="27" fillId="28" borderId="11" xfId="0" applyNumberFormat="1" applyFont="1" applyFill="1" applyBorder="1" applyAlignment="1">
      <alignment horizontal="center"/>
    </xf>
    <xf numFmtId="0" fontId="22" fillId="0" borderId="22" xfId="0" applyFont="1" applyBorder="1" applyAlignment="1">
      <alignment vertical="top" wrapText="1"/>
    </xf>
    <xf numFmtId="0" fontId="22" fillId="26" borderId="13" xfId="0" applyFont="1" applyFill="1" applyBorder="1" applyAlignment="1">
      <alignment vertical="top" wrapText="1"/>
    </xf>
    <xf numFmtId="0" fontId="26" fillId="0" borderId="19" xfId="0" applyFont="1" applyBorder="1" applyAlignment="1">
      <alignment wrapText="1"/>
    </xf>
    <xf numFmtId="0" fontId="22" fillId="26" borderId="24" xfId="0" applyFont="1" applyFill="1" applyBorder="1" applyAlignment="1">
      <alignment vertical="top" wrapText="1"/>
    </xf>
    <xf numFmtId="0" fontId="22" fillId="26" borderId="19" xfId="0" applyFont="1" applyFill="1" applyBorder="1" applyAlignment="1">
      <alignment vertical="top" wrapText="1"/>
    </xf>
    <xf numFmtId="0" fontId="46" fillId="29" borderId="11" xfId="0" applyFont="1" applyFill="1" applyBorder="1" applyAlignment="1" applyProtection="1">
      <alignment horizontal="left" indent="2"/>
      <protection/>
    </xf>
    <xf numFmtId="0" fontId="27" fillId="26" borderId="11" xfId="0" applyFont="1" applyFill="1" applyBorder="1" applyAlignment="1">
      <alignment horizontal="center"/>
    </xf>
    <xf numFmtId="165" fontId="35" fillId="25" borderId="11" xfId="60" applyNumberFormat="1" applyFont="1" applyFill="1" applyBorder="1" applyAlignment="1" applyProtection="1">
      <alignment horizontal="center"/>
      <protection locked="0"/>
    </xf>
    <xf numFmtId="165" fontId="30" fillId="25" borderId="11" xfId="60" applyNumberFormat="1" applyFont="1" applyFill="1" applyBorder="1" applyAlignment="1" applyProtection="1">
      <alignment horizontal="center"/>
      <protection locked="0"/>
    </xf>
    <xf numFmtId="0" fontId="27" fillId="26" borderId="20"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9" borderId="17" xfId="60" applyFont="1" applyFill="1" applyBorder="1" applyAlignment="1" applyProtection="1">
      <alignment horizontal="left" vertical="top"/>
      <protection locked="0"/>
    </xf>
    <xf numFmtId="0" fontId="37" fillId="28" borderId="11" xfId="60" applyFont="1" applyFill="1" applyBorder="1" applyAlignment="1" applyProtection="1">
      <alignment horizontal="left" indent="1"/>
      <protection/>
    </xf>
    <xf numFmtId="169" fontId="47" fillId="29" borderId="11" xfId="60" applyNumberFormat="1" applyFont="1" applyFill="1" applyBorder="1" applyAlignment="1" applyProtection="1">
      <alignment horizontal="right"/>
      <protection/>
    </xf>
    <xf numFmtId="166" fontId="0" fillId="0" borderId="0" xfId="0" applyNumberFormat="1" applyAlignment="1">
      <alignment/>
    </xf>
    <xf numFmtId="166" fontId="47" fillId="29" borderId="11" xfId="60" applyNumberFormat="1" applyFont="1" applyFill="1" applyBorder="1" applyAlignment="1" applyProtection="1">
      <alignment horizontal="right"/>
      <protection/>
    </xf>
    <xf numFmtId="0" fontId="32" fillId="29" borderId="11" xfId="0" applyNumberFormat="1" applyFont="1" applyFill="1" applyBorder="1" applyAlignment="1" applyProtection="1">
      <alignment horizontal="left" wrapText="1" indent="2"/>
      <protection locked="0"/>
    </xf>
    <xf numFmtId="0" fontId="32" fillId="29" borderId="11" xfId="0" applyNumberFormat="1" applyFont="1" applyFill="1" applyBorder="1" applyAlignment="1" applyProtection="1">
      <alignment horizontal="left" indent="2"/>
      <protection locked="0"/>
    </xf>
    <xf numFmtId="0" fontId="30" fillId="29" borderId="10" xfId="60" applyFont="1" applyFill="1" applyBorder="1" applyAlignment="1" applyProtection="1">
      <alignment horizontal="left" vertical="top"/>
      <protection/>
    </xf>
    <xf numFmtId="0" fontId="30" fillId="29" borderId="17" xfId="60" applyFont="1" applyFill="1" applyBorder="1" applyAlignment="1" applyProtection="1">
      <alignment horizontal="left" vertical="top"/>
      <protection/>
    </xf>
    <xf numFmtId="0" fontId="36" fillId="29" borderId="10" xfId="60" applyFont="1" applyFill="1" applyBorder="1" applyAlignment="1" applyProtection="1">
      <alignment horizontal="left" vertical="top" wrapText="1"/>
      <protection/>
    </xf>
    <xf numFmtId="0" fontId="30" fillId="29" borderId="13" xfId="60" applyFont="1" applyFill="1" applyBorder="1" applyAlignment="1" applyProtection="1">
      <alignment horizontal="left" vertical="top"/>
      <protection/>
    </xf>
    <xf numFmtId="0" fontId="30" fillId="29" borderId="40" xfId="60" applyFont="1" applyFill="1" applyBorder="1" applyAlignment="1" applyProtection="1">
      <alignment horizontal="left" vertical="top"/>
      <protection/>
    </xf>
    <xf numFmtId="0" fontId="22" fillId="29" borderId="10" xfId="0" applyFont="1" applyFill="1" applyBorder="1" applyAlignment="1" applyProtection="1">
      <alignment vertical="top" wrapText="1"/>
      <protection/>
    </xf>
    <xf numFmtId="0" fontId="30" fillId="29" borderId="17" xfId="60" applyFont="1" applyFill="1" applyBorder="1" applyAlignment="1" applyProtection="1">
      <alignment horizontal="left" indent="2"/>
      <protection/>
    </xf>
    <xf numFmtId="0" fontId="30" fillId="29" borderId="10" xfId="60" applyFont="1" applyFill="1" applyBorder="1" applyAlignment="1" applyProtection="1">
      <alignment horizontal="left" indent="2"/>
      <protection/>
    </xf>
    <xf numFmtId="0" fontId="30" fillId="29" borderId="35" xfId="60" applyFont="1" applyFill="1" applyBorder="1" applyAlignment="1" applyProtection="1">
      <alignment horizontal="left" vertical="top"/>
      <protection/>
    </xf>
    <xf numFmtId="0" fontId="22" fillId="26" borderId="11" xfId="0" applyFont="1" applyFill="1" applyBorder="1" applyAlignment="1">
      <alignment horizontal="left" vertical="top" wrapText="1"/>
    </xf>
    <xf numFmtId="0" fontId="27" fillId="26" borderId="13" xfId="0" applyFont="1" applyFill="1" applyBorder="1" applyAlignment="1">
      <alignment horizontal="center"/>
    </xf>
    <xf numFmtId="0" fontId="27" fillId="26" borderId="19" xfId="0" applyFont="1" applyFill="1" applyBorder="1" applyAlignment="1">
      <alignment horizontal="center"/>
    </xf>
    <xf numFmtId="0" fontId="27" fillId="26" borderId="24" xfId="0" applyFont="1" applyFill="1" applyBorder="1" applyAlignment="1">
      <alignment horizontal="center"/>
    </xf>
    <xf numFmtId="49" fontId="22" fillId="0" borderId="13" xfId="0" applyNumberFormat="1" applyFont="1" applyFill="1" applyBorder="1" applyAlignment="1">
      <alignment horizontal="left" vertical="center" wrapText="1"/>
    </xf>
    <xf numFmtId="49" fontId="22" fillId="0" borderId="24" xfId="0" applyNumberFormat="1" applyFont="1" applyFill="1" applyBorder="1" applyAlignment="1">
      <alignment horizontal="left" vertical="center" wrapText="1"/>
    </xf>
    <xf numFmtId="49" fontId="22" fillId="0" borderId="24" xfId="0" applyNumberFormat="1" applyFont="1" applyFill="1" applyBorder="1" applyAlignment="1">
      <alignment horizontal="left" vertical="top" wrapText="1"/>
    </xf>
    <xf numFmtId="49" fontId="22" fillId="0" borderId="19"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0" fontId="0" fillId="29" borderId="21" xfId="0" applyFill="1" applyBorder="1" applyAlignment="1">
      <alignment/>
    </xf>
    <xf numFmtId="0" fontId="22" fillId="0" borderId="24" xfId="0" applyFont="1" applyFill="1" applyBorder="1" applyAlignment="1">
      <alignment wrapText="1"/>
    </xf>
    <xf numFmtId="0" fontId="22" fillId="26" borderId="11" xfId="0" applyNumberFormat="1" applyFont="1" applyFill="1" applyBorder="1" applyAlignment="1">
      <alignment horizontal="left" vertical="top" wrapText="1"/>
    </xf>
    <xf numFmtId="0" fontId="26" fillId="26" borderId="11" xfId="0" applyNumberFormat="1" applyFont="1" applyFill="1" applyBorder="1" applyAlignment="1" quotePrefix="1">
      <alignment horizontal="left" vertical="top" wrapText="1"/>
    </xf>
    <xf numFmtId="0" fontId="26" fillId="26" borderId="11" xfId="0" applyNumberFormat="1" applyFont="1" applyFill="1" applyBorder="1" applyAlignment="1" quotePrefix="1">
      <alignment horizontal="left" wrapText="1"/>
    </xf>
    <xf numFmtId="0" fontId="21" fillId="25" borderId="28" xfId="0" applyFont="1" applyFill="1" applyBorder="1" applyAlignment="1">
      <alignment horizontal="center" wrapText="1"/>
    </xf>
    <xf numFmtId="0" fontId="22" fillId="0" borderId="28" xfId="0" applyFont="1" applyBorder="1" applyAlignment="1">
      <alignment vertical="top" wrapText="1"/>
    </xf>
    <xf numFmtId="0" fontId="26" fillId="25" borderId="28" xfId="0" applyFont="1" applyFill="1" applyBorder="1" applyAlignment="1">
      <alignment horizontal="center" wrapText="1"/>
    </xf>
    <xf numFmtId="0" fontId="27" fillId="31" borderId="11" xfId="0" applyFont="1" applyFill="1" applyBorder="1" applyAlignment="1">
      <alignment horizontal="center"/>
    </xf>
    <xf numFmtId="0" fontId="39" fillId="0" borderId="24" xfId="0" applyFont="1" applyBorder="1" applyAlignment="1">
      <alignment vertical="top" wrapText="1"/>
    </xf>
    <xf numFmtId="0" fontId="28" fillId="25" borderId="11"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39" xfId="0" applyFont="1" applyBorder="1" applyAlignment="1" applyProtection="1">
      <alignment/>
      <protection/>
    </xf>
    <xf numFmtId="0" fontId="0" fillId="0" borderId="41" xfId="0" applyBorder="1" applyAlignment="1" applyProtection="1">
      <alignment/>
      <protection/>
    </xf>
    <xf numFmtId="0" fontId="0" fillId="0" borderId="39" xfId="0" applyBorder="1" applyAlignment="1" applyProtection="1">
      <alignment/>
      <protection/>
    </xf>
    <xf numFmtId="0" fontId="0" fillId="0" borderId="41" xfId="0" applyBorder="1" applyAlignment="1" applyProtection="1">
      <alignment/>
      <protection locked="0"/>
    </xf>
    <xf numFmtId="0" fontId="0" fillId="0" borderId="36" xfId="0" applyBorder="1" applyAlignment="1" applyProtection="1">
      <alignment horizontal="left" indent="1"/>
      <protection/>
    </xf>
    <xf numFmtId="0" fontId="0" fillId="0" borderId="32" xfId="0" applyFill="1" applyBorder="1" applyAlignment="1" applyProtection="1">
      <alignment/>
      <protection locked="0"/>
    </xf>
    <xf numFmtId="0" fontId="0" fillId="0" borderId="39"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41" xfId="0" applyFill="1" applyBorder="1" applyAlignment="1" applyProtection="1">
      <alignment/>
      <protection locked="0"/>
    </xf>
    <xf numFmtId="0" fontId="0" fillId="29" borderId="25" xfId="0" applyFont="1" applyFill="1" applyBorder="1" applyAlignment="1" applyProtection="1">
      <alignment/>
      <protection/>
    </xf>
    <xf numFmtId="0" fontId="0" fillId="29" borderId="23" xfId="0" applyFill="1" applyBorder="1" applyAlignment="1" applyProtection="1">
      <alignment/>
      <protection/>
    </xf>
    <xf numFmtId="0" fontId="0" fillId="29" borderId="31" xfId="0" applyFill="1" applyBorder="1" applyAlignment="1" applyProtection="1">
      <alignment/>
      <protection/>
    </xf>
    <xf numFmtId="0" fontId="0" fillId="29" borderId="14" xfId="0" applyFill="1" applyBorder="1" applyAlignment="1" applyProtection="1">
      <alignment horizontal="left" indent="1"/>
      <protection/>
    </xf>
    <xf numFmtId="0" fontId="0" fillId="29" borderId="0" xfId="0" applyFill="1" applyBorder="1" applyAlignment="1" applyProtection="1">
      <alignment/>
      <protection/>
    </xf>
    <xf numFmtId="0" fontId="0" fillId="29" borderId="16" xfId="0" applyFill="1" applyBorder="1" applyAlignment="1" applyProtection="1">
      <alignment/>
      <protection/>
    </xf>
    <xf numFmtId="0" fontId="0" fillId="29" borderId="15" xfId="0" applyFill="1" applyBorder="1" applyAlignment="1" applyProtection="1">
      <alignment/>
      <protection/>
    </xf>
    <xf numFmtId="0" fontId="0" fillId="29" borderId="22" xfId="0" applyFill="1" applyBorder="1" applyAlignment="1" applyProtection="1">
      <alignment/>
      <protection/>
    </xf>
    <xf numFmtId="0" fontId="0" fillId="29" borderId="25" xfId="0" applyFill="1" applyBorder="1" applyAlignment="1" applyProtection="1">
      <alignment/>
      <protection/>
    </xf>
    <xf numFmtId="0" fontId="0" fillId="29" borderId="18" xfId="0" applyFont="1" applyFill="1" applyBorder="1" applyAlignment="1" applyProtection="1">
      <alignment horizontal="left" indent="1"/>
      <protection/>
    </xf>
    <xf numFmtId="0" fontId="0" fillId="29" borderId="14" xfId="0" applyFont="1" applyFill="1" applyBorder="1" applyAlignment="1" applyProtection="1">
      <alignment horizontal="left" indent="1"/>
      <protection/>
    </xf>
    <xf numFmtId="0" fontId="21" fillId="29" borderId="11" xfId="0" applyFont="1" applyFill="1" applyBorder="1" applyAlignment="1" applyProtection="1">
      <alignment/>
      <protection/>
    </xf>
    <xf numFmtId="0" fontId="21" fillId="29" borderId="20" xfId="0" applyFont="1" applyFill="1" applyBorder="1" applyAlignment="1" applyProtection="1">
      <alignment/>
      <protection/>
    </xf>
    <xf numFmtId="0" fontId="0" fillId="29" borderId="21" xfId="0" applyFill="1" applyBorder="1" applyAlignment="1" applyProtection="1">
      <alignment/>
      <protection/>
    </xf>
    <xf numFmtId="0" fontId="0" fillId="29" borderId="28" xfId="0" applyFill="1" applyBorder="1" applyAlignment="1" applyProtection="1">
      <alignment/>
      <protection/>
    </xf>
    <xf numFmtId="0" fontId="0" fillId="29" borderId="20" xfId="0" applyFont="1" applyFill="1" applyBorder="1" applyAlignment="1" applyProtection="1">
      <alignment/>
      <protection/>
    </xf>
    <xf numFmtId="0" fontId="0" fillId="29" borderId="17" xfId="0" applyFill="1" applyBorder="1" applyAlignment="1" applyProtection="1">
      <alignment horizontal="left" indent="1"/>
      <protection/>
    </xf>
    <xf numFmtId="0" fontId="0" fillId="29" borderId="10" xfId="0" applyFill="1" applyBorder="1" applyAlignment="1" applyProtection="1">
      <alignment horizontal="left" indent="1"/>
      <protection/>
    </xf>
    <xf numFmtId="0" fontId="0" fillId="29" borderId="12" xfId="0" applyFill="1" applyBorder="1" applyAlignment="1" applyProtection="1">
      <alignment horizontal="left" indent="1"/>
      <protection/>
    </xf>
    <xf numFmtId="0" fontId="0" fillId="29" borderId="11" xfId="0" applyFill="1" applyBorder="1" applyAlignment="1" applyProtection="1">
      <alignment horizontal="left" wrapText="1" indent="1"/>
      <protection/>
    </xf>
    <xf numFmtId="0" fontId="22" fillId="0" borderId="11" xfId="0" applyFont="1" applyFill="1" applyBorder="1" applyAlignment="1">
      <alignment vertical="center" wrapText="1"/>
    </xf>
    <xf numFmtId="0" fontId="27" fillId="0" borderId="11" xfId="0" applyFont="1" applyFill="1" applyBorder="1" applyAlignment="1">
      <alignment horizontal="center" vertical="center"/>
    </xf>
    <xf numFmtId="49" fontId="27" fillId="0" borderId="11" xfId="0" applyNumberFormat="1" applyFont="1" applyFill="1" applyBorder="1" applyAlignment="1">
      <alignment horizontal="center" vertical="center"/>
    </xf>
    <xf numFmtId="0" fontId="26" fillId="31" borderId="11" xfId="0" applyFont="1" applyFill="1" applyBorder="1" applyAlignment="1">
      <alignment horizontal="center" wrapText="1"/>
    </xf>
    <xf numFmtId="0" fontId="30" fillId="29" borderId="17" xfId="0" applyFont="1" applyFill="1" applyBorder="1" applyAlignment="1" applyProtection="1">
      <alignment horizontal="left" vertical="top" wrapText="1" indent="1"/>
      <protection/>
    </xf>
    <xf numFmtId="0" fontId="39" fillId="26" borderId="11" xfId="0" applyNumberFormat="1" applyFont="1" applyFill="1" applyBorder="1" applyAlignment="1" quotePrefix="1">
      <alignment horizontal="left" wrapText="1"/>
    </xf>
    <xf numFmtId="0" fontId="22" fillId="0" borderId="24" xfId="0" applyNumberFormat="1" applyFont="1" applyBorder="1" applyAlignment="1">
      <alignment vertical="top" wrapText="1"/>
    </xf>
    <xf numFmtId="169" fontId="30" fillId="0" borderId="11" xfId="0" applyNumberFormat="1" applyFont="1" applyBorder="1" applyAlignment="1" applyProtection="1">
      <alignment/>
      <protection locked="0"/>
    </xf>
    <xf numFmtId="0" fontId="32" fillId="26" borderId="11" xfId="0" applyNumberFormat="1" applyFont="1" applyFill="1" applyBorder="1" applyAlignment="1" applyProtection="1">
      <alignment horizontal="left" wrapText="1" indent="2"/>
      <protection locked="0"/>
    </xf>
    <xf numFmtId="0" fontId="0" fillId="26" borderId="42" xfId="0" applyFill="1" applyBorder="1" applyAlignment="1" applyProtection="1">
      <alignment/>
      <protection locked="0"/>
    </xf>
    <xf numFmtId="0" fontId="0" fillId="26" borderId="42" xfId="0" applyFill="1" applyBorder="1" applyAlignment="1" applyProtection="1">
      <alignment horizontal="left" indent="1"/>
      <protection/>
    </xf>
    <xf numFmtId="0" fontId="22" fillId="26" borderId="11" xfId="0" applyNumberFormat="1" applyFont="1" applyFill="1" applyBorder="1" applyAlignment="1">
      <alignment horizontal="left" wrapText="1"/>
    </xf>
    <xf numFmtId="0" fontId="0" fillId="30" borderId="11" xfId="0" applyFill="1" applyBorder="1" applyAlignment="1">
      <alignment/>
    </xf>
    <xf numFmtId="165" fontId="30" fillId="29" borderId="10" xfId="60"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2" xfId="42" applyNumberFormat="1" applyFont="1" applyFill="1" applyBorder="1" applyAlignment="1" applyProtection="1">
      <alignment/>
      <protection locked="0"/>
    </xf>
    <xf numFmtId="10" fontId="27" fillId="26" borderId="12" xfId="0" applyNumberFormat="1" applyFont="1" applyFill="1" applyBorder="1" applyAlignment="1" applyProtection="1">
      <alignment/>
      <protection locked="0"/>
    </xf>
    <xf numFmtId="167" fontId="0" fillId="29" borderId="17" xfId="42" applyNumberFormat="1" applyFont="1" applyFill="1" applyBorder="1" applyAlignment="1" applyProtection="1">
      <alignment horizontal="center"/>
      <protection/>
    </xf>
    <xf numFmtId="167" fontId="0" fillId="29" borderId="10" xfId="42" applyNumberFormat="1" applyFont="1" applyFill="1" applyBorder="1" applyAlignment="1" applyProtection="1">
      <alignment horizontal="center"/>
      <protection/>
    </xf>
    <xf numFmtId="5" fontId="27" fillId="29" borderId="17" xfId="0" applyNumberFormat="1" applyFont="1" applyFill="1" applyBorder="1" applyAlignment="1" applyProtection="1">
      <alignment horizontal="center"/>
      <protection/>
    </xf>
    <xf numFmtId="5" fontId="27" fillId="29"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2"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2" xfId="0" applyFill="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alignment horizontal="center"/>
      <protection locked="0"/>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29" borderId="11" xfId="0" applyNumberFormat="1" applyFont="1" applyFill="1" applyBorder="1" applyAlignment="1" applyProtection="1">
      <alignment horizontal="center"/>
      <protection/>
    </xf>
    <xf numFmtId="0" fontId="27" fillId="29" borderId="17" xfId="0" applyFont="1" applyFill="1" applyBorder="1" applyAlignment="1" applyProtection="1">
      <alignment horizontal="center"/>
      <protection/>
    </xf>
    <xf numFmtId="0" fontId="27" fillId="29"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8" borderId="19" xfId="60" applyFont="1" applyFill="1" applyBorder="1" applyAlignment="1" applyProtection="1">
      <alignment horizontal="left" vertical="top"/>
      <protection/>
    </xf>
    <xf numFmtId="0" fontId="30" fillId="29" borderId="17" xfId="60" applyFont="1" applyFill="1" applyBorder="1" applyAlignment="1" applyProtection="1">
      <alignment horizontal="left" vertical="top" wrapText="1"/>
      <protection/>
    </xf>
    <xf numFmtId="0" fontId="33" fillId="28" borderId="11" xfId="60" applyFont="1" applyFill="1" applyBorder="1" applyAlignment="1" applyProtection="1">
      <alignment horizontal="left" vertical="top"/>
      <protection/>
    </xf>
    <xf numFmtId="0" fontId="33" fillId="28" borderId="17" xfId="60"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9" borderId="11" xfId="60" applyNumberFormat="1" applyFont="1" applyFill="1" applyBorder="1" applyAlignment="1" applyProtection="1">
      <alignment horizontal="right"/>
      <protection/>
    </xf>
    <xf numFmtId="165" fontId="33" fillId="0" borderId="0" xfId="60"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60" applyNumberFormat="1" applyFont="1" applyAlignment="1" applyProtection="1">
      <alignment horizontal="left"/>
      <protection/>
    </xf>
    <xf numFmtId="165" fontId="30" fillId="26" borderId="0" xfId="60" applyNumberFormat="1" applyFont="1" applyFill="1" applyAlignment="1" applyProtection="1">
      <alignment horizontal="right"/>
      <protection/>
    </xf>
    <xf numFmtId="165" fontId="33" fillId="26" borderId="0" xfId="60" applyNumberFormat="1" applyFont="1" applyFill="1" applyBorder="1" applyAlignment="1" applyProtection="1">
      <alignment horizontal="right"/>
      <protection/>
    </xf>
    <xf numFmtId="165" fontId="33" fillId="26" borderId="0" xfId="60" applyNumberFormat="1" applyFont="1" applyFill="1" applyAlignment="1" applyProtection="1">
      <alignment horizontal="left"/>
      <protection/>
    </xf>
    <xf numFmtId="165" fontId="30" fillId="26" borderId="0" xfId="60"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60" applyNumberFormat="1" applyFont="1" applyAlignment="1" applyProtection="1">
      <alignment horizontal="right"/>
      <protection/>
    </xf>
    <xf numFmtId="165" fontId="30" fillId="0" borderId="0" xfId="60" applyNumberFormat="1" applyFont="1" applyBorder="1" applyAlignment="1" applyProtection="1">
      <alignment horizontal="right"/>
      <protection/>
    </xf>
    <xf numFmtId="165" fontId="30" fillId="0" borderId="0" xfId="60" applyNumberFormat="1" applyFont="1" applyBorder="1" applyAlignment="1" applyProtection="1">
      <alignment horizontal="left"/>
      <protection/>
    </xf>
    <xf numFmtId="165" fontId="30" fillId="26" borderId="0" xfId="60" applyNumberFormat="1" applyFont="1" applyFill="1" applyBorder="1" applyAlignment="1" applyProtection="1">
      <alignment horizontal="right"/>
      <protection/>
    </xf>
    <xf numFmtId="0" fontId="0" fillId="30" borderId="23" xfId="0" applyFill="1" applyBorder="1" applyAlignment="1" applyProtection="1">
      <alignment/>
      <protection/>
    </xf>
    <xf numFmtId="0" fontId="0" fillId="30" borderId="0" xfId="0" applyFill="1" applyBorder="1" applyAlignment="1" applyProtection="1">
      <alignment/>
      <protection/>
    </xf>
    <xf numFmtId="0" fontId="0" fillId="30" borderId="15" xfId="0" applyFill="1" applyBorder="1" applyAlignment="1" applyProtection="1">
      <alignment/>
      <protection/>
    </xf>
    <xf numFmtId="1" fontId="27" fillId="28" borderId="11" xfId="0" applyNumberFormat="1" applyFont="1" applyFill="1" applyBorder="1" applyAlignment="1" applyProtection="1">
      <alignment horizontal="center"/>
      <protection/>
    </xf>
    <xf numFmtId="169" fontId="0" fillId="29" borderId="17" xfId="0" applyNumberFormat="1" applyFill="1" applyBorder="1" applyAlignment="1" applyProtection="1">
      <alignment/>
      <protection/>
    </xf>
    <xf numFmtId="169" fontId="0" fillId="29" borderId="10" xfId="0" applyNumberFormat="1" applyFill="1" applyBorder="1" applyAlignment="1" applyProtection="1">
      <alignment/>
      <protection/>
    </xf>
    <xf numFmtId="169" fontId="0" fillId="0" borderId="0" xfId="0" applyNumberFormat="1" applyAlignment="1" applyProtection="1">
      <alignment/>
      <protection/>
    </xf>
    <xf numFmtId="169" fontId="26" fillId="29" borderId="11"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9" borderId="11" xfId="60" applyNumberFormat="1" applyFont="1" applyFill="1" applyBorder="1" applyAlignment="1" applyProtection="1">
      <alignment horizontal="right"/>
      <protection/>
    </xf>
    <xf numFmtId="166" fontId="0" fillId="29" borderId="17" xfId="0" applyNumberFormat="1" applyFill="1" applyBorder="1" applyAlignment="1" applyProtection="1">
      <alignment/>
      <protection/>
    </xf>
    <xf numFmtId="166" fontId="26" fillId="29" borderId="11"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9" borderId="10" xfId="0" applyNumberFormat="1" applyFill="1" applyBorder="1" applyAlignment="1" applyProtection="1">
      <alignment/>
      <protection/>
    </xf>
    <xf numFmtId="166" fontId="33" fillId="29" borderId="11" xfId="60" applyNumberFormat="1" applyFont="1" applyFill="1" applyBorder="1" applyAlignment="1" applyProtection="1">
      <alignment horizontal="right"/>
      <protection/>
    </xf>
    <xf numFmtId="0" fontId="27" fillId="25" borderId="11" xfId="0" applyFont="1" applyFill="1" applyBorder="1" applyAlignment="1" applyProtection="1">
      <alignment horizontal="center"/>
      <protection locked="0"/>
    </xf>
    <xf numFmtId="0" fontId="28" fillId="29" borderId="11" xfId="0" applyFont="1" applyFill="1" applyBorder="1" applyAlignment="1">
      <alignment horizontal="left" vertical="top"/>
    </xf>
    <xf numFmtId="0" fontId="27" fillId="29" borderId="20"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7" fillId="29" borderId="19" xfId="0" applyFont="1" applyFill="1" applyBorder="1" applyAlignment="1">
      <alignment horizontal="center" wrapText="1"/>
    </xf>
    <xf numFmtId="0" fontId="27" fillId="29" borderId="19" xfId="0" applyFont="1" applyFill="1" applyBorder="1" applyAlignment="1">
      <alignment horizontal="center"/>
    </xf>
    <xf numFmtId="165" fontId="35" fillId="25" borderId="11" xfId="60" applyNumberFormat="1" applyFont="1" applyFill="1" applyBorder="1" applyAlignment="1" applyProtection="1">
      <alignment horizontal="center"/>
      <protection/>
    </xf>
    <xf numFmtId="165" fontId="35" fillId="0" borderId="11" xfId="60" applyNumberFormat="1" applyFont="1" applyBorder="1" applyAlignment="1" applyProtection="1">
      <alignment horizontal="center"/>
      <protection/>
    </xf>
    <xf numFmtId="169" fontId="35" fillId="0" borderId="11" xfId="60" applyNumberFormat="1" applyFont="1" applyBorder="1" applyAlignment="1" applyProtection="1">
      <alignment horizontal="center"/>
      <protection/>
    </xf>
    <xf numFmtId="165" fontId="30" fillId="0" borderId="10" xfId="0" applyNumberFormat="1" applyFont="1" applyBorder="1" applyAlignment="1" applyProtection="1">
      <alignment/>
      <protection/>
    </xf>
    <xf numFmtId="0" fontId="0" fillId="29" borderId="11" xfId="0" applyFill="1" applyBorder="1" applyAlignment="1">
      <alignment/>
    </xf>
    <xf numFmtId="9" fontId="27" fillId="26" borderId="35" xfId="0" applyNumberFormat="1" applyFont="1" applyFill="1" applyBorder="1" applyAlignment="1">
      <alignment horizontal="right"/>
    </xf>
    <xf numFmtId="5" fontId="27" fillId="26" borderId="0" xfId="0" applyNumberFormat="1" applyFont="1" applyFill="1" applyBorder="1" applyAlignment="1" applyProtection="1">
      <alignment horizontal="center"/>
      <protection/>
    </xf>
    <xf numFmtId="0" fontId="26" fillId="29" borderId="10" xfId="0" applyFont="1" applyFill="1" applyBorder="1" applyAlignment="1">
      <alignment horizontal="left"/>
    </xf>
    <xf numFmtId="0" fontId="26" fillId="28" borderId="29" xfId="0" applyFont="1" applyFill="1" applyBorder="1" applyAlignment="1">
      <alignment horizontal="left"/>
    </xf>
    <xf numFmtId="0" fontId="26" fillId="26" borderId="43" xfId="0" applyFont="1" applyFill="1" applyBorder="1" applyAlignment="1">
      <alignment horizontal="left"/>
    </xf>
    <xf numFmtId="5" fontId="27" fillId="28" borderId="10" xfId="0" applyNumberFormat="1" applyFont="1" applyFill="1" applyBorder="1" applyAlignment="1" applyProtection="1">
      <alignment horizontal="center"/>
      <protection/>
    </xf>
    <xf numFmtId="5" fontId="27" fillId="28" borderId="17" xfId="0" applyNumberFormat="1" applyFont="1" applyFill="1" applyBorder="1" applyAlignment="1" applyProtection="1">
      <alignment horizontal="center"/>
      <protection/>
    </xf>
    <xf numFmtId="0" fontId="26" fillId="28" borderId="32" xfId="0" applyFont="1" applyFill="1" applyBorder="1" applyAlignment="1">
      <alignment horizontal="left"/>
    </xf>
    <xf numFmtId="0" fontId="28" fillId="26" borderId="0" xfId="0" applyFont="1" applyFill="1" applyBorder="1" applyAlignment="1">
      <alignment horizontal="left" wrapText="1"/>
    </xf>
    <xf numFmtId="43" fontId="0" fillId="29" borderId="17" xfId="42" applyFont="1" applyFill="1" applyBorder="1" applyAlignment="1" applyProtection="1">
      <alignment horizontal="center"/>
      <protection/>
    </xf>
    <xf numFmtId="0" fontId="27" fillId="0" borderId="15" xfId="0" applyFont="1" applyFill="1" applyBorder="1" applyAlignment="1" applyProtection="1">
      <alignment/>
      <protection locked="0"/>
    </xf>
    <xf numFmtId="3" fontId="0" fillId="29" borderId="11" xfId="0" applyNumberFormat="1" applyFont="1" applyFill="1" applyBorder="1" applyAlignment="1" applyProtection="1">
      <alignment horizontal="center" wrapText="1"/>
      <protection/>
    </xf>
    <xf numFmtId="5" fontId="0" fillId="29" borderId="10" xfId="42" applyNumberFormat="1" applyFont="1" applyFill="1" applyBorder="1" applyAlignment="1" applyProtection="1">
      <alignment/>
      <protection/>
    </xf>
    <xf numFmtId="5" fontId="27" fillId="29" borderId="11" xfId="0" applyNumberFormat="1" applyFont="1" applyFill="1" applyBorder="1" applyAlignment="1" applyProtection="1">
      <alignment wrapText="1"/>
      <protection/>
    </xf>
    <xf numFmtId="0" fontId="26" fillId="29" borderId="11" xfId="0" applyFont="1" applyFill="1" applyBorder="1" applyAlignment="1" applyProtection="1">
      <alignment horizontal="left" wrapText="1" readingOrder="1"/>
      <protection/>
    </xf>
    <xf numFmtId="0" fontId="0" fillId="29" borderId="10" xfId="0" applyFont="1" applyFill="1" applyBorder="1" applyAlignment="1" applyProtection="1">
      <alignment vertical="top"/>
      <protection/>
    </xf>
    <xf numFmtId="43" fontId="27" fillId="29" borderId="11" xfId="42" applyFont="1" applyFill="1" applyBorder="1" applyAlignment="1" applyProtection="1">
      <alignment/>
      <protection/>
    </xf>
    <xf numFmtId="0" fontId="27" fillId="29" borderId="11" xfId="0" applyFont="1" applyFill="1" applyBorder="1" applyAlignment="1" applyProtection="1">
      <alignment horizontal="center" wrapText="1"/>
      <protection/>
    </xf>
    <xf numFmtId="0" fontId="26" fillId="29" borderId="11" xfId="0" applyFont="1" applyFill="1" applyBorder="1" applyAlignment="1" applyProtection="1">
      <alignment/>
      <protection/>
    </xf>
    <xf numFmtId="0" fontId="26" fillId="29" borderId="11" xfId="0" applyFont="1" applyFill="1" applyBorder="1" applyAlignment="1" applyProtection="1">
      <alignment horizontal="left"/>
      <protection/>
    </xf>
    <xf numFmtId="0" fontId="28" fillId="29" borderId="13" xfId="0" applyFont="1" applyFill="1" applyBorder="1" applyAlignment="1">
      <alignment horizontal="left" wrapText="1"/>
    </xf>
    <xf numFmtId="0" fontId="28" fillId="29" borderId="19" xfId="0" applyFont="1" applyFill="1" applyBorder="1" applyAlignment="1">
      <alignment horizontal="left" wrapText="1"/>
    </xf>
    <xf numFmtId="0" fontId="0" fillId="26" borderId="35" xfId="0" applyFill="1" applyBorder="1" applyAlignment="1" applyProtection="1">
      <alignment/>
      <protection locked="0"/>
    </xf>
    <xf numFmtId="5" fontId="0" fillId="27" borderId="17" xfId="42" applyNumberFormat="1" applyFont="1" applyFill="1" applyBorder="1" applyAlignment="1" applyProtection="1">
      <alignment/>
      <protection locked="0"/>
    </xf>
    <xf numFmtId="0" fontId="0" fillId="29" borderId="12" xfId="0" applyFont="1" applyFill="1" applyBorder="1" applyAlignment="1" applyProtection="1">
      <alignment vertical="top"/>
      <protection/>
    </xf>
    <xf numFmtId="43" fontId="0" fillId="29" borderId="11" xfId="0" applyNumberFormat="1" applyFill="1" applyBorder="1" applyAlignment="1" applyProtection="1">
      <alignment/>
      <protection/>
    </xf>
    <xf numFmtId="0" fontId="27" fillId="29" borderId="11" xfId="0" applyFont="1" applyFill="1" applyBorder="1" applyAlignment="1" applyProtection="1" quotePrefix="1">
      <alignment/>
      <protection/>
    </xf>
    <xf numFmtId="0" fontId="22" fillId="0" borderId="0" xfId="0" applyFont="1" applyBorder="1" applyAlignment="1">
      <alignment vertical="top" wrapText="1"/>
    </xf>
    <xf numFmtId="0" fontId="27" fillId="27" borderId="14" xfId="0" applyFont="1" applyFill="1" applyBorder="1" applyAlignment="1">
      <alignment horizontal="center"/>
    </xf>
    <xf numFmtId="0" fontId="0" fillId="26" borderId="17" xfId="0" applyFont="1" applyFill="1" applyBorder="1" applyAlignment="1" applyProtection="1">
      <alignment horizontal="center"/>
      <protection locked="0"/>
    </xf>
    <xf numFmtId="0" fontId="0" fillId="26" borderId="35" xfId="0" applyFont="1" applyFill="1" applyBorder="1" applyAlignment="1" applyProtection="1">
      <alignment horizontal="center"/>
      <protection locked="0"/>
    </xf>
    <xf numFmtId="0" fontId="0" fillId="0" borderId="17" xfId="0" applyFont="1" applyBorder="1" applyAlignment="1" applyProtection="1">
      <alignment horizontal="right"/>
      <protection locked="0"/>
    </xf>
    <xf numFmtId="49" fontId="48" fillId="32" borderId="11" xfId="0" applyNumberFormat="1" applyFont="1" applyFill="1" applyBorder="1" applyAlignment="1">
      <alignment horizontal="left" vertical="top" wrapText="1"/>
    </xf>
    <xf numFmtId="0" fontId="26" fillId="0" borderId="24" xfId="0" applyFont="1" applyBorder="1" applyAlignment="1">
      <alignment horizontal="left" vertical="top" wrapText="1"/>
    </xf>
    <xf numFmtId="0" fontId="39" fillId="0" borderId="24" xfId="0" applyFont="1" applyBorder="1" applyAlignment="1">
      <alignment horizontal="left" vertical="top" wrapText="1"/>
    </xf>
    <xf numFmtId="0" fontId="22" fillId="26" borderId="28" xfId="0" applyNumberFormat="1" applyFont="1" applyFill="1" applyBorder="1" applyAlignment="1">
      <alignment horizontal="left" vertical="top" wrapText="1"/>
    </xf>
    <xf numFmtId="0" fontId="22" fillId="0" borderId="16" xfId="0" applyFont="1" applyBorder="1" applyAlignment="1">
      <alignment/>
    </xf>
    <xf numFmtId="0" fontId="22" fillId="0" borderId="16" xfId="0" applyFont="1" applyBorder="1" applyAlignment="1">
      <alignment vertical="top" wrapText="1"/>
    </xf>
    <xf numFmtId="0" fontId="39" fillId="0" borderId="16" xfId="0" applyFont="1" applyBorder="1" applyAlignment="1">
      <alignment vertical="top" wrapText="1"/>
    </xf>
    <xf numFmtId="165" fontId="35" fillId="0" borderId="10" xfId="0" applyNumberFormat="1" applyFont="1" applyBorder="1" applyAlignment="1" applyProtection="1">
      <alignment horizontal="left" wrapText="1" indent="1"/>
      <protection/>
    </xf>
    <xf numFmtId="165" fontId="24" fillId="0" borderId="0" xfId="0" applyNumberFormat="1" applyFont="1" applyFill="1" applyBorder="1" applyAlignment="1" applyProtection="1">
      <alignment horizontal="left" indent="2"/>
      <protection locked="0"/>
    </xf>
    <xf numFmtId="0" fontId="32" fillId="28" borderId="11" xfId="0" applyNumberFormat="1" applyFont="1" applyFill="1" applyBorder="1" applyAlignment="1" applyProtection="1">
      <alignment horizontal="center" wrapText="1"/>
      <protection/>
    </xf>
    <xf numFmtId="0" fontId="37" fillId="25" borderId="19" xfId="0" applyFont="1" applyFill="1" applyBorder="1" applyAlignment="1" applyProtection="1">
      <alignment horizontal="center"/>
      <protection/>
    </xf>
    <xf numFmtId="0" fontId="27" fillId="29" borderId="20" xfId="0" applyFont="1" applyFill="1" applyBorder="1" applyAlignment="1">
      <alignment horizontal="center"/>
    </xf>
    <xf numFmtId="0" fontId="27" fillId="29" borderId="28" xfId="0" applyFont="1" applyFill="1" applyBorder="1" applyAlignment="1">
      <alignment horizontal="center"/>
    </xf>
    <xf numFmtId="0" fontId="21" fillId="26" borderId="25" xfId="0" applyFont="1" applyFill="1" applyBorder="1" applyAlignment="1">
      <alignment horizontal="center" wrapText="1"/>
    </xf>
    <xf numFmtId="0" fontId="27" fillId="29" borderId="19" xfId="0" applyFont="1" applyFill="1" applyBorder="1" applyAlignment="1">
      <alignment horizontal="center" wrapText="1"/>
    </xf>
    <xf numFmtId="0" fontId="27" fillId="29" borderId="19" xfId="0" applyFont="1" applyFill="1" applyBorder="1" applyAlignment="1">
      <alignment horizontal="center"/>
    </xf>
    <xf numFmtId="0" fontId="51" fillId="0" borderId="17" xfId="0" applyFont="1" applyBorder="1" applyAlignment="1" applyProtection="1">
      <alignment/>
      <protection locked="0"/>
    </xf>
    <xf numFmtId="0" fontId="51" fillId="0" borderId="10" xfId="0" applyFont="1" applyBorder="1" applyAlignment="1" applyProtection="1">
      <alignment/>
      <protection locked="0"/>
    </xf>
    <xf numFmtId="0" fontId="26" fillId="28" borderId="11" xfId="0" applyFont="1" applyFill="1" applyBorder="1" applyAlignment="1" applyProtection="1">
      <alignment horizontal="center" wrapText="1"/>
      <protection/>
    </xf>
    <xf numFmtId="0" fontId="22" fillId="30" borderId="44" xfId="0" applyFont="1" applyFill="1" applyBorder="1" applyAlignment="1" applyProtection="1">
      <alignment/>
      <protection/>
    </xf>
    <xf numFmtId="0" fontId="22" fillId="30" borderId="33" xfId="0" applyFont="1" applyFill="1" applyBorder="1" applyAlignment="1" applyProtection="1">
      <alignment/>
      <protection/>
    </xf>
    <xf numFmtId="0" fontId="22" fillId="30" borderId="45" xfId="0" applyFont="1" applyFill="1" applyBorder="1" applyAlignment="1" applyProtection="1">
      <alignment/>
      <protection/>
    </xf>
    <xf numFmtId="0" fontId="51" fillId="0" borderId="12" xfId="0" applyFont="1" applyBorder="1" applyAlignment="1" applyProtection="1">
      <alignment/>
      <protection locked="0"/>
    </xf>
    <xf numFmtId="39" fontId="27" fillId="29" borderId="11" xfId="0" applyNumberFormat="1" applyFont="1" applyFill="1" applyBorder="1" applyAlignment="1">
      <alignment horizontal="center"/>
    </xf>
    <xf numFmtId="0" fontId="51" fillId="0" borderId="17" xfId="0" applyFont="1" applyBorder="1" applyAlignment="1" applyProtection="1">
      <alignment/>
      <protection locked="0"/>
    </xf>
    <xf numFmtId="181" fontId="52" fillId="0" borderId="10" xfId="0" applyNumberFormat="1" applyFont="1" applyBorder="1" applyAlignment="1" applyProtection="1">
      <alignment/>
      <protection locked="0"/>
    </xf>
    <xf numFmtId="5" fontId="51" fillId="0" borderId="36" xfId="42" applyNumberFormat="1" applyFont="1" applyBorder="1" applyAlignment="1" applyProtection="1">
      <alignment/>
      <protection locked="0"/>
    </xf>
    <xf numFmtId="5" fontId="51" fillId="0" borderId="34" xfId="42" applyNumberFormat="1" applyFont="1" applyBorder="1" applyAlignment="1" applyProtection="1">
      <alignment/>
      <protection locked="0"/>
    </xf>
    <xf numFmtId="5" fontId="52" fillId="0" borderId="34" xfId="42" applyNumberFormat="1" applyFont="1" applyBorder="1" applyAlignment="1" applyProtection="1">
      <alignment/>
      <protection locked="0"/>
    </xf>
    <xf numFmtId="0" fontId="0" fillId="0" borderId="10" xfId="0" applyFont="1" applyBorder="1" applyAlignment="1" applyProtection="1">
      <alignment/>
      <protection locked="0"/>
    </xf>
    <xf numFmtId="0" fontId="52" fillId="0" borderId="10" xfId="0" applyFont="1" applyBorder="1" applyAlignment="1" applyProtection="1">
      <alignment/>
      <protection locked="0"/>
    </xf>
    <xf numFmtId="0" fontId="52" fillId="0" borderId="12" xfId="0" applyFont="1" applyBorder="1" applyAlignment="1" applyProtection="1">
      <alignment/>
      <protection locked="0"/>
    </xf>
    <xf numFmtId="181" fontId="52" fillId="0" borderId="12" xfId="0" applyNumberFormat="1" applyFont="1" applyBorder="1" applyAlignment="1" applyProtection="1">
      <alignment/>
      <protection locked="0"/>
    </xf>
    <xf numFmtId="5" fontId="52" fillId="0" borderId="46" xfId="42" applyNumberFormat="1" applyFont="1" applyBorder="1" applyAlignment="1" applyProtection="1">
      <alignment/>
      <protection locked="0"/>
    </xf>
    <xf numFmtId="0" fontId="0" fillId="0" borderId="0" xfId="0" applyFont="1" applyAlignment="1" applyProtection="1">
      <alignment/>
      <protection locked="0"/>
    </xf>
    <xf numFmtId="0" fontId="50" fillId="28" borderId="11" xfId="0" applyFont="1" applyFill="1" applyBorder="1" applyAlignment="1" applyProtection="1">
      <alignment horizontal="center" wrapText="1"/>
      <protection/>
    </xf>
    <xf numFmtId="0" fontId="50" fillId="28" borderId="11" xfId="0" applyFont="1" applyFill="1" applyBorder="1" applyAlignment="1" applyProtection="1">
      <alignment horizontal="center"/>
      <protection/>
    </xf>
    <xf numFmtId="5" fontId="51" fillId="28" borderId="17" xfId="42" applyNumberFormat="1" applyFont="1" applyFill="1" applyBorder="1" applyAlignment="1" applyProtection="1">
      <alignment/>
      <protection/>
    </xf>
    <xf numFmtId="5" fontId="53" fillId="28" borderId="47" xfId="42" applyNumberFormat="1" applyFont="1" applyFill="1" applyBorder="1" applyAlignment="1" applyProtection="1">
      <alignment/>
      <protection/>
    </xf>
    <xf numFmtId="0" fontId="50" fillId="28" borderId="11" xfId="0" applyFont="1" applyFill="1" applyBorder="1" applyAlignment="1" applyProtection="1">
      <alignment/>
      <protection/>
    </xf>
    <xf numFmtId="167" fontId="52" fillId="28" borderId="11" xfId="42" applyNumberFormat="1" applyFont="1" applyFill="1" applyBorder="1" applyAlignment="1" applyProtection="1">
      <alignment/>
      <protection/>
    </xf>
    <xf numFmtId="5" fontId="67" fillId="28" borderId="11" xfId="0" applyNumberFormat="1" applyFont="1" applyFill="1" applyBorder="1" applyAlignment="1" applyProtection="1">
      <alignment/>
      <protection/>
    </xf>
    <xf numFmtId="10" fontId="68" fillId="26" borderId="11" xfId="0" applyNumberFormat="1" applyFont="1" applyFill="1" applyBorder="1" applyAlignment="1" applyProtection="1">
      <alignment/>
      <protection locked="0"/>
    </xf>
    <xf numFmtId="39" fontId="52" fillId="0" borderId="17" xfId="0" applyNumberFormat="1" applyFont="1" applyBorder="1" applyAlignment="1" applyProtection="1">
      <alignment/>
      <protection locked="0"/>
    </xf>
    <xf numFmtId="39" fontId="52" fillId="0" borderId="10" xfId="0" applyNumberFormat="1" applyFont="1" applyBorder="1" applyAlignment="1" applyProtection="1">
      <alignment/>
      <protection locked="0"/>
    </xf>
    <xf numFmtId="39" fontId="52" fillId="0" borderId="12" xfId="0" applyNumberFormat="1" applyFont="1" applyBorder="1" applyAlignment="1" applyProtection="1">
      <alignment/>
      <protection locked="0"/>
    </xf>
    <xf numFmtId="0" fontId="0" fillId="0" borderId="0" xfId="0" applyFont="1" applyAlignment="1" applyProtection="1">
      <alignment horizontal="left"/>
      <protection locked="0"/>
    </xf>
    <xf numFmtId="5" fontId="0" fillId="0" borderId="0" xfId="0" applyNumberFormat="1" applyFont="1" applyAlignment="1" applyProtection="1">
      <alignment/>
      <protection locked="0"/>
    </xf>
    <xf numFmtId="39" fontId="52" fillId="0" borderId="37" xfId="0" applyNumberFormat="1" applyFont="1" applyBorder="1" applyAlignment="1" applyProtection="1">
      <alignment/>
      <protection locked="0"/>
    </xf>
    <xf numFmtId="169" fontId="67" fillId="0" borderId="11" xfId="0" applyNumberFormat="1" applyFont="1" applyBorder="1" applyAlignment="1" applyProtection="1">
      <alignment/>
      <protection locked="0"/>
    </xf>
    <xf numFmtId="0" fontId="0" fillId="0" borderId="0" xfId="0" applyAlignment="1" applyProtection="1">
      <alignment wrapText="1"/>
      <protection locked="0"/>
    </xf>
    <xf numFmtId="0" fontId="50" fillId="28" borderId="13" xfId="0" applyFont="1" applyFill="1" applyBorder="1" applyAlignment="1" applyProtection="1">
      <alignment horizontal="center" wrapText="1"/>
      <protection/>
    </xf>
    <xf numFmtId="0" fontId="50" fillId="28" borderId="13" xfId="0" applyFont="1" applyFill="1" applyBorder="1" applyAlignment="1" applyProtection="1">
      <alignment horizontal="center"/>
      <protection/>
    </xf>
    <xf numFmtId="10" fontId="68" fillId="28" borderId="20" xfId="0" applyNumberFormat="1" applyFont="1" applyFill="1" applyBorder="1" applyAlignment="1" applyProtection="1">
      <alignment/>
      <protection/>
    </xf>
    <xf numFmtId="10" fontId="68" fillId="28" borderId="11" xfId="0" applyNumberFormat="1" applyFont="1" applyFill="1" applyBorder="1" applyAlignment="1" applyProtection="1">
      <alignment/>
      <protection/>
    </xf>
    <xf numFmtId="5" fontId="0" fillId="28" borderId="17" xfId="0" applyNumberFormat="1" applyFont="1" applyFill="1" applyBorder="1" applyAlignment="1" applyProtection="1">
      <alignment/>
      <protection/>
    </xf>
    <xf numFmtId="165" fontId="0" fillId="28" borderId="17" xfId="0" applyNumberFormat="1" applyFont="1" applyFill="1" applyBorder="1" applyAlignment="1" applyProtection="1">
      <alignment/>
      <protection/>
    </xf>
    <xf numFmtId="165" fontId="0" fillId="28" borderId="35" xfId="0" applyNumberFormat="1" applyFont="1" applyFill="1" applyBorder="1" applyAlignment="1" applyProtection="1">
      <alignment/>
      <protection/>
    </xf>
    <xf numFmtId="5" fontId="0" fillId="28" borderId="36" xfId="0" applyNumberFormat="1" applyFont="1" applyFill="1" applyBorder="1" applyAlignment="1" applyProtection="1">
      <alignment/>
      <protection/>
    </xf>
    <xf numFmtId="10" fontId="0" fillId="29" borderId="44" xfId="0" applyNumberFormat="1" applyFont="1" applyFill="1" applyBorder="1" applyAlignment="1" applyProtection="1">
      <alignment/>
      <protection/>
    </xf>
    <xf numFmtId="5" fontId="0" fillId="28" borderId="32" xfId="0" applyNumberFormat="1" applyFont="1" applyFill="1" applyBorder="1" applyAlignment="1" applyProtection="1">
      <alignment/>
      <protection/>
    </xf>
    <xf numFmtId="10" fontId="0" fillId="29" borderId="33" xfId="0" applyNumberFormat="1" applyFont="1" applyFill="1" applyBorder="1" applyAlignment="1" applyProtection="1">
      <alignment/>
      <protection/>
    </xf>
    <xf numFmtId="10" fontId="0" fillId="29" borderId="45" xfId="0" applyNumberFormat="1" applyFont="1" applyFill="1" applyBorder="1" applyAlignment="1" applyProtection="1">
      <alignment/>
      <protection/>
    </xf>
    <xf numFmtId="0" fontId="53" fillId="28" borderId="11" xfId="0" applyFont="1" applyFill="1" applyBorder="1" applyAlignment="1" applyProtection="1">
      <alignment/>
      <protection/>
    </xf>
    <xf numFmtId="39" fontId="53" fillId="28" borderId="11" xfId="0" applyNumberFormat="1" applyFont="1" applyFill="1" applyBorder="1" applyAlignment="1" applyProtection="1">
      <alignment/>
      <protection/>
    </xf>
    <xf numFmtId="5" fontId="0" fillId="28" borderId="10" xfId="0" applyNumberFormat="1" applyFont="1" applyFill="1" applyBorder="1" applyAlignment="1" applyProtection="1">
      <alignment/>
      <protection/>
    </xf>
    <xf numFmtId="39" fontId="53" fillId="28" borderId="37" xfId="0" applyNumberFormat="1" applyFont="1" applyFill="1" applyBorder="1" applyAlignment="1" applyProtection="1">
      <alignment/>
      <protection/>
    </xf>
    <xf numFmtId="167" fontId="52" fillId="28" borderId="34" xfId="42" applyNumberFormat="1" applyFont="1" applyFill="1" applyBorder="1" applyAlignment="1" applyProtection="1">
      <alignment/>
      <protection/>
    </xf>
    <xf numFmtId="0" fontId="67" fillId="28" borderId="11" xfId="0" applyFont="1" applyFill="1" applyBorder="1" applyAlignment="1" applyProtection="1">
      <alignment/>
      <protection/>
    </xf>
    <xf numFmtId="0" fontId="67" fillId="28" borderId="11" xfId="0" applyFont="1" applyFill="1" applyBorder="1" applyAlignment="1" applyProtection="1">
      <alignment horizontal="center"/>
      <protection/>
    </xf>
    <xf numFmtId="0" fontId="0" fillId="28" borderId="36" xfId="0" applyFill="1" applyBorder="1" applyAlignment="1" applyProtection="1">
      <alignment/>
      <protection/>
    </xf>
    <xf numFmtId="0" fontId="0" fillId="28" borderId="46" xfId="0" applyFill="1" applyBorder="1" applyAlignment="1" applyProtection="1">
      <alignment/>
      <protection/>
    </xf>
    <xf numFmtId="0" fontId="67" fillId="28" borderId="11" xfId="0" applyFont="1" applyFill="1" applyBorder="1" applyAlignment="1" applyProtection="1" quotePrefix="1">
      <alignment/>
      <protection/>
    </xf>
    <xf numFmtId="39" fontId="67" fillId="28" borderId="11" xfId="0" applyNumberFormat="1" applyFont="1" applyFill="1" applyBorder="1" applyAlignment="1" applyProtection="1">
      <alignment/>
      <protection/>
    </xf>
    <xf numFmtId="0" fontId="0" fillId="28" borderId="11" xfId="0" applyFill="1" applyBorder="1" applyAlignment="1" applyProtection="1">
      <alignment wrapText="1"/>
      <protection/>
    </xf>
    <xf numFmtId="0" fontId="67" fillId="28" borderId="11" xfId="0" applyFont="1" applyFill="1" applyBorder="1" applyAlignment="1" applyProtection="1">
      <alignment horizontal="center" wrapText="1"/>
      <protection/>
    </xf>
    <xf numFmtId="0" fontId="0" fillId="28" borderId="17" xfId="0" applyFill="1" applyBorder="1" applyAlignment="1" applyProtection="1">
      <alignment wrapText="1"/>
      <protection/>
    </xf>
    <xf numFmtId="39" fontId="0" fillId="28" borderId="17" xfId="0" applyNumberFormat="1" applyFill="1" applyBorder="1" applyAlignment="1" applyProtection="1">
      <alignment horizontal="center" wrapText="1"/>
      <protection/>
    </xf>
    <xf numFmtId="5" fontId="0" fillId="28" borderId="17" xfId="0" applyNumberFormat="1" applyFill="1" applyBorder="1" applyAlignment="1" applyProtection="1">
      <alignment horizontal="center" wrapText="1"/>
      <protection/>
    </xf>
    <xf numFmtId="10" fontId="0" fillId="28" borderId="17" xfId="0" applyNumberFormat="1" applyFill="1" applyBorder="1" applyAlignment="1" applyProtection="1">
      <alignment horizontal="center" wrapText="1"/>
      <protection/>
    </xf>
    <xf numFmtId="7" fontId="0" fillId="28" borderId="17" xfId="0" applyNumberFormat="1" applyFill="1" applyBorder="1" applyAlignment="1" applyProtection="1">
      <alignment wrapText="1"/>
      <protection/>
    </xf>
    <xf numFmtId="0" fontId="0" fillId="28" borderId="10" xfId="0" applyFill="1" applyBorder="1" applyAlignment="1" applyProtection="1">
      <alignment wrapText="1"/>
      <protection/>
    </xf>
    <xf numFmtId="39" fontId="0" fillId="28" borderId="10" xfId="0" applyNumberFormat="1" applyFill="1" applyBorder="1" applyAlignment="1" applyProtection="1">
      <alignment horizontal="center"/>
      <protection/>
    </xf>
    <xf numFmtId="5" fontId="0" fillId="28" borderId="10" xfId="0" applyNumberFormat="1" applyFill="1" applyBorder="1" applyAlignment="1" applyProtection="1">
      <alignment horizontal="center"/>
      <protection/>
    </xf>
    <xf numFmtId="10" fontId="0" fillId="28" borderId="10" xfId="0" applyNumberFormat="1" applyFill="1" applyBorder="1" applyAlignment="1" applyProtection="1">
      <alignment horizontal="center" wrapText="1"/>
      <protection/>
    </xf>
    <xf numFmtId="7" fontId="0" fillId="28" borderId="10" xfId="0" applyNumberFormat="1" applyFill="1" applyBorder="1" applyAlignment="1" applyProtection="1">
      <alignment wrapText="1"/>
      <protection/>
    </xf>
    <xf numFmtId="0" fontId="67" fillId="29" borderId="11" xfId="0" applyFont="1" applyFill="1" applyBorder="1" applyAlignment="1" applyProtection="1">
      <alignment wrapText="1"/>
      <protection/>
    </xf>
    <xf numFmtId="165" fontId="67" fillId="29" borderId="11" xfId="0" applyNumberFormat="1" applyFont="1" applyFill="1" applyBorder="1" applyAlignment="1" applyProtection="1">
      <alignment horizontal="center" wrapText="1"/>
      <protection/>
    </xf>
    <xf numFmtId="165" fontId="67" fillId="29" borderId="19" xfId="0" applyNumberFormat="1" applyFont="1" applyFill="1" applyBorder="1" applyAlignment="1" applyProtection="1">
      <alignment horizontal="center" wrapText="1"/>
      <protection/>
    </xf>
    <xf numFmtId="0" fontId="67" fillId="29" borderId="11" xfId="0" applyFont="1" applyFill="1" applyBorder="1" applyAlignment="1" applyProtection="1">
      <alignment/>
      <protection/>
    </xf>
    <xf numFmtId="165" fontId="67" fillId="29" borderId="11" xfId="0" applyNumberFormat="1" applyFont="1" applyFill="1" applyBorder="1" applyAlignment="1" applyProtection="1">
      <alignment/>
      <protection/>
    </xf>
    <xf numFmtId="0" fontId="0" fillId="28" borderId="11" xfId="0" applyFont="1" applyFill="1" applyBorder="1" applyAlignment="1" applyProtection="1">
      <alignment wrapText="1"/>
      <protection locked="0"/>
    </xf>
    <xf numFmtId="10" fontId="0" fillId="0" borderId="11" xfId="0" applyNumberFormat="1" applyBorder="1" applyAlignment="1" applyProtection="1">
      <alignment/>
      <protection locked="0"/>
    </xf>
    <xf numFmtId="10" fontId="0" fillId="26" borderId="11" xfId="0" applyNumberFormat="1" applyFill="1" applyBorder="1" applyAlignment="1" applyProtection="1">
      <alignment/>
      <protection locked="0"/>
    </xf>
    <xf numFmtId="5" fontId="67" fillId="28" borderId="11" xfId="0" applyNumberFormat="1" applyFont="1" applyFill="1" applyBorder="1" applyAlignment="1" applyProtection="1">
      <alignment/>
      <protection locked="0"/>
    </xf>
    <xf numFmtId="0" fontId="0" fillId="28" borderId="11" xfId="0" applyFont="1" applyFill="1" applyBorder="1" applyAlignment="1" applyProtection="1">
      <alignment wrapText="1"/>
      <protection/>
    </xf>
    <xf numFmtId="0" fontId="0" fillId="0" borderId="0" xfId="0" applyFont="1" applyAlignment="1" applyProtection="1">
      <alignment/>
      <protection/>
    </xf>
    <xf numFmtId="39" fontId="27" fillId="29" borderId="11" xfId="0" applyNumberFormat="1" applyFont="1" applyFill="1" applyBorder="1" applyAlignment="1" applyProtection="1">
      <alignment horizontal="center"/>
      <protection/>
    </xf>
    <xf numFmtId="167" fontId="0" fillId="24" borderId="34" xfId="42" applyNumberFormat="1" applyFont="1" applyFill="1" applyBorder="1" applyAlignment="1" applyProtection="1">
      <alignment/>
      <protection locked="0"/>
    </xf>
    <xf numFmtId="167" fontId="27" fillId="24" borderId="37" xfId="42" applyNumberFormat="1" applyFont="1" applyFill="1" applyBorder="1" applyAlignment="1" applyProtection="1">
      <alignment horizontal="center"/>
      <protection locked="0"/>
    </xf>
    <xf numFmtId="5" fontId="27" fillId="29" borderId="10" xfId="42" applyNumberFormat="1" applyFont="1" applyFill="1" applyBorder="1" applyAlignment="1" applyProtection="1">
      <alignment horizontal="right"/>
      <protection/>
    </xf>
    <xf numFmtId="167" fontId="27" fillId="26" borderId="10" xfId="42" applyNumberFormat="1" applyFont="1" applyFill="1" applyBorder="1" applyAlignment="1" applyProtection="1" quotePrefix="1">
      <alignment horizontal="right"/>
      <protection locked="0"/>
    </xf>
    <xf numFmtId="167" fontId="27" fillId="26" borderId="10" xfId="42" applyNumberFormat="1" applyFont="1" applyFill="1" applyBorder="1" applyAlignment="1" applyProtection="1">
      <alignment horizontal="center"/>
      <protection locked="0"/>
    </xf>
    <xf numFmtId="167" fontId="27" fillId="26" borderId="10" xfId="42" applyNumberFormat="1" applyFont="1" applyFill="1" applyBorder="1" applyAlignment="1" applyProtection="1" quotePrefix="1">
      <alignment horizontal="center"/>
      <protection locked="0"/>
    </xf>
    <xf numFmtId="0" fontId="0" fillId="20" borderId="23" xfId="0" applyFill="1" applyBorder="1" applyAlignment="1" applyProtection="1">
      <alignment horizontal="center" wrapText="1"/>
      <protection/>
    </xf>
    <xf numFmtId="0" fontId="0" fillId="29" borderId="29" xfId="0" applyFont="1" applyFill="1" applyBorder="1" applyAlignment="1" applyProtection="1">
      <alignment/>
      <protection/>
    </xf>
    <xf numFmtId="0" fontId="27" fillId="29" borderId="26" xfId="0" applyFont="1" applyFill="1" applyBorder="1" applyAlignment="1" applyProtection="1">
      <alignment/>
      <protection/>
    </xf>
    <xf numFmtId="0" fontId="0" fillId="26" borderId="14" xfId="0" applyFont="1" applyFill="1" applyBorder="1" applyAlignment="1" applyProtection="1">
      <alignment/>
      <protection/>
    </xf>
    <xf numFmtId="167" fontId="0" fillId="24" borderId="16" xfId="42" applyNumberFormat="1" applyFont="1" applyFill="1" applyBorder="1" applyAlignment="1" applyProtection="1">
      <alignment horizontal="center"/>
      <protection locked="0"/>
    </xf>
    <xf numFmtId="0" fontId="27" fillId="29" borderId="48" xfId="0" applyFont="1" applyFill="1" applyBorder="1" applyAlignment="1" applyProtection="1">
      <alignment/>
      <protection/>
    </xf>
    <xf numFmtId="167" fontId="0" fillId="24" borderId="49" xfId="42" applyNumberFormat="1" applyFont="1" applyFill="1" applyBorder="1" applyAlignment="1" applyProtection="1">
      <alignment/>
      <protection locked="0"/>
    </xf>
    <xf numFmtId="5" fontId="27" fillId="29" borderId="49" xfId="42" applyNumberFormat="1" applyFont="1" applyFill="1" applyBorder="1" applyAlignment="1" applyProtection="1">
      <alignment horizontal="right"/>
      <protection/>
    </xf>
    <xf numFmtId="5" fontId="27" fillId="24" borderId="49" xfId="42" applyNumberFormat="1" applyFont="1" applyFill="1" applyBorder="1" applyAlignment="1" applyProtection="1">
      <alignment horizontal="center"/>
      <protection locked="0"/>
    </xf>
    <xf numFmtId="5" fontId="27" fillId="29" borderId="50" xfId="42" applyNumberFormat="1" applyFont="1" applyFill="1" applyBorder="1" applyAlignment="1" applyProtection="1">
      <alignment horizontal="right"/>
      <protection/>
    </xf>
    <xf numFmtId="0" fontId="27" fillId="26" borderId="0" xfId="0" applyFont="1" applyFill="1" applyBorder="1" applyAlignment="1" applyProtection="1">
      <alignment/>
      <protection/>
    </xf>
    <xf numFmtId="5" fontId="27" fillId="26" borderId="0" xfId="42" applyNumberFormat="1" applyFont="1" applyFill="1" applyBorder="1" applyAlignment="1" applyProtection="1">
      <alignment horizontal="right"/>
      <protection/>
    </xf>
    <xf numFmtId="0" fontId="27" fillId="26" borderId="16" xfId="0" applyFont="1" applyFill="1" applyBorder="1" applyAlignment="1">
      <alignment horizontal="center"/>
    </xf>
    <xf numFmtId="167" fontId="27" fillId="26" borderId="51" xfId="42" applyNumberFormat="1" applyFont="1" applyFill="1" applyBorder="1" applyAlignment="1" applyProtection="1" quotePrefix="1">
      <alignment horizontal="center"/>
      <protection locked="0"/>
    </xf>
    <xf numFmtId="0" fontId="21" fillId="28" borderId="44" xfId="0" applyFont="1" applyFill="1" applyBorder="1" applyAlignment="1" applyProtection="1">
      <alignment/>
      <protection/>
    </xf>
    <xf numFmtId="167" fontId="0" fillId="24" borderId="52" xfId="42" applyNumberFormat="1" applyFont="1" applyFill="1" applyBorder="1" applyAlignment="1" applyProtection="1">
      <alignment/>
      <protection locked="0"/>
    </xf>
    <xf numFmtId="5" fontId="27" fillId="29" borderId="12" xfId="42" applyNumberFormat="1" applyFont="1" applyFill="1" applyBorder="1" applyAlignment="1" applyProtection="1">
      <alignment horizontal="right"/>
      <protection/>
    </xf>
    <xf numFmtId="5" fontId="27" fillId="29" borderId="11" xfId="42" applyNumberFormat="1" applyFont="1" applyFill="1" applyBorder="1" applyAlignment="1" applyProtection="1">
      <alignment horizontal="right"/>
      <protection/>
    </xf>
    <xf numFmtId="5" fontId="27" fillId="24" borderId="53" xfId="42" applyNumberFormat="1" applyFont="1" applyFill="1" applyBorder="1" applyAlignment="1" applyProtection="1">
      <alignment horizontal="center"/>
      <protection locked="0"/>
    </xf>
    <xf numFmtId="5" fontId="27" fillId="29" borderId="54" xfId="42" applyNumberFormat="1" applyFont="1" applyFill="1" applyBorder="1" applyAlignment="1" applyProtection="1">
      <alignment horizontal="right"/>
      <protection/>
    </xf>
    <xf numFmtId="5" fontId="27" fillId="24" borderId="37" xfId="42" applyNumberFormat="1" applyFont="1" applyFill="1" applyBorder="1" applyAlignment="1" applyProtection="1">
      <alignment horizontal="center"/>
      <protection locked="0"/>
    </xf>
    <xf numFmtId="5" fontId="27" fillId="29" borderId="12" xfId="42" applyNumberFormat="1" applyFont="1" applyFill="1" applyBorder="1" applyAlignment="1" applyProtection="1">
      <alignment/>
      <protection/>
    </xf>
    <xf numFmtId="5" fontId="27" fillId="29" borderId="11" xfId="42" applyNumberFormat="1" applyFont="1" applyFill="1" applyBorder="1" applyAlignment="1" applyProtection="1">
      <alignment/>
      <protection/>
    </xf>
    <xf numFmtId="0" fontId="27" fillId="29" borderId="29" xfId="0" applyFont="1" applyFill="1" applyBorder="1" applyAlignment="1" applyProtection="1">
      <alignment wrapText="1"/>
      <protection/>
    </xf>
    <xf numFmtId="37" fontId="27" fillId="26" borderId="10" xfId="42" applyNumberFormat="1" applyFont="1" applyFill="1" applyBorder="1" applyAlignment="1" applyProtection="1">
      <alignment horizontal="right"/>
      <protection locked="0"/>
    </xf>
    <xf numFmtId="37" fontId="27" fillId="26" borderId="0" xfId="42" applyNumberFormat="1" applyFont="1" applyFill="1" applyBorder="1" applyAlignment="1" applyProtection="1">
      <alignment horizontal="right"/>
      <protection locked="0"/>
    </xf>
    <xf numFmtId="0" fontId="0" fillId="26" borderId="23" xfId="0" applyFill="1" applyBorder="1" applyAlignment="1">
      <alignment/>
    </xf>
    <xf numFmtId="167" fontId="0" fillId="26" borderId="23" xfId="42" applyNumberFormat="1" applyFont="1" applyFill="1" applyBorder="1" applyAlignment="1" applyProtection="1">
      <alignment/>
      <protection locked="0"/>
    </xf>
    <xf numFmtId="5" fontId="27" fillId="26" borderId="23" xfId="42" applyNumberFormat="1" applyFont="1" applyFill="1" applyBorder="1" applyAlignment="1" applyProtection="1">
      <alignment horizontal="center"/>
      <protection/>
    </xf>
    <xf numFmtId="5" fontId="27" fillId="26" borderId="23" xfId="42" applyNumberFormat="1" applyFont="1" applyFill="1" applyBorder="1" applyAlignment="1" applyProtection="1">
      <alignment horizontal="center"/>
      <protection locked="0"/>
    </xf>
    <xf numFmtId="5" fontId="27" fillId="26" borderId="31" xfId="42" applyNumberFormat="1" applyFont="1" applyFill="1" applyBorder="1" applyAlignment="1" applyProtection="1">
      <alignment horizontal="center"/>
      <protection/>
    </xf>
    <xf numFmtId="5" fontId="27" fillId="26" borderId="16" xfId="42" applyNumberFormat="1" applyFont="1" applyFill="1" applyBorder="1" applyAlignment="1" applyProtection="1">
      <alignment horizontal="center"/>
      <protection/>
    </xf>
    <xf numFmtId="167" fontId="27" fillId="26" borderId="51" xfId="42" applyNumberFormat="1" applyFont="1" applyFill="1" applyBorder="1" applyAlignment="1" applyProtection="1" quotePrefix="1">
      <alignment horizontal="right"/>
      <protection locked="0"/>
    </xf>
    <xf numFmtId="5" fontId="27" fillId="29" borderId="54" xfId="42" applyNumberFormat="1" applyFont="1" applyFill="1" applyBorder="1" applyAlignment="1" applyProtection="1">
      <alignment/>
      <protection/>
    </xf>
    <xf numFmtId="5" fontId="27" fillId="0" borderId="16" xfId="0" applyNumberFormat="1" applyFont="1" applyBorder="1" applyAlignment="1" applyProtection="1">
      <alignment horizontal="center"/>
      <protection locked="0"/>
    </xf>
    <xf numFmtId="37" fontId="27" fillId="26" borderId="51" xfId="42" applyNumberFormat="1" applyFont="1" applyFill="1" applyBorder="1" applyAlignment="1" applyProtection="1">
      <alignment horizontal="right"/>
      <protection locked="0"/>
    </xf>
    <xf numFmtId="0" fontId="21" fillId="28" borderId="11" xfId="0" applyFont="1" applyFill="1" applyBorder="1" applyAlignment="1" applyProtection="1">
      <alignment/>
      <protection locked="0"/>
    </xf>
    <xf numFmtId="0" fontId="26" fillId="29" borderId="11" xfId="0" applyFont="1" applyFill="1" applyBorder="1" applyAlignment="1" applyProtection="1" quotePrefix="1">
      <alignment/>
      <protection locked="0"/>
    </xf>
    <xf numFmtId="0" fontId="26" fillId="29" borderId="11" xfId="0" applyFont="1" applyFill="1" applyBorder="1" applyAlignment="1" applyProtection="1">
      <alignment/>
      <protection locked="0"/>
    </xf>
    <xf numFmtId="5" fontId="0" fillId="29" borderId="10" xfId="0" applyNumberFormat="1" applyFill="1" applyBorder="1" applyAlignment="1" applyProtection="1">
      <alignment horizontal="right"/>
      <protection locked="0"/>
    </xf>
    <xf numFmtId="5" fontId="0" fillId="29" borderId="12" xfId="0" applyNumberFormat="1" applyFill="1" applyBorder="1" applyAlignment="1" applyProtection="1">
      <alignment horizontal="right"/>
      <protection locked="0"/>
    </xf>
    <xf numFmtId="5" fontId="27" fillId="29" borderId="11" xfId="0" applyNumberFormat="1" applyFont="1" applyFill="1" applyBorder="1" applyAlignment="1" applyProtection="1">
      <alignment horizontal="right"/>
      <protection locked="0"/>
    </xf>
    <xf numFmtId="0" fontId="22" fillId="26" borderId="11" xfId="0" applyFont="1" applyFill="1" applyBorder="1" applyAlignment="1">
      <alignment vertical="top" wrapText="1"/>
    </xf>
    <xf numFmtId="0" fontId="22" fillId="0" borderId="19" xfId="0" applyNumberFormat="1" applyFont="1" applyBorder="1" applyAlignment="1">
      <alignment vertical="top" wrapText="1"/>
    </xf>
    <xf numFmtId="0" fontId="0" fillId="0" borderId="11" xfId="0" applyBorder="1" applyAlignment="1">
      <alignment/>
    </xf>
    <xf numFmtId="0" fontId="22" fillId="0" borderId="11" xfId="0" applyFont="1" applyBorder="1" applyAlignment="1">
      <alignment/>
    </xf>
    <xf numFmtId="0" fontId="0" fillId="0" borderId="11" xfId="0" applyBorder="1" applyAlignment="1">
      <alignment wrapText="1"/>
    </xf>
    <xf numFmtId="0" fontId="26" fillId="25" borderId="13" xfId="0" applyFont="1" applyFill="1" applyBorder="1" applyAlignment="1">
      <alignment horizontal="center" wrapText="1"/>
    </xf>
    <xf numFmtId="0" fontId="27" fillId="28" borderId="21" xfId="0" applyFont="1" applyFill="1" applyBorder="1" applyAlignment="1">
      <alignment horizontal="center"/>
    </xf>
    <xf numFmtId="0" fontId="27" fillId="28" borderId="28" xfId="0" applyFont="1" applyFill="1" applyBorder="1" applyAlignment="1">
      <alignment horizontal="center"/>
    </xf>
    <xf numFmtId="0" fontId="21" fillId="26" borderId="28" xfId="0" applyFont="1" applyFill="1" applyBorder="1" applyAlignment="1">
      <alignment horizontal="center" wrapText="1"/>
    </xf>
    <xf numFmtId="0" fontId="0" fillId="29" borderId="55" xfId="0" applyFill="1" applyBorder="1" applyAlignment="1">
      <alignment/>
    </xf>
    <xf numFmtId="0" fontId="27" fillId="29" borderId="51" xfId="0" applyFont="1" applyFill="1" applyBorder="1" applyAlignment="1">
      <alignment horizontal="right"/>
    </xf>
    <xf numFmtId="0" fontId="0" fillId="26" borderId="16" xfId="0" applyFill="1" applyBorder="1" applyAlignment="1">
      <alignment/>
    </xf>
    <xf numFmtId="0" fontId="0" fillId="0" borderId="18" xfId="0" applyFont="1" applyBorder="1" applyAlignment="1" applyProtection="1">
      <alignment/>
      <protection locked="0"/>
    </xf>
    <xf numFmtId="0" fontId="0" fillId="26" borderId="24" xfId="0" applyFill="1" applyBorder="1" applyAlignment="1" applyProtection="1">
      <alignment/>
      <protection locked="0"/>
    </xf>
    <xf numFmtId="0" fontId="0" fillId="26" borderId="19" xfId="0" applyFill="1" applyBorder="1" applyAlignment="1" applyProtection="1">
      <alignment/>
      <protection locked="0"/>
    </xf>
    <xf numFmtId="0" fontId="21" fillId="27" borderId="16" xfId="0" applyFont="1" applyFill="1" applyBorder="1" applyAlignment="1" applyProtection="1">
      <alignment horizontal="center"/>
      <protection locked="0"/>
    </xf>
    <xf numFmtId="37" fontId="0" fillId="27" borderId="16" xfId="0" applyNumberFormat="1" applyFill="1" applyBorder="1" applyAlignment="1" applyProtection="1">
      <alignment/>
      <protection locked="0"/>
    </xf>
    <xf numFmtId="37" fontId="27" fillId="27" borderId="16" xfId="0" applyNumberFormat="1" applyFont="1" applyFill="1" applyBorder="1" applyAlignment="1" applyProtection="1">
      <alignment/>
      <protection locked="0"/>
    </xf>
    <xf numFmtId="0" fontId="21" fillId="26" borderId="23" xfId="0" applyFont="1" applyFill="1" applyBorder="1" applyAlignment="1">
      <alignment horizontal="center" wrapText="1"/>
    </xf>
    <xf numFmtId="0" fontId="21" fillId="26" borderId="31" xfId="0" applyFont="1" applyFill="1" applyBorder="1" applyAlignment="1">
      <alignment horizontal="center" wrapText="1"/>
    </xf>
    <xf numFmtId="0" fontId="0" fillId="29" borderId="51" xfId="0" applyFill="1" applyBorder="1" applyAlignment="1">
      <alignment/>
    </xf>
    <xf numFmtId="0" fontId="0" fillId="29" borderId="54" xfId="0" applyFill="1" applyBorder="1" applyAlignment="1">
      <alignment/>
    </xf>
    <xf numFmtId="0" fontId="27" fillId="28" borderId="11" xfId="0" applyFont="1" applyFill="1" applyBorder="1" applyAlignment="1" applyProtection="1">
      <alignment horizontal="left" wrapText="1"/>
      <protection/>
    </xf>
    <xf numFmtId="0" fontId="30" fillId="29" borderId="10" xfId="60" applyFont="1" applyFill="1" applyBorder="1" applyAlignment="1" applyProtection="1">
      <alignment horizontal="left" vertical="top" wrapText="1"/>
      <protection/>
    </xf>
    <xf numFmtId="9" fontId="27" fillId="26" borderId="10" xfId="0" applyNumberFormat="1" applyFont="1" applyFill="1" applyBorder="1" applyAlignment="1" applyProtection="1">
      <alignment horizontal="center"/>
      <protection/>
    </xf>
    <xf numFmtId="9" fontId="27" fillId="0" borderId="0" xfId="63" applyFont="1" applyBorder="1" applyAlignment="1" applyProtection="1">
      <alignment horizontal="right"/>
      <protection/>
    </xf>
    <xf numFmtId="37" fontId="27" fillId="29" borderId="17" xfId="0" applyNumberFormat="1" applyFont="1" applyFill="1" applyBorder="1" applyAlignment="1" applyProtection="1">
      <alignment horizontal="right"/>
      <protection/>
    </xf>
    <xf numFmtId="37" fontId="27" fillId="0" borderId="17" xfId="0" applyNumberFormat="1" applyFont="1" applyFill="1" applyBorder="1" applyAlignment="1">
      <alignment horizontal="center"/>
    </xf>
    <xf numFmtId="9" fontId="27" fillId="0" borderId="10" xfId="0" applyNumberFormat="1" applyFont="1" applyFill="1" applyBorder="1" applyAlignment="1" applyProtection="1">
      <alignment horizontal="center"/>
      <protection/>
    </xf>
    <xf numFmtId="9" fontId="27" fillId="0" borderId="10" xfId="63" applyFont="1" applyFill="1" applyBorder="1" applyAlignment="1" applyProtection="1">
      <alignment horizontal="right"/>
      <protection/>
    </xf>
    <xf numFmtId="0" fontId="69" fillId="0" borderId="42" xfId="0" applyFont="1" applyBorder="1" applyAlignment="1">
      <alignment/>
    </xf>
    <xf numFmtId="0" fontId="69" fillId="0" borderId="42" xfId="0" applyFont="1" applyBorder="1" applyAlignment="1">
      <alignment wrapText="1"/>
    </xf>
    <xf numFmtId="0" fontId="70" fillId="0" borderId="0" xfId="0" applyFont="1" applyFill="1" applyAlignment="1">
      <alignment vertical="center"/>
    </xf>
    <xf numFmtId="0" fontId="70" fillId="0" borderId="0" xfId="0" applyFont="1" applyFill="1" applyAlignment="1">
      <alignment vertical="center" wrapText="1"/>
    </xf>
    <xf numFmtId="0" fontId="71" fillId="0" borderId="0" xfId="52" applyFont="1" applyFill="1" applyAlignment="1">
      <alignment vertical="center"/>
    </xf>
    <xf numFmtId="0" fontId="70" fillId="0" borderId="0" xfId="0" applyFont="1" applyFill="1" applyAlignment="1">
      <alignment/>
    </xf>
    <xf numFmtId="0" fontId="70" fillId="0" borderId="0" xfId="0" applyFont="1" applyFill="1" applyAlignment="1">
      <alignment wrapText="1"/>
    </xf>
    <xf numFmtId="9" fontId="70" fillId="0" borderId="0" xfId="0" applyNumberFormat="1" applyFont="1" applyFill="1" applyAlignment="1" quotePrefix="1">
      <alignment horizontal="left" vertical="center" wrapText="1"/>
    </xf>
    <xf numFmtId="0" fontId="57" fillId="0" borderId="0" xfId="0" applyFont="1" applyFill="1" applyAlignment="1">
      <alignment/>
    </xf>
    <xf numFmtId="0" fontId="57" fillId="0" borderId="0" xfId="0" applyFont="1" applyFill="1" applyAlignment="1">
      <alignment wrapText="1"/>
    </xf>
    <xf numFmtId="0" fontId="70" fillId="0" borderId="0" xfId="0" applyFont="1" applyFill="1" applyAlignment="1">
      <alignment horizontal="centerContinuous" vertical="center"/>
    </xf>
    <xf numFmtId="0" fontId="70" fillId="0" borderId="0" xfId="0" applyFont="1" applyFill="1" applyAlignment="1" quotePrefix="1">
      <alignment horizontal="centerContinuous" vertical="center"/>
    </xf>
    <xf numFmtId="0" fontId="72" fillId="0" borderId="0" xfId="52" applyFont="1" applyFill="1" applyAlignment="1">
      <alignment horizontal="centerContinuous" vertical="center"/>
    </xf>
    <xf numFmtId="0" fontId="70" fillId="0" borderId="0" xfId="0" applyFont="1" applyAlignment="1">
      <alignment vertical="center"/>
    </xf>
    <xf numFmtId="0" fontId="70" fillId="0" borderId="0" xfId="0" applyFont="1" applyAlignment="1">
      <alignment vertical="center" wrapText="1"/>
    </xf>
    <xf numFmtId="0" fontId="70" fillId="0" borderId="0" xfId="0" applyFont="1" applyAlignment="1" quotePrefix="1">
      <alignment vertical="center"/>
    </xf>
    <xf numFmtId="0" fontId="72" fillId="0" borderId="0" xfId="52" applyFont="1" applyAlignment="1">
      <alignment vertical="center"/>
    </xf>
    <xf numFmtId="0" fontId="70" fillId="0" borderId="0" xfId="0" applyFont="1" applyFill="1" applyAlignment="1" quotePrefix="1">
      <alignment vertical="center"/>
    </xf>
    <xf numFmtId="0" fontId="72" fillId="0" borderId="0" xfId="52" applyFont="1" applyFill="1" applyAlignment="1">
      <alignment vertical="center"/>
    </xf>
    <xf numFmtId="0" fontId="57" fillId="0" borderId="0" xfId="0" applyFont="1" applyFill="1" applyAlignment="1">
      <alignment horizontal="centerContinuous" vertical="center"/>
    </xf>
    <xf numFmtId="0" fontId="57" fillId="0" borderId="0" xfId="0" applyFont="1" applyFill="1" applyAlignment="1" quotePrefix="1">
      <alignment horizontal="centerContinuous" vertical="center"/>
    </xf>
    <xf numFmtId="0" fontId="58" fillId="0" borderId="0" xfId="52" applyFont="1" applyFill="1" applyAlignment="1">
      <alignment horizontal="centerContinuous" vertical="center"/>
    </xf>
    <xf numFmtId="0" fontId="70" fillId="0" borderId="0" xfId="0" applyFont="1" applyAlignment="1">
      <alignment/>
    </xf>
    <xf numFmtId="0" fontId="70" fillId="0" borderId="0" xfId="0" applyFont="1" applyAlignment="1">
      <alignment wrapText="1"/>
    </xf>
    <xf numFmtId="0" fontId="70" fillId="0" borderId="0" xfId="0" applyFont="1" applyAlignment="1" quotePrefix="1">
      <alignment/>
    </xf>
    <xf numFmtId="0" fontId="72" fillId="0" borderId="0" xfId="52" applyFont="1" applyAlignment="1">
      <alignment/>
    </xf>
    <xf numFmtId="0" fontId="72" fillId="0" borderId="0" xfId="52" applyFont="1" applyFill="1" applyAlignment="1">
      <alignment/>
    </xf>
    <xf numFmtId="0" fontId="70" fillId="0" borderId="42" xfId="0" applyFont="1" applyBorder="1" applyAlignment="1">
      <alignment/>
    </xf>
    <xf numFmtId="0" fontId="70" fillId="0" borderId="42" xfId="0" applyFont="1" applyBorder="1" applyAlignment="1">
      <alignment wrapText="1"/>
    </xf>
    <xf numFmtId="0" fontId="70" fillId="0" borderId="0" xfId="0" applyFont="1" applyFill="1" applyAlignment="1">
      <alignment horizontal="right" vertical="center"/>
    </xf>
    <xf numFmtId="0" fontId="57" fillId="0" borderId="0" xfId="0" applyFont="1" applyFill="1" applyAlignment="1">
      <alignment horizontal="right" vertical="center"/>
    </xf>
    <xf numFmtId="0" fontId="57" fillId="0" borderId="0" xfId="0" applyFont="1" applyFill="1" applyAlignment="1">
      <alignment vertical="center" wrapText="1"/>
    </xf>
    <xf numFmtId="0" fontId="70" fillId="0" borderId="0" xfId="0" applyFont="1" applyFill="1" applyAlignment="1">
      <alignment horizontal="right"/>
    </xf>
    <xf numFmtId="0" fontId="70" fillId="0" borderId="0" xfId="0" applyFont="1" applyFill="1" applyAlignment="1">
      <alignment horizontal="left" wrapText="1"/>
    </xf>
    <xf numFmtId="0" fontId="57" fillId="0" borderId="0" xfId="0" applyFont="1" applyFill="1" applyAlignment="1">
      <alignment vertical="center"/>
    </xf>
    <xf numFmtId="0" fontId="70" fillId="0" borderId="0" xfId="0" applyFont="1" applyFill="1" applyAlignment="1" quotePrefix="1">
      <alignment/>
    </xf>
    <xf numFmtId="0" fontId="69" fillId="0" borderId="42" xfId="0" applyFont="1" applyFill="1" applyBorder="1" applyAlignment="1">
      <alignment/>
    </xf>
    <xf numFmtId="0" fontId="70" fillId="0" borderId="42" xfId="0" applyFont="1" applyFill="1" applyBorder="1" applyAlignment="1">
      <alignment/>
    </xf>
    <xf numFmtId="0" fontId="70" fillId="0" borderId="42" xfId="0" applyFont="1" applyFill="1" applyBorder="1" applyAlignment="1">
      <alignment wrapText="1"/>
    </xf>
    <xf numFmtId="0" fontId="57" fillId="0" borderId="0" xfId="0" applyFont="1" applyFill="1" applyAlignment="1">
      <alignment horizontal="right"/>
    </xf>
    <xf numFmtId="10" fontId="70" fillId="0" borderId="0" xfId="0" applyNumberFormat="1" applyFont="1" applyFill="1" applyAlignment="1">
      <alignment wrapText="1"/>
    </xf>
    <xf numFmtId="0" fontId="70" fillId="0" borderId="0" xfId="0" applyFont="1" applyAlignment="1">
      <alignment horizontal="right"/>
    </xf>
    <xf numFmtId="0" fontId="70" fillId="0" borderId="0" xfId="0" applyFont="1" applyAlignment="1">
      <alignment horizontal="right" vertical="center"/>
    </xf>
    <xf numFmtId="0" fontId="70" fillId="0" borderId="0" xfId="0" applyFont="1" applyAlignment="1" quotePrefix="1">
      <alignment wrapText="1"/>
    </xf>
    <xf numFmtId="0" fontId="71" fillId="0" borderId="0" xfId="52" applyFont="1" applyAlignment="1">
      <alignment/>
    </xf>
    <xf numFmtId="0" fontId="70" fillId="0" borderId="42" xfId="0" applyFont="1" applyFill="1" applyBorder="1" applyAlignment="1">
      <alignment horizontal="left"/>
    </xf>
    <xf numFmtId="0" fontId="71" fillId="0" borderId="0" xfId="52" applyFont="1" applyFill="1" applyAlignment="1">
      <alignment/>
    </xf>
    <xf numFmtId="0" fontId="69" fillId="0" borderId="42" xfId="0" applyFont="1" applyFill="1" applyBorder="1" applyAlignment="1">
      <alignment horizontal="left"/>
    </xf>
    <xf numFmtId="0" fontId="27" fillId="0" borderId="13" xfId="0" applyFont="1" applyBorder="1" applyAlignment="1">
      <alignment horizontal="center"/>
    </xf>
    <xf numFmtId="0" fontId="27" fillId="0" borderId="24" xfId="0" applyFont="1" applyBorder="1" applyAlignment="1">
      <alignment horizontal="center"/>
    </xf>
    <xf numFmtId="0" fontId="27" fillId="0" borderId="19" xfId="0" applyFont="1" applyBorder="1" applyAlignment="1">
      <alignment horizontal="center"/>
    </xf>
    <xf numFmtId="0" fontId="50" fillId="28" borderId="20" xfId="0" applyFont="1" applyFill="1" applyBorder="1" applyAlignment="1" applyProtection="1">
      <alignment horizontal="left" vertical="center" wrapText="1"/>
      <protection/>
    </xf>
    <xf numFmtId="0" fontId="50" fillId="28" borderId="21" xfId="0" applyFont="1" applyFill="1" applyBorder="1" applyAlignment="1" applyProtection="1">
      <alignment horizontal="left" vertical="center" wrapText="1"/>
      <protection/>
    </xf>
    <xf numFmtId="0" fontId="50" fillId="28" borderId="28" xfId="0" applyFont="1" applyFill="1" applyBorder="1" applyAlignment="1" applyProtection="1">
      <alignment horizontal="left" vertical="center" wrapText="1"/>
      <protection/>
    </xf>
    <xf numFmtId="0" fontId="67" fillId="28" borderId="20" xfId="0" applyFont="1" applyFill="1" applyBorder="1" applyAlignment="1" applyProtection="1">
      <alignment horizontal="left"/>
      <protection/>
    </xf>
    <xf numFmtId="0" fontId="67" fillId="28" borderId="21" xfId="0" applyFont="1" applyFill="1" applyBorder="1" applyAlignment="1" applyProtection="1">
      <alignment horizontal="left"/>
      <protection/>
    </xf>
    <xf numFmtId="0" fontId="67" fillId="28" borderId="28" xfId="0" applyFont="1" applyFill="1" applyBorder="1" applyAlignment="1" applyProtection="1">
      <alignment horizontal="left"/>
      <protection/>
    </xf>
    <xf numFmtId="0" fontId="50" fillId="28" borderId="20" xfId="0" applyFont="1" applyFill="1" applyBorder="1" applyAlignment="1" applyProtection="1">
      <alignment horizontal="center" wrapText="1"/>
      <protection/>
    </xf>
    <xf numFmtId="0" fontId="50" fillId="28" borderId="21" xfId="0" applyFont="1" applyFill="1" applyBorder="1" applyAlignment="1" applyProtection="1">
      <alignment horizontal="center" wrapText="1"/>
      <protection/>
    </xf>
    <xf numFmtId="0" fontId="50" fillId="28" borderId="28" xfId="0" applyFont="1" applyFill="1" applyBorder="1" applyAlignment="1" applyProtection="1">
      <alignment horizontal="center" wrapText="1"/>
      <protection/>
    </xf>
    <xf numFmtId="0" fontId="50" fillId="28" borderId="20" xfId="0" applyFont="1" applyFill="1" applyBorder="1" applyAlignment="1" applyProtection="1">
      <alignment horizontal="left"/>
      <protection/>
    </xf>
    <xf numFmtId="0" fontId="50" fillId="28" borderId="21" xfId="0" applyFont="1" applyFill="1" applyBorder="1" applyAlignment="1" applyProtection="1">
      <alignment horizontal="left"/>
      <protection/>
    </xf>
    <xf numFmtId="0" fontId="50" fillId="28" borderId="28" xfId="0" applyFont="1" applyFill="1" applyBorder="1" applyAlignment="1" applyProtection="1">
      <alignment horizontal="left"/>
      <protection/>
    </xf>
    <xf numFmtId="0" fontId="50" fillId="28" borderId="20" xfId="0" applyFont="1" applyFill="1" applyBorder="1" applyAlignment="1" applyProtection="1">
      <alignment horizontal="center" vertical="center" wrapText="1"/>
      <protection/>
    </xf>
    <xf numFmtId="0" fontId="50" fillId="28" borderId="21" xfId="0" applyFont="1" applyFill="1" applyBorder="1" applyAlignment="1" applyProtection="1">
      <alignment horizontal="center" vertical="center" wrapText="1"/>
      <protection/>
    </xf>
    <xf numFmtId="0" fontId="50" fillId="28" borderId="28" xfId="0" applyFont="1" applyFill="1" applyBorder="1" applyAlignment="1" applyProtection="1">
      <alignment horizontal="center" vertical="center" wrapText="1"/>
      <protection/>
    </xf>
    <xf numFmtId="0" fontId="0" fillId="0" borderId="0" xfId="0" applyFont="1" applyAlignment="1" applyProtection="1">
      <alignment horizontal="left"/>
      <protection locked="0"/>
    </xf>
    <xf numFmtId="0" fontId="50" fillId="28" borderId="20" xfId="0" applyFont="1" applyFill="1" applyBorder="1" applyAlignment="1" applyProtection="1">
      <alignment horizontal="center" wrapText="1"/>
      <protection locked="0"/>
    </xf>
    <xf numFmtId="0" fontId="50" fillId="28" borderId="21" xfId="0" applyFont="1" applyFill="1" applyBorder="1" applyAlignment="1" applyProtection="1">
      <alignment horizontal="center" wrapText="1"/>
      <protection locked="0"/>
    </xf>
    <xf numFmtId="0" fontId="50" fillId="28" borderId="28" xfId="0" applyFont="1" applyFill="1" applyBorder="1" applyAlignment="1" applyProtection="1">
      <alignment horizontal="center" wrapText="1"/>
      <protection locked="0"/>
    </xf>
    <xf numFmtId="0" fontId="21" fillId="29" borderId="20" xfId="0" applyFont="1" applyFill="1" applyBorder="1" applyAlignment="1" applyProtection="1">
      <alignment horizontal="center"/>
      <protection/>
    </xf>
    <xf numFmtId="0" fontId="21" fillId="29" borderId="21" xfId="0" applyFont="1" applyFill="1" applyBorder="1" applyAlignment="1" applyProtection="1">
      <alignment horizontal="center"/>
      <protection/>
    </xf>
    <xf numFmtId="0" fontId="21" fillId="29" borderId="28" xfId="0" applyFont="1" applyFill="1" applyBorder="1" applyAlignment="1" applyProtection="1">
      <alignment horizontal="center"/>
      <protection/>
    </xf>
    <xf numFmtId="0" fontId="26" fillId="28" borderId="20" xfId="0" applyFont="1" applyFill="1" applyBorder="1" applyAlignment="1">
      <alignment horizontal="left" wrapText="1"/>
    </xf>
    <xf numFmtId="0" fontId="26" fillId="28" borderId="21" xfId="0" applyFont="1" applyFill="1" applyBorder="1" applyAlignment="1">
      <alignment horizontal="left" wrapText="1"/>
    </xf>
    <xf numFmtId="0" fontId="26" fillId="28" borderId="28" xfId="0" applyFont="1" applyFill="1" applyBorder="1" applyAlignment="1">
      <alignment horizontal="left" wrapText="1"/>
    </xf>
    <xf numFmtId="0" fontId="27" fillId="29" borderId="20" xfId="0" applyFont="1" applyFill="1" applyBorder="1" applyAlignment="1">
      <alignment horizontal="center"/>
    </xf>
    <xf numFmtId="0" fontId="27" fillId="29" borderId="28" xfId="0" applyFont="1" applyFill="1" applyBorder="1" applyAlignment="1">
      <alignment horizontal="center"/>
    </xf>
    <xf numFmtId="0" fontId="21" fillId="28" borderId="20" xfId="0" applyFont="1" applyFill="1" applyBorder="1" applyAlignment="1">
      <alignment horizontal="center" wrapText="1"/>
    </xf>
    <xf numFmtId="0" fontId="21" fillId="28" borderId="21" xfId="0" applyFont="1" applyFill="1" applyBorder="1" applyAlignment="1">
      <alignment horizontal="center" wrapText="1"/>
    </xf>
    <xf numFmtId="0" fontId="21" fillId="28" borderId="28" xfId="0" applyFont="1" applyFill="1" applyBorder="1" applyAlignment="1">
      <alignment horizontal="center" wrapText="1"/>
    </xf>
    <xf numFmtId="0" fontId="41" fillId="28" borderId="20" xfId="0" applyFont="1" applyFill="1" applyBorder="1" applyAlignment="1">
      <alignment horizontal="left" wrapText="1"/>
    </xf>
    <xf numFmtId="0" fontId="41" fillId="28" borderId="21" xfId="0" applyFont="1" applyFill="1" applyBorder="1" applyAlignment="1">
      <alignment horizontal="left" wrapText="1"/>
    </xf>
    <xf numFmtId="0" fontId="41" fillId="28" borderId="28" xfId="0" applyFont="1" applyFill="1" applyBorder="1" applyAlignment="1">
      <alignment horizontal="left" wrapText="1"/>
    </xf>
    <xf numFmtId="0" fontId="21" fillId="28" borderId="20" xfId="0" applyFont="1" applyFill="1" applyBorder="1" applyAlignment="1">
      <alignment horizontal="center" vertical="top" wrapText="1"/>
    </xf>
    <xf numFmtId="0" fontId="21" fillId="28" borderId="21" xfId="0" applyFont="1" applyFill="1" applyBorder="1" applyAlignment="1">
      <alignment horizontal="center" vertical="top" wrapText="1"/>
    </xf>
    <xf numFmtId="0" fontId="21" fillId="28" borderId="28" xfId="0" applyFont="1" applyFill="1" applyBorder="1" applyAlignment="1">
      <alignment horizontal="center" vertical="top" wrapText="1"/>
    </xf>
    <xf numFmtId="0" fontId="26" fillId="28" borderId="21" xfId="0" applyFont="1" applyFill="1" applyBorder="1" applyAlignment="1">
      <alignment horizontal="center"/>
    </xf>
    <xf numFmtId="0" fontId="26" fillId="28" borderId="21" xfId="0" applyFont="1" applyFill="1" applyBorder="1" applyAlignment="1" quotePrefix="1">
      <alignment horizontal="center"/>
    </xf>
    <xf numFmtId="0" fontId="26" fillId="28" borderId="28" xfId="0" applyFont="1" applyFill="1" applyBorder="1" applyAlignment="1" quotePrefix="1">
      <alignment horizontal="center"/>
    </xf>
    <xf numFmtId="0" fontId="27" fillId="29" borderId="21" xfId="0" applyFont="1" applyFill="1" applyBorder="1" applyAlignment="1">
      <alignment horizontal="center"/>
    </xf>
    <xf numFmtId="0" fontId="28" fillId="28" borderId="21" xfId="0" applyFont="1" applyFill="1" applyBorder="1" applyAlignment="1" applyProtection="1" quotePrefix="1">
      <alignment horizontal="center"/>
      <protection locked="0"/>
    </xf>
    <xf numFmtId="0" fontId="28" fillId="28" borderId="28" xfId="0" applyFont="1" applyFill="1" applyBorder="1" applyAlignment="1" applyProtection="1" quotePrefix="1">
      <alignment horizontal="center"/>
      <protection locked="0"/>
    </xf>
    <xf numFmtId="0" fontId="28" fillId="29" borderId="20" xfId="0" applyFont="1" applyFill="1" applyBorder="1" applyAlignment="1">
      <alignment horizontal="left" wrapText="1"/>
    </xf>
    <xf numFmtId="0" fontId="28" fillId="29" borderId="28" xfId="0" applyFont="1" applyFill="1" applyBorder="1" applyAlignment="1">
      <alignment horizontal="left" wrapText="1"/>
    </xf>
    <xf numFmtId="0" fontId="28" fillId="28" borderId="20" xfId="0" applyFont="1" applyFill="1" applyBorder="1" applyAlignment="1" quotePrefix="1">
      <alignment horizontal="center"/>
    </xf>
    <xf numFmtId="0" fontId="28" fillId="28" borderId="21" xfId="0" applyFont="1" applyFill="1" applyBorder="1" applyAlignment="1" quotePrefix="1">
      <alignment horizontal="center"/>
    </xf>
    <xf numFmtId="0" fontId="28" fillId="28" borderId="28" xfId="0" applyFont="1" applyFill="1" applyBorder="1" applyAlignment="1" quotePrefix="1">
      <alignment horizontal="center"/>
    </xf>
    <xf numFmtId="0" fontId="26" fillId="28" borderId="20" xfId="0" applyFont="1" applyFill="1" applyBorder="1" applyAlignment="1">
      <alignment horizontal="center"/>
    </xf>
    <xf numFmtId="0" fontId="28" fillId="28" borderId="23" xfId="0" applyNumberFormat="1" applyFont="1" applyFill="1" applyBorder="1" applyAlignment="1" applyProtection="1">
      <alignment horizontal="center"/>
      <protection/>
    </xf>
    <xf numFmtId="0" fontId="28" fillId="28" borderId="15" xfId="0" applyNumberFormat="1" applyFont="1" applyFill="1" applyBorder="1" applyAlignment="1" applyProtection="1">
      <alignment horizontal="center"/>
      <protection/>
    </xf>
    <xf numFmtId="0" fontId="21" fillId="28" borderId="25" xfId="0" applyFont="1" applyFill="1" applyBorder="1" applyAlignment="1">
      <alignment horizontal="center"/>
    </xf>
    <xf numFmtId="0" fontId="21" fillId="28" borderId="23" xfId="0" applyFont="1" applyFill="1" applyBorder="1" applyAlignment="1">
      <alignment horizontal="center"/>
    </xf>
    <xf numFmtId="0" fontId="21" fillId="28" borderId="31" xfId="0" applyFont="1" applyFill="1" applyBorder="1" applyAlignment="1">
      <alignment horizontal="center"/>
    </xf>
    <xf numFmtId="0" fontId="21" fillId="28" borderId="18" xfId="0" applyFont="1" applyFill="1" applyBorder="1" applyAlignment="1">
      <alignment horizontal="center"/>
    </xf>
    <xf numFmtId="0" fontId="21" fillId="28" borderId="15" xfId="0" applyFont="1" applyFill="1" applyBorder="1" applyAlignment="1">
      <alignment horizontal="center"/>
    </xf>
    <xf numFmtId="0" fontId="21" fillId="28" borderId="22" xfId="0" applyFont="1" applyFill="1" applyBorder="1" applyAlignment="1">
      <alignment horizontal="center"/>
    </xf>
    <xf numFmtId="0" fontId="28" fillId="28" borderId="20" xfId="0" applyFont="1" applyFill="1" applyBorder="1" applyAlignment="1" applyProtection="1" quotePrefix="1">
      <alignment horizontal="center"/>
      <protection locked="0"/>
    </xf>
    <xf numFmtId="1" fontId="28" fillId="28" borderId="23" xfId="0" applyNumberFormat="1" applyFont="1" applyFill="1" applyBorder="1" applyAlignment="1" applyProtection="1">
      <alignment horizontal="center"/>
      <protection/>
    </xf>
    <xf numFmtId="1" fontId="28" fillId="28" borderId="15" xfId="0" applyNumberFormat="1" applyFont="1" applyFill="1" applyBorder="1" applyAlignment="1" applyProtection="1">
      <alignment horizontal="center"/>
      <protection/>
    </xf>
    <xf numFmtId="0" fontId="28" fillId="28" borderId="25" xfId="0" applyNumberFormat="1" applyFont="1" applyFill="1" applyBorder="1" applyAlignment="1" applyProtection="1">
      <alignment horizontal="center"/>
      <protection/>
    </xf>
    <xf numFmtId="0" fontId="28" fillId="28" borderId="18" xfId="0" applyNumberFormat="1" applyFont="1" applyFill="1" applyBorder="1" applyAlignment="1" applyProtection="1">
      <alignment horizontal="center"/>
      <protection/>
    </xf>
    <xf numFmtId="0" fontId="27" fillId="28" borderId="20" xfId="0" applyFont="1" applyFill="1" applyBorder="1" applyAlignment="1" applyProtection="1">
      <alignment horizontal="center"/>
      <protection/>
    </xf>
    <xf numFmtId="0" fontId="27" fillId="28" borderId="21" xfId="0" applyFont="1" applyFill="1" applyBorder="1" applyAlignment="1" applyProtection="1">
      <alignment horizontal="center"/>
      <protection/>
    </xf>
    <xf numFmtId="0" fontId="27" fillId="28" borderId="28" xfId="0" applyFont="1" applyFill="1" applyBorder="1" applyAlignment="1" applyProtection="1">
      <alignment horizontal="center"/>
      <protection/>
    </xf>
    <xf numFmtId="0" fontId="26" fillId="28" borderId="13" xfId="0" applyFont="1" applyFill="1" applyBorder="1" applyAlignment="1" applyProtection="1">
      <alignment horizontal="center" wrapText="1"/>
      <protection/>
    </xf>
    <xf numFmtId="0" fontId="26" fillId="28" borderId="19" xfId="0" applyFont="1" applyFill="1" applyBorder="1" applyAlignment="1" applyProtection="1">
      <alignment horizontal="center" wrapText="1"/>
      <protection/>
    </xf>
    <xf numFmtId="0" fontId="27" fillId="25" borderId="56" xfId="0" applyFont="1" applyFill="1" applyBorder="1" applyAlignment="1" applyProtection="1">
      <alignment horizontal="center" wrapText="1"/>
      <protection locked="0"/>
    </xf>
    <xf numFmtId="0" fontId="27" fillId="25" borderId="57" xfId="0" applyFont="1" applyFill="1" applyBorder="1" applyAlignment="1" applyProtection="1">
      <alignment horizontal="center" wrapText="1"/>
      <protection locked="0"/>
    </xf>
    <xf numFmtId="165" fontId="30" fillId="28" borderId="13" xfId="0" applyNumberFormat="1" applyFont="1" applyFill="1" applyBorder="1" applyAlignment="1" applyProtection="1">
      <alignment horizontal="center"/>
      <protection/>
    </xf>
    <xf numFmtId="165" fontId="30" fillId="28" borderId="24" xfId="0" applyNumberFormat="1" applyFont="1" applyFill="1" applyBorder="1" applyAlignment="1" applyProtection="1">
      <alignment horizontal="center"/>
      <protection/>
    </xf>
    <xf numFmtId="165" fontId="30" fillId="28" borderId="19" xfId="0" applyNumberFormat="1" applyFont="1" applyFill="1" applyBorder="1" applyAlignment="1" applyProtection="1">
      <alignment horizontal="center"/>
      <protection/>
    </xf>
    <xf numFmtId="165" fontId="33" fillId="28" borderId="31" xfId="0" applyNumberFormat="1" applyFont="1" applyFill="1" applyBorder="1" applyAlignment="1" applyProtection="1">
      <alignment horizontal="center" wrapText="1"/>
      <protection/>
    </xf>
    <xf numFmtId="165" fontId="33" fillId="28" borderId="16" xfId="0" applyNumberFormat="1" applyFont="1" applyFill="1" applyBorder="1" applyAlignment="1" applyProtection="1">
      <alignment horizontal="center" wrapText="1"/>
      <protection/>
    </xf>
    <xf numFmtId="165" fontId="33" fillId="28" borderId="22" xfId="0" applyNumberFormat="1" applyFont="1" applyFill="1" applyBorder="1" applyAlignment="1" applyProtection="1">
      <alignment horizontal="center" wrapText="1"/>
      <protection/>
    </xf>
    <xf numFmtId="165" fontId="33" fillId="28" borderId="13" xfId="0" applyNumberFormat="1" applyFont="1" applyFill="1" applyBorder="1" applyAlignment="1" applyProtection="1">
      <alignment horizontal="center" wrapText="1"/>
      <protection/>
    </xf>
    <xf numFmtId="165" fontId="33" fillId="28" borderId="24" xfId="0" applyNumberFormat="1" applyFont="1" applyFill="1" applyBorder="1" applyAlignment="1" applyProtection="1">
      <alignment horizontal="center" wrapText="1"/>
      <protection/>
    </xf>
    <xf numFmtId="165" fontId="33" fillId="28" borderId="19" xfId="0" applyNumberFormat="1" applyFont="1" applyFill="1" applyBorder="1" applyAlignment="1" applyProtection="1">
      <alignment horizontal="center" wrapText="1"/>
      <protection/>
    </xf>
    <xf numFmtId="165" fontId="33" fillId="28" borderId="13" xfId="0" applyNumberFormat="1" applyFont="1" applyFill="1" applyBorder="1" applyAlignment="1">
      <alignment horizontal="center" wrapText="1"/>
    </xf>
    <xf numFmtId="165" fontId="33" fillId="28" borderId="24" xfId="0" applyNumberFormat="1" applyFont="1" applyFill="1" applyBorder="1" applyAlignment="1">
      <alignment horizontal="center" wrapText="1"/>
    </xf>
    <xf numFmtId="165" fontId="33" fillId="28" borderId="19" xfId="0" applyNumberFormat="1" applyFont="1" applyFill="1" applyBorder="1" applyAlignment="1">
      <alignment horizontal="center" wrapText="1"/>
    </xf>
    <xf numFmtId="0" fontId="27" fillId="28" borderId="20" xfId="0" applyFont="1" applyFill="1" applyBorder="1" applyAlignment="1">
      <alignment horizontal="center"/>
    </xf>
    <xf numFmtId="0" fontId="27" fillId="28" borderId="21" xfId="0" applyFont="1" applyFill="1" applyBorder="1" applyAlignment="1">
      <alignment horizontal="center"/>
    </xf>
    <xf numFmtId="0" fontId="27" fillId="28" borderId="28" xfId="0" applyFont="1" applyFill="1" applyBorder="1" applyAlignment="1">
      <alignment horizontal="center"/>
    </xf>
    <xf numFmtId="0" fontId="37" fillId="28" borderId="20" xfId="0" applyFont="1" applyFill="1" applyBorder="1" applyAlignment="1">
      <alignment horizontal="center"/>
    </xf>
    <xf numFmtId="0" fontId="37" fillId="28" borderId="21" xfId="0" applyFont="1" applyFill="1" applyBorder="1" applyAlignment="1">
      <alignment horizontal="center"/>
    </xf>
    <xf numFmtId="0" fontId="37" fillId="28" borderId="28" xfId="0" applyFont="1" applyFill="1" applyBorder="1" applyAlignment="1">
      <alignment horizontal="center"/>
    </xf>
    <xf numFmtId="0" fontId="39" fillId="28" borderId="13" xfId="0" applyFont="1" applyFill="1" applyBorder="1" applyAlignment="1" applyProtection="1">
      <alignment horizontal="center" vertical="top" wrapText="1"/>
      <protection/>
    </xf>
    <xf numFmtId="0" fontId="39" fillId="28" borderId="19" xfId="0" applyFont="1" applyFill="1" applyBorder="1" applyAlignment="1" applyProtection="1">
      <alignment horizontal="center" vertical="top" wrapText="1"/>
      <protection/>
    </xf>
    <xf numFmtId="169" fontId="21" fillId="28" borderId="20" xfId="0" applyNumberFormat="1" applyFont="1" applyFill="1" applyBorder="1" applyAlignment="1" applyProtection="1">
      <alignment horizontal="center"/>
      <protection/>
    </xf>
    <xf numFmtId="169" fontId="21" fillId="28" borderId="21" xfId="0" applyNumberFormat="1" applyFont="1" applyFill="1" applyBorder="1" applyAlignment="1" applyProtection="1">
      <alignment horizontal="center"/>
      <protection/>
    </xf>
    <xf numFmtId="169" fontId="21" fillId="28" borderId="28" xfId="0" applyNumberFormat="1" applyFont="1" applyFill="1" applyBorder="1" applyAlignment="1" applyProtection="1">
      <alignment horizontal="center"/>
      <protection/>
    </xf>
    <xf numFmtId="0" fontId="39" fillId="28" borderId="13" xfId="0" applyFont="1" applyFill="1" applyBorder="1" applyAlignment="1" applyProtection="1">
      <alignment horizontal="center" wrapText="1"/>
      <protection/>
    </xf>
    <xf numFmtId="0" fontId="39" fillId="28" borderId="19" xfId="0" applyFont="1" applyFill="1" applyBorder="1" applyAlignment="1" applyProtection="1">
      <alignment horizontal="center" wrapText="1"/>
      <protection/>
    </xf>
    <xf numFmtId="0" fontId="21" fillId="29" borderId="20" xfId="0" applyFont="1" applyFill="1" applyBorder="1" applyAlignment="1" applyProtection="1">
      <alignment horizontal="left"/>
      <protection/>
    </xf>
    <xf numFmtId="0" fontId="21" fillId="29" borderId="28" xfId="0" applyFont="1" applyFill="1" applyBorder="1" applyAlignment="1" applyProtection="1">
      <alignment horizontal="left"/>
      <protection/>
    </xf>
    <xf numFmtId="0" fontId="0" fillId="29" borderId="20" xfId="0" applyFont="1" applyFill="1" applyBorder="1" applyAlignment="1" applyProtection="1">
      <alignment horizontal="left"/>
      <protection/>
    </xf>
    <xf numFmtId="0" fontId="0" fillId="29" borderId="21" xfId="0" applyFont="1" applyFill="1" applyBorder="1" applyAlignment="1" applyProtection="1">
      <alignment horizontal="left"/>
      <protection/>
    </xf>
    <xf numFmtId="0" fontId="0" fillId="29" borderId="28" xfId="0" applyFont="1" applyFill="1" applyBorder="1" applyAlignment="1" applyProtection="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_Sheet1" xfId="60"/>
    <cellStyle name="Note" xfId="61"/>
    <cellStyle name="Output" xfId="62"/>
    <cellStyle name="Percent" xfId="63"/>
    <cellStyle name="Title" xfId="64"/>
    <cellStyle name="Total" xfId="65"/>
    <cellStyle name="Warning Text" xfId="66"/>
  </cellStyles>
  <dxfs count="3">
    <dxf>
      <fill>
        <patternFill>
          <bgColor indexed="10"/>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80975" cy="266700"/>
    <xdr:sp fLocksText="0">
      <xdr:nvSpPr>
        <xdr:cNvPr id="1" name="TextBox 1"/>
        <xdr:cNvSpPr txBox="1">
          <a:spLocks noChangeArrowheads="1"/>
        </xdr:cNvSpPr>
      </xdr:nvSpPr>
      <xdr:spPr>
        <a:xfrm>
          <a:off x="2686050" y="2305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80975" cy="266700"/>
    <xdr:sp fLocksText="0">
      <xdr:nvSpPr>
        <xdr:cNvPr id="2" name="TextBox 2"/>
        <xdr:cNvSpPr txBox="1">
          <a:spLocks noChangeArrowheads="1"/>
        </xdr:cNvSpPr>
      </xdr:nvSpPr>
      <xdr:spPr>
        <a:xfrm>
          <a:off x="7315200" y="63531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7%20Chicago%20Classical%20Academy%20RFP%20Budg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alaries - Year O"/>
      <sheetName val="Salaries - Year 1"/>
      <sheetName val="Salaries - Year 2"/>
      <sheetName val="Salaries - Year 3"/>
      <sheetName val="Salaries - Year 4"/>
      <sheetName val="Salaries - Year 5"/>
      <sheetName val="Contractual Clinicians"/>
      <sheetName val="Revenues-Per Capita "/>
      <sheetName val="Revenues-Federal &amp; State "/>
      <sheetName val="Budget with Assumptions"/>
      <sheetName val="Budget Summary "/>
      <sheetName val="Loans"/>
      <sheetName val="Calculations"/>
    </sheetNames>
    <sheetDataSet>
      <sheetData sheetId="1">
        <row r="10">
          <cell r="A10" t="str">
            <v>Principal: Lower Grades</v>
          </cell>
        </row>
      </sheetData>
      <sheetData sheetId="2">
        <row r="13">
          <cell r="A13" t="str">
            <v>Principal: Lower Grades</v>
          </cell>
        </row>
        <row r="14">
          <cell r="A14" t="str">
            <v>Teachers</v>
          </cell>
        </row>
        <row r="41">
          <cell r="A41" t="str">
            <v>Teacher Aides</v>
          </cell>
        </row>
        <row r="42">
          <cell r="A42" t="str">
            <v>School Counselor</v>
          </cell>
        </row>
      </sheetData>
      <sheetData sheetId="3">
        <row r="13">
          <cell r="A13" t="str">
            <v>Principal: Lower Grades</v>
          </cell>
        </row>
        <row r="14">
          <cell r="A14" t="str">
            <v>Teachers</v>
          </cell>
        </row>
        <row r="41">
          <cell r="A41" t="str">
            <v>Teacher Aides</v>
          </cell>
        </row>
        <row r="42">
          <cell r="A42" t="str">
            <v>School Counselor</v>
          </cell>
        </row>
      </sheetData>
      <sheetData sheetId="4">
        <row r="13">
          <cell r="A13" t="str">
            <v>Principal: Lower Grades</v>
          </cell>
        </row>
        <row r="14">
          <cell r="A14" t="str">
            <v>Teachers</v>
          </cell>
        </row>
        <row r="15">
          <cell r="A15" t="str">
            <v>Assistant Principal</v>
          </cell>
        </row>
        <row r="41">
          <cell r="A41" t="str">
            <v>Teacher Aides</v>
          </cell>
        </row>
        <row r="42">
          <cell r="A42" t="str">
            <v>School Counselor</v>
          </cell>
        </row>
      </sheetData>
      <sheetData sheetId="5">
        <row r="13">
          <cell r="A13" t="str">
            <v>Principal: Lower Grades</v>
          </cell>
        </row>
        <row r="14">
          <cell r="A14" t="str">
            <v>Teachers</v>
          </cell>
        </row>
        <row r="15">
          <cell r="A15" t="str">
            <v>Assistant Principal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kilgore@hillsdale.edu" TargetMode="External" /><Relationship Id="rId2" Type="http://schemas.openxmlformats.org/officeDocument/2006/relationships/hyperlink" Target="mailto:jkratochvil@infiniteconnect.net" TargetMode="External" /><Relationship Id="rId3" Type="http://schemas.openxmlformats.org/officeDocument/2006/relationships/hyperlink" Target="mailto:gmirov@mxotech.com" TargetMode="External" /><Relationship Id="rId4" Type="http://schemas.openxmlformats.org/officeDocument/2006/relationships/hyperlink" Target="mailto:kmiller@goldenviewclassical.org" TargetMode="External" /><Relationship Id="rId5" Type="http://schemas.openxmlformats.org/officeDocument/2006/relationships/hyperlink" Target="mailto:kmiller@goldenviewclassical.org" TargetMode="External" /><Relationship Id="rId6" Type="http://schemas.openxmlformats.org/officeDocument/2006/relationships/hyperlink" Target="mailto:kmiller@goldenviewclassical.org" TargetMode="External" /><Relationship Id="rId7" Type="http://schemas.openxmlformats.org/officeDocument/2006/relationships/hyperlink" Target="mailto:kmiller@goldenviewclassical.org" TargetMode="External" /><Relationship Id="rId8" Type="http://schemas.openxmlformats.org/officeDocument/2006/relationships/hyperlink" Target="mailto:kmiller@goldenviewclassical.org" TargetMode="External" /><Relationship Id="rId9" Type="http://schemas.openxmlformats.org/officeDocument/2006/relationships/hyperlink" Target="mailto:kmiller@goldenviewclassical.org" TargetMode="External" /><Relationship Id="rId10" Type="http://schemas.openxmlformats.org/officeDocument/2006/relationships/hyperlink" Target="mailto:jmarder@agcchicago.org" TargetMode="External" /><Relationship Id="rId11" Type="http://schemas.openxmlformats.org/officeDocument/2006/relationships/hyperlink" Target="mailto:kmiller@goldenviewclassical.org" TargetMode="External" /><Relationship Id="rId12" Type="http://schemas.openxmlformats.org/officeDocument/2006/relationships/hyperlink" Target="mailto:jmarder@agcchicago.org" TargetMode="External" /><Relationship Id="rId13" Type="http://schemas.openxmlformats.org/officeDocument/2006/relationships/hyperlink" Target="mailto:jmarder@agcchicago.org" TargetMode="External" /><Relationship Id="rId14" Type="http://schemas.openxmlformats.org/officeDocument/2006/relationships/hyperlink" Target="mailto:jmarder@agcchicago.org" TargetMode="External" /><Relationship Id="rId15" Type="http://schemas.openxmlformats.org/officeDocument/2006/relationships/hyperlink" Target="mailto:jmarder@agcchicago.org" TargetMode="External" /><Relationship Id="rId16" Type="http://schemas.openxmlformats.org/officeDocument/2006/relationships/hyperlink" Target="mailto:jkratochvil@infiniteconnect.net" TargetMode="External" /><Relationship Id="rId17" Type="http://schemas.openxmlformats.org/officeDocument/2006/relationships/hyperlink" Target="mailto:jmarder@agcchicago.org" TargetMode="External" /><Relationship Id="rId18" Type="http://schemas.openxmlformats.org/officeDocument/2006/relationships/hyperlink" Target="mailto:jmarder@agcchicago.org" TargetMode="External" /><Relationship Id="rId19" Type="http://schemas.openxmlformats.org/officeDocument/2006/relationships/hyperlink" Target="mailto:cquezada@isbe.net" TargetMode="External" /><Relationship Id="rId20" Type="http://schemas.openxmlformats.org/officeDocument/2006/relationships/hyperlink" Target="mailto:jmarder@agcchicago.org" TargetMode="External" /><Relationship Id="rId21" Type="http://schemas.openxmlformats.org/officeDocument/2006/relationships/hyperlink" Target="mailto:jmarder@agcchicago.org" TargetMode="External" /><Relationship Id="rId22" Type="http://schemas.openxmlformats.org/officeDocument/2006/relationships/hyperlink" Target="mailto:jmarder@agcchicago.org" TargetMode="External" /><Relationship Id="rId23" Type="http://schemas.openxmlformats.org/officeDocument/2006/relationships/hyperlink" Target="mailto:jmarder@agcchicago.org" TargetMode="External" /><Relationship Id="rId24" Type="http://schemas.openxmlformats.org/officeDocument/2006/relationships/hyperlink" Target="mailto:jmarder@agcchicago.org" TargetMode="External" /><Relationship Id="rId25" Type="http://schemas.openxmlformats.org/officeDocument/2006/relationships/hyperlink" Target="mailto:cstubler@onedigital.com" TargetMode="External" /><Relationship Id="rId26" Type="http://schemas.openxmlformats.org/officeDocument/2006/relationships/hyperlink" Target="mailto:asiewert@wealthenhancement.com" TargetMode="External" /><Relationship Id="rId27" Type="http://schemas.openxmlformats.org/officeDocument/2006/relationships/hyperlink" Target="mailto:kmiller@goldenviewclassical.org" TargetMode="External" /><Relationship Id="rId28" Type="http://schemas.openxmlformats.org/officeDocument/2006/relationships/hyperlink" Target="mailto:jstack85@gmail.com" TargetMode="External" /><Relationship Id="rId29" Type="http://schemas.openxmlformats.org/officeDocument/2006/relationships/hyperlink" Target="mailto:jstack85@gmail.com" TargetMode="External" /><Relationship Id="rId30" Type="http://schemas.openxmlformats.org/officeDocument/2006/relationships/hyperlink" Target="mailto:s.turner@tvl.com" TargetMode="External" /><Relationship Id="rId31" Type="http://schemas.openxmlformats.org/officeDocument/2006/relationships/hyperlink" Target="mailto:skirk@iff.org" TargetMode="External" /><Relationship Id="rId32" Type="http://schemas.openxmlformats.org/officeDocument/2006/relationships/hyperlink" Target="mailto:skirk@iff.org"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74"/>
  <sheetViews>
    <sheetView tabSelected="1" zoomScalePageLayoutView="0" workbookViewId="0" topLeftCell="A1">
      <selection activeCell="A9" sqref="A9"/>
    </sheetView>
  </sheetViews>
  <sheetFormatPr defaultColWidth="9.140625" defaultRowHeight="12.75"/>
  <cols>
    <col min="1" max="1" width="9.140625" style="5" customWidth="1"/>
    <col min="2" max="2" width="84.57421875" style="0" customWidth="1"/>
  </cols>
  <sheetData>
    <row r="1" spans="1:2" ht="30" customHeight="1" thickBot="1">
      <c r="A1" s="5" t="s">
        <v>46</v>
      </c>
      <c r="B1" s="544" t="s">
        <v>507</v>
      </c>
    </row>
    <row r="2" ht="27.75" customHeight="1" thickBot="1">
      <c r="B2" s="868"/>
    </row>
    <row r="3" spans="1:2" ht="24" customHeight="1" thickBot="1">
      <c r="A3" s="100"/>
      <c r="B3" s="102" t="s">
        <v>262</v>
      </c>
    </row>
    <row r="4" spans="1:2" ht="44.25" customHeight="1" thickBot="1">
      <c r="A4" s="503">
        <v>1</v>
      </c>
      <c r="B4" s="525" t="s">
        <v>364</v>
      </c>
    </row>
    <row r="5" spans="1:2" ht="45.75" customHeight="1" thickBot="1">
      <c r="A5" s="503">
        <v>2</v>
      </c>
      <c r="B5" s="525" t="s">
        <v>509</v>
      </c>
    </row>
    <row r="6" spans="1:2" ht="31.5" customHeight="1" thickBot="1">
      <c r="A6" s="503">
        <v>3</v>
      </c>
      <c r="B6" s="525" t="s">
        <v>287</v>
      </c>
    </row>
    <row r="7" spans="1:2" ht="30.75" customHeight="1" thickBot="1">
      <c r="A7" s="503">
        <v>4</v>
      </c>
      <c r="B7" s="525" t="s">
        <v>260</v>
      </c>
    </row>
    <row r="8" spans="1:2" ht="48" customHeight="1">
      <c r="A8" s="526"/>
      <c r="B8" s="529" t="s">
        <v>375</v>
      </c>
    </row>
    <row r="9" spans="1:2" ht="6" customHeight="1">
      <c r="A9" s="528"/>
      <c r="B9" s="530"/>
    </row>
    <row r="10" spans="1:2" ht="15.75" customHeight="1">
      <c r="A10" s="528"/>
      <c r="B10" s="531" t="s">
        <v>301</v>
      </c>
    </row>
    <row r="11" spans="1:2" ht="5.25" customHeight="1">
      <c r="A11" s="528"/>
      <c r="B11" s="531"/>
    </row>
    <row r="12" spans="1:2" ht="16.5" customHeight="1" thickBot="1">
      <c r="A12" s="527">
        <v>5</v>
      </c>
      <c r="B12" s="532" t="s">
        <v>334</v>
      </c>
    </row>
    <row r="13" spans="1:2" ht="18.75" customHeight="1" thickBot="1">
      <c r="A13" s="503">
        <v>6</v>
      </c>
      <c r="B13" s="533" t="s">
        <v>376</v>
      </c>
    </row>
    <row r="14" spans="1:2" ht="33.75" customHeight="1" thickBot="1">
      <c r="A14" s="503">
        <v>7</v>
      </c>
      <c r="B14" s="533" t="s">
        <v>288</v>
      </c>
    </row>
    <row r="15" spans="1:2" ht="78.75" customHeight="1" thickBot="1">
      <c r="A15" s="503">
        <v>8</v>
      </c>
      <c r="B15" s="720" t="s">
        <v>508</v>
      </c>
    </row>
    <row r="16" spans="1:2" ht="30" thickBot="1">
      <c r="A16" s="93">
        <v>9</v>
      </c>
      <c r="B16" s="351" t="s">
        <v>255</v>
      </c>
    </row>
    <row r="17" spans="1:2" ht="15">
      <c r="A17" s="944">
        <v>10</v>
      </c>
      <c r="B17" s="196" t="s">
        <v>440</v>
      </c>
    </row>
    <row r="18" spans="1:2" ht="14.25">
      <c r="A18" s="945"/>
      <c r="B18" s="197" t="s">
        <v>478</v>
      </c>
    </row>
    <row r="19" spans="1:2" ht="14.25">
      <c r="A19" s="945"/>
      <c r="B19" s="197" t="s">
        <v>431</v>
      </c>
    </row>
    <row r="20" spans="1:2" ht="14.25">
      <c r="A20" s="945"/>
      <c r="B20" s="197" t="s">
        <v>430</v>
      </c>
    </row>
    <row r="21" spans="1:2" ht="14.25">
      <c r="A21" s="945"/>
      <c r="B21" s="197" t="s">
        <v>432</v>
      </c>
    </row>
    <row r="22" spans="1:2" ht="14.25">
      <c r="A22" s="945"/>
      <c r="B22" s="197" t="s">
        <v>433</v>
      </c>
    </row>
    <row r="23" spans="1:2" ht="14.25">
      <c r="A23" s="945"/>
      <c r="B23" s="197" t="s">
        <v>434</v>
      </c>
    </row>
    <row r="24" spans="1:2" ht="14.25">
      <c r="A24" s="945"/>
      <c r="B24" s="197" t="s">
        <v>435</v>
      </c>
    </row>
    <row r="25" spans="1:2" ht="14.25" hidden="1">
      <c r="A25" s="945"/>
      <c r="B25" s="197" t="s">
        <v>347</v>
      </c>
    </row>
    <row r="26" spans="1:2" ht="14.25">
      <c r="A26" s="945"/>
      <c r="B26" s="197" t="s">
        <v>479</v>
      </c>
    </row>
    <row r="27" spans="1:2" ht="14.25">
      <c r="A27" s="945"/>
      <c r="B27" s="535" t="s">
        <v>480</v>
      </c>
    </row>
    <row r="28" spans="1:2" ht="14.25">
      <c r="A28" s="945"/>
      <c r="B28" s="197" t="s">
        <v>436</v>
      </c>
    </row>
    <row r="29" spans="1:2" ht="14.25" customHeight="1">
      <c r="A29" s="945"/>
      <c r="B29" s="535" t="s">
        <v>437</v>
      </c>
    </row>
    <row r="30" spans="1:2" ht="14.25" customHeight="1">
      <c r="A30" s="945"/>
      <c r="B30" s="535" t="s">
        <v>438</v>
      </c>
    </row>
    <row r="31" spans="1:2" ht="15" thickBot="1">
      <c r="A31" s="946"/>
      <c r="B31" s="194" t="s">
        <v>439</v>
      </c>
    </row>
    <row r="32" spans="1:2" ht="16.5" customHeight="1" thickBot="1">
      <c r="A32" s="78"/>
      <c r="B32" s="90"/>
    </row>
    <row r="33" spans="1:2" ht="24" customHeight="1" thickBot="1">
      <c r="A33" s="100"/>
      <c r="B33" s="101" t="s">
        <v>441</v>
      </c>
    </row>
    <row r="34" spans="1:2" ht="25.5" customHeight="1" thickBot="1">
      <c r="A34" s="100"/>
      <c r="B34" s="101" t="s">
        <v>45</v>
      </c>
    </row>
    <row r="35" spans="1:2" ht="117" customHeight="1">
      <c r="A35" s="93"/>
      <c r="B35" s="352" t="s">
        <v>443</v>
      </c>
    </row>
    <row r="36" spans="1:2" ht="6.75" customHeight="1">
      <c r="A36" s="195"/>
      <c r="B36" s="197"/>
    </row>
    <row r="37" spans="1:2" ht="45.75" customHeight="1">
      <c r="A37" s="195"/>
      <c r="B37" s="722" t="s">
        <v>481</v>
      </c>
    </row>
    <row r="38" spans="1:2" ht="2.25" customHeight="1">
      <c r="A38" s="195"/>
      <c r="B38" s="721"/>
    </row>
    <row r="39" spans="1:2" ht="48" customHeight="1" thickBot="1">
      <c r="A39" s="137">
        <v>1</v>
      </c>
      <c r="B39" s="363" t="s">
        <v>356</v>
      </c>
    </row>
    <row r="40" spans="1:2" ht="28.5" customHeight="1" thickBot="1">
      <c r="A40" s="100"/>
      <c r="B40" s="101" t="s">
        <v>231</v>
      </c>
    </row>
    <row r="41" spans="1:2" ht="15.75" customHeight="1">
      <c r="A41" s="93"/>
      <c r="B41" s="583" t="s">
        <v>482</v>
      </c>
    </row>
    <row r="42" spans="1:2" ht="130.5">
      <c r="A42" s="195"/>
      <c r="B42" s="583" t="s">
        <v>510</v>
      </c>
    </row>
    <row r="43" spans="1:2" ht="87.75" customHeight="1">
      <c r="A43" s="195"/>
      <c r="B43" s="583" t="s">
        <v>462</v>
      </c>
    </row>
    <row r="44" spans="1:2" ht="18" customHeight="1">
      <c r="A44" s="195"/>
      <c r="B44" s="583" t="s">
        <v>442</v>
      </c>
    </row>
    <row r="45" spans="1:2" ht="90">
      <c r="A45" s="195"/>
      <c r="B45" s="583" t="s">
        <v>463</v>
      </c>
    </row>
    <row r="46" spans="1:2" ht="46.5" customHeight="1">
      <c r="A46" s="195"/>
      <c r="B46" s="583" t="s">
        <v>464</v>
      </c>
    </row>
    <row r="47" spans="1:2" ht="75" customHeight="1">
      <c r="A47" s="195"/>
      <c r="B47" s="583" t="s">
        <v>466</v>
      </c>
    </row>
    <row r="48" spans="1:2" ht="15" customHeight="1">
      <c r="A48" s="195"/>
      <c r="B48" s="583" t="s">
        <v>445</v>
      </c>
    </row>
    <row r="49" spans="1:2" ht="15" customHeight="1">
      <c r="A49" s="195"/>
      <c r="B49" s="583" t="s">
        <v>446</v>
      </c>
    </row>
    <row r="50" spans="1:2" ht="30">
      <c r="A50" s="195"/>
      <c r="B50" s="583" t="s">
        <v>444</v>
      </c>
    </row>
    <row r="51" spans="1:2" ht="30">
      <c r="A51" s="195"/>
      <c r="B51" s="583" t="s">
        <v>483</v>
      </c>
    </row>
    <row r="52" spans="1:2" ht="30">
      <c r="A52" s="195"/>
      <c r="B52" s="583" t="s">
        <v>484</v>
      </c>
    </row>
    <row r="53" spans="1:2" ht="29.25">
      <c r="A53" s="195"/>
      <c r="B53" s="583" t="s">
        <v>485</v>
      </c>
    </row>
    <row r="54" spans="1:2" ht="45">
      <c r="A54" s="195"/>
      <c r="B54" s="583" t="s">
        <v>465</v>
      </c>
    </row>
    <row r="55" spans="1:2" ht="99.75">
      <c r="A55" s="195"/>
      <c r="B55" s="583" t="s">
        <v>519</v>
      </c>
    </row>
    <row r="56" spans="1:2" ht="30" customHeight="1" thickBot="1">
      <c r="A56" s="137">
        <v>2</v>
      </c>
      <c r="B56" s="867" t="s">
        <v>511</v>
      </c>
    </row>
    <row r="57" spans="1:2" ht="12" customHeight="1">
      <c r="A57" s="78"/>
      <c r="B57" s="715"/>
    </row>
    <row r="58" spans="1:2" s="88" customFormat="1" ht="18.75" customHeight="1" thickBot="1">
      <c r="A58" s="78"/>
      <c r="B58" s="87"/>
    </row>
    <row r="59" spans="1:2" s="88" customFormat="1" ht="24.75" customHeight="1" thickBot="1">
      <c r="A59" s="100"/>
      <c r="B59" s="539" t="s">
        <v>486</v>
      </c>
    </row>
    <row r="60" spans="1:2" s="88" customFormat="1" ht="24.75" customHeight="1" thickBot="1">
      <c r="A60" s="100"/>
      <c r="B60" s="539" t="s">
        <v>45</v>
      </c>
    </row>
    <row r="61" spans="1:2" s="88" customFormat="1" ht="65.25" customHeight="1" thickBot="1">
      <c r="A61" s="77">
        <v>1</v>
      </c>
      <c r="B61" s="540" t="s">
        <v>487</v>
      </c>
    </row>
    <row r="62" spans="1:2" s="88" customFormat="1" ht="30.75" customHeight="1" thickBot="1">
      <c r="A62" s="100"/>
      <c r="B62" s="541" t="s">
        <v>232</v>
      </c>
    </row>
    <row r="63" spans="1:2" s="88" customFormat="1" ht="15.75" customHeight="1">
      <c r="A63" s="93"/>
      <c r="B63" s="352" t="s">
        <v>229</v>
      </c>
    </row>
    <row r="64" spans="1:2" s="88" customFormat="1" ht="30.75" customHeight="1">
      <c r="A64" s="195"/>
      <c r="B64" s="197" t="s">
        <v>303</v>
      </c>
    </row>
    <row r="65" spans="1:2" s="88" customFormat="1" ht="29.25">
      <c r="A65" s="195"/>
      <c r="B65" s="197" t="s">
        <v>304</v>
      </c>
    </row>
    <row r="66" spans="1:2" s="88" customFormat="1" ht="28.5">
      <c r="A66" s="195"/>
      <c r="B66" s="197" t="s">
        <v>302</v>
      </c>
    </row>
    <row r="67" spans="1:2" s="88" customFormat="1" ht="15">
      <c r="A67" s="195"/>
      <c r="B67" s="197" t="s">
        <v>348</v>
      </c>
    </row>
    <row r="68" spans="1:2" s="88" customFormat="1" ht="15">
      <c r="A68" s="195"/>
      <c r="B68" s="197" t="s">
        <v>349</v>
      </c>
    </row>
    <row r="69" spans="1:2" s="88" customFormat="1" ht="71.25">
      <c r="A69" s="195"/>
      <c r="B69" s="197" t="s">
        <v>351</v>
      </c>
    </row>
    <row r="70" spans="1:2" s="88" customFormat="1" ht="15">
      <c r="A70" s="195"/>
      <c r="B70" s="197" t="s">
        <v>350</v>
      </c>
    </row>
    <row r="71" spans="1:2" s="88" customFormat="1" ht="9.75" customHeight="1">
      <c r="A71" s="195"/>
      <c r="B71" s="197"/>
    </row>
    <row r="72" spans="1:2" s="88" customFormat="1" ht="56.25" customHeight="1">
      <c r="A72" s="195"/>
      <c r="B72" s="197" t="s">
        <v>352</v>
      </c>
    </row>
    <row r="73" spans="1:2" s="88" customFormat="1" ht="6" customHeight="1">
      <c r="A73" s="195"/>
      <c r="B73" s="197"/>
    </row>
    <row r="74" spans="1:2" s="88" customFormat="1" ht="47.25" customHeight="1">
      <c r="A74" s="195"/>
      <c r="B74" s="197" t="s">
        <v>353</v>
      </c>
    </row>
    <row r="75" spans="1:2" s="88" customFormat="1" ht="5.25" customHeight="1">
      <c r="A75" s="195"/>
      <c r="B75" s="197"/>
    </row>
    <row r="76" spans="1:2" s="88" customFormat="1" ht="74.25" customHeight="1">
      <c r="A76" s="195"/>
      <c r="B76" s="197" t="s">
        <v>512</v>
      </c>
    </row>
    <row r="77" spans="1:2" s="88" customFormat="1" ht="14.25">
      <c r="A77" s="195"/>
      <c r="B77" s="197"/>
    </row>
    <row r="78" spans="1:2" s="88" customFormat="1" ht="29.25" thickBot="1">
      <c r="A78" s="137">
        <v>2</v>
      </c>
      <c r="B78" s="194" t="s">
        <v>230</v>
      </c>
    </row>
    <row r="79" spans="1:2" s="88" customFormat="1" ht="27" customHeight="1" thickBot="1">
      <c r="A79" s="100"/>
      <c r="B79" s="361" t="s">
        <v>237</v>
      </c>
    </row>
    <row r="80" spans="1:2" s="88" customFormat="1" ht="71.25" customHeight="1" thickBot="1">
      <c r="A80" s="77">
        <v>3</v>
      </c>
      <c r="B80" s="353" t="s">
        <v>365</v>
      </c>
    </row>
    <row r="81" spans="1:2" s="88" customFormat="1" ht="13.5" customHeight="1" thickBot="1">
      <c r="A81" s="137"/>
      <c r="B81" s="353"/>
    </row>
    <row r="82" spans="1:2" s="88" customFormat="1" ht="33.75" customHeight="1" thickBot="1">
      <c r="A82" s="100"/>
      <c r="B82" s="871" t="s">
        <v>461</v>
      </c>
    </row>
    <row r="83" spans="1:2" s="88" customFormat="1" ht="45">
      <c r="A83" s="93"/>
      <c r="B83" s="352" t="s">
        <v>377</v>
      </c>
    </row>
    <row r="84" spans="1:2" s="88" customFormat="1" ht="4.5" customHeight="1">
      <c r="A84" s="195"/>
      <c r="B84" s="362"/>
    </row>
    <row r="85" spans="1:2" s="88" customFormat="1" ht="45">
      <c r="A85" s="195"/>
      <c r="B85" s="362" t="s">
        <v>367</v>
      </c>
    </row>
    <row r="86" spans="1:2" s="88" customFormat="1" ht="3" customHeight="1">
      <c r="A86" s="195"/>
      <c r="B86" s="362"/>
    </row>
    <row r="87" spans="1:2" s="88" customFormat="1" ht="44.25">
      <c r="A87" s="195"/>
      <c r="B87" s="362" t="s">
        <v>366</v>
      </c>
    </row>
    <row r="88" spans="1:2" s="88" customFormat="1" ht="3.75" customHeight="1">
      <c r="A88" s="195"/>
      <c r="B88" s="362"/>
    </row>
    <row r="89" spans="1:2" s="88" customFormat="1" ht="61.5" customHeight="1">
      <c r="A89" s="195">
        <v>4</v>
      </c>
      <c r="B89" s="362" t="s">
        <v>368</v>
      </c>
    </row>
    <row r="90" spans="1:2" s="88" customFormat="1" ht="3.75" customHeight="1" thickBot="1">
      <c r="A90" s="137"/>
      <c r="B90" s="364"/>
    </row>
    <row r="91" spans="1:2" s="88" customFormat="1" ht="46.5" customHeight="1" thickBot="1">
      <c r="A91" s="137">
        <v>5</v>
      </c>
      <c r="B91" s="363" t="s">
        <v>354</v>
      </c>
    </row>
    <row r="92" spans="1:2" s="88" customFormat="1" ht="8.25" customHeight="1">
      <c r="A92" s="93"/>
      <c r="B92" s="362"/>
    </row>
    <row r="93" spans="1:2" s="88" customFormat="1" ht="30" customHeight="1">
      <c r="A93" s="195"/>
      <c r="B93" s="543" t="s">
        <v>284</v>
      </c>
    </row>
    <row r="94" spans="1:2" s="88" customFormat="1" ht="17.25" customHeight="1">
      <c r="A94" s="195"/>
      <c r="B94" s="362" t="s">
        <v>285</v>
      </c>
    </row>
    <row r="95" spans="1:2" s="88" customFormat="1" ht="17.25" customHeight="1">
      <c r="A95" s="195"/>
      <c r="B95" s="362" t="s">
        <v>286</v>
      </c>
    </row>
    <row r="96" spans="1:2" s="88" customFormat="1" ht="17.25" customHeight="1">
      <c r="A96" s="195"/>
      <c r="B96" s="362" t="s">
        <v>297</v>
      </c>
    </row>
    <row r="97" spans="1:2" s="88" customFormat="1" ht="5.25" customHeight="1">
      <c r="A97" s="195"/>
      <c r="B97" s="362"/>
    </row>
    <row r="98" spans="1:2" s="88" customFormat="1" ht="63.75" customHeight="1" thickBot="1">
      <c r="A98" s="137">
        <v>6</v>
      </c>
      <c r="B98" s="362" t="s">
        <v>369</v>
      </c>
    </row>
    <row r="99" spans="1:2" s="88" customFormat="1" ht="27" customHeight="1" thickBot="1">
      <c r="A99" s="100"/>
      <c r="B99" s="361" t="s">
        <v>238</v>
      </c>
    </row>
    <row r="100" spans="1:2" s="88" customFormat="1" ht="66.75" customHeight="1" thickBot="1">
      <c r="A100" s="77">
        <v>7</v>
      </c>
      <c r="B100" s="364" t="s">
        <v>380</v>
      </c>
    </row>
    <row r="101" spans="1:2" s="88" customFormat="1" ht="24" customHeight="1" thickBot="1">
      <c r="A101" s="78"/>
      <c r="B101" s="870"/>
    </row>
    <row r="102" spans="1:2" s="88" customFormat="1" ht="24" customHeight="1" thickBot="1">
      <c r="A102" s="100"/>
      <c r="B102" s="198" t="s">
        <v>515</v>
      </c>
    </row>
    <row r="103" spans="1:2" s="88" customFormat="1" ht="30">
      <c r="A103" s="93"/>
      <c r="B103" s="196" t="s">
        <v>252</v>
      </c>
    </row>
    <row r="104" spans="1:2" s="88" customFormat="1" ht="15" customHeight="1">
      <c r="A104" s="195"/>
      <c r="B104" s="197" t="s">
        <v>289</v>
      </c>
    </row>
    <row r="105" spans="1:2" s="88" customFormat="1" ht="15" customHeight="1">
      <c r="A105" s="195"/>
      <c r="B105" s="197" t="s">
        <v>290</v>
      </c>
    </row>
    <row r="106" spans="1:2" s="88" customFormat="1" ht="15.75" customHeight="1">
      <c r="A106" s="195"/>
      <c r="B106" s="197" t="s">
        <v>291</v>
      </c>
    </row>
    <row r="107" spans="1:2" s="88" customFormat="1" ht="15" customHeight="1" thickBot="1">
      <c r="A107" s="195">
        <v>1</v>
      </c>
      <c r="B107" s="197" t="s">
        <v>488</v>
      </c>
    </row>
    <row r="108" spans="1:2" s="88" customFormat="1" ht="143.25" customHeight="1" thickBot="1">
      <c r="A108" s="77">
        <v>2</v>
      </c>
      <c r="B108" s="866" t="s">
        <v>524</v>
      </c>
    </row>
    <row r="109" spans="1:2" ht="133.5">
      <c r="A109" s="93"/>
      <c r="B109" s="498" t="s">
        <v>525</v>
      </c>
    </row>
    <row r="110" spans="1:2" ht="17.25" customHeight="1">
      <c r="A110" s="195"/>
      <c r="B110" s="500"/>
    </row>
    <row r="111" spans="1:2" ht="63" customHeight="1">
      <c r="A111" s="195"/>
      <c r="B111" s="500" t="s">
        <v>526</v>
      </c>
    </row>
    <row r="112" spans="1:2" ht="8.25" customHeight="1">
      <c r="A112" s="195"/>
      <c r="B112" s="500"/>
    </row>
    <row r="113" spans="1:2" ht="60.75" customHeight="1" thickBot="1">
      <c r="A113" s="137">
        <v>3</v>
      </c>
      <c r="B113" s="501" t="s">
        <v>527</v>
      </c>
    </row>
    <row r="114" spans="1:2" ht="60.75" thickBot="1">
      <c r="A114" s="137">
        <v>4</v>
      </c>
      <c r="B114" s="499" t="s">
        <v>528</v>
      </c>
    </row>
    <row r="115" spans="1:2" ht="95.25" customHeight="1" hidden="1">
      <c r="A115" s="93"/>
      <c r="B115" s="365" t="s">
        <v>370</v>
      </c>
    </row>
    <row r="116" spans="1:2" ht="6" customHeight="1" hidden="1">
      <c r="A116" s="195"/>
      <c r="B116" s="197"/>
    </row>
    <row r="117" spans="1:2" ht="153.75" customHeight="1" hidden="1" thickBot="1">
      <c r="A117" s="137">
        <v>5</v>
      </c>
      <c r="B117" s="497" t="s">
        <v>335</v>
      </c>
    </row>
    <row r="118" spans="1:2" ht="208.5" customHeight="1" thickBot="1">
      <c r="A118" s="77">
        <v>5</v>
      </c>
      <c r="B118" s="866" t="s">
        <v>529</v>
      </c>
    </row>
    <row r="119" ht="24" customHeight="1" thickBot="1">
      <c r="B119" s="869"/>
    </row>
    <row r="120" spans="1:2" ht="24" customHeight="1" thickBot="1">
      <c r="A120" s="100"/>
      <c r="B120" s="101" t="s">
        <v>467</v>
      </c>
    </row>
    <row r="121" spans="1:2" ht="24" customHeight="1" thickBot="1">
      <c r="A121" s="100"/>
      <c r="B121" s="354" t="s">
        <v>45</v>
      </c>
    </row>
    <row r="122" spans="1:2" s="250" customFormat="1" ht="18" customHeight="1" thickBot="1">
      <c r="A122" s="506">
        <v>1</v>
      </c>
      <c r="B122" s="525" t="s">
        <v>263</v>
      </c>
    </row>
    <row r="123" spans="1:2" s="250" customFormat="1" ht="48" customHeight="1" thickBot="1">
      <c r="A123" s="503">
        <v>2</v>
      </c>
      <c r="B123" s="525" t="s">
        <v>298</v>
      </c>
    </row>
    <row r="124" spans="1:2" s="250" customFormat="1" ht="47.25" customHeight="1" thickBot="1">
      <c r="A124" s="526">
        <v>3</v>
      </c>
      <c r="B124" s="525" t="s">
        <v>305</v>
      </c>
    </row>
    <row r="125" spans="1:2" s="250" customFormat="1" ht="31.5" customHeight="1" thickBot="1">
      <c r="A125" s="526"/>
      <c r="B125" s="723" t="s">
        <v>378</v>
      </c>
    </row>
    <row r="126" spans="1:2" s="250" customFormat="1" ht="16.5" customHeight="1" thickBot="1">
      <c r="A126" s="528"/>
      <c r="B126" s="723" t="s">
        <v>357</v>
      </c>
    </row>
    <row r="127" spans="1:2" s="250" customFormat="1" ht="16.5" customHeight="1" thickBot="1">
      <c r="A127" s="528"/>
      <c r="B127" s="723" t="s">
        <v>358</v>
      </c>
    </row>
    <row r="128" spans="1:2" s="250" customFormat="1" ht="16.5" customHeight="1" thickBot="1">
      <c r="A128" s="528"/>
      <c r="B128" s="723" t="s">
        <v>361</v>
      </c>
    </row>
    <row r="129" spans="1:2" s="250" customFormat="1" ht="16.5" customHeight="1" thickBot="1">
      <c r="A129" s="528"/>
      <c r="B129" s="723" t="s">
        <v>359</v>
      </c>
    </row>
    <row r="130" spans="1:2" s="250" customFormat="1" ht="16.5" customHeight="1" thickBot="1">
      <c r="A130" s="528"/>
      <c r="B130" s="723" t="s">
        <v>362</v>
      </c>
    </row>
    <row r="131" spans="1:2" s="250" customFormat="1" ht="32.25" customHeight="1" thickBot="1">
      <c r="A131" s="527">
        <v>4</v>
      </c>
      <c r="B131" s="723" t="s">
        <v>360</v>
      </c>
    </row>
    <row r="132" spans="1:2" s="250" customFormat="1" ht="36.75" customHeight="1" thickBot="1">
      <c r="A132" s="133">
        <v>5</v>
      </c>
      <c r="B132" s="525" t="s">
        <v>306</v>
      </c>
    </row>
    <row r="133" spans="1:2" s="250" customFormat="1" ht="34.5" customHeight="1" thickBot="1">
      <c r="A133" s="506">
        <v>6</v>
      </c>
      <c r="B133" s="525" t="s">
        <v>307</v>
      </c>
    </row>
    <row r="134" spans="1:2" ht="48.75" customHeight="1" thickBot="1">
      <c r="A134" s="503">
        <v>7</v>
      </c>
      <c r="B134" s="588" t="s">
        <v>296</v>
      </c>
    </row>
    <row r="135" spans="1:2" ht="34.5" customHeight="1" thickBot="1">
      <c r="A135" s="506">
        <v>8</v>
      </c>
      <c r="B135" s="537" t="s">
        <v>308</v>
      </c>
    </row>
    <row r="136" spans="1:2" ht="36.75" customHeight="1" thickBot="1">
      <c r="A136" s="503">
        <v>9</v>
      </c>
      <c r="B136" s="538" t="s">
        <v>386</v>
      </c>
    </row>
    <row r="137" spans="1:2" ht="30" customHeight="1" thickBot="1">
      <c r="A137" s="526">
        <v>10</v>
      </c>
      <c r="B137" s="537" t="s">
        <v>264</v>
      </c>
    </row>
    <row r="138" spans="1:2" ht="36" customHeight="1" hidden="1" thickBot="1">
      <c r="A138" s="526">
        <v>11</v>
      </c>
      <c r="B138" s="582" t="s">
        <v>371</v>
      </c>
    </row>
    <row r="139" spans="1:2" ht="17.25" customHeight="1" thickBot="1">
      <c r="A139" s="526">
        <v>11</v>
      </c>
      <c r="B139" s="353" t="s">
        <v>372</v>
      </c>
    </row>
    <row r="140" spans="1:2" ht="58.5" customHeight="1" thickBot="1">
      <c r="A140" s="503">
        <v>12</v>
      </c>
      <c r="B140" s="536" t="s">
        <v>309</v>
      </c>
    </row>
    <row r="141" spans="1:2" ht="24.75" customHeight="1" thickBot="1">
      <c r="A141" s="542"/>
      <c r="B141" s="580" t="s">
        <v>266</v>
      </c>
    </row>
    <row r="142" spans="1:2" ht="22.5" customHeight="1" thickBot="1">
      <c r="A142" s="77">
        <v>13</v>
      </c>
      <c r="B142" s="360" t="s">
        <v>363</v>
      </c>
    </row>
    <row r="143" spans="1:2" ht="0.75" customHeight="1" thickBot="1">
      <c r="A143" s="77">
        <v>2</v>
      </c>
      <c r="B143" s="89"/>
    </row>
    <row r="144" spans="1:2" ht="0.75" customHeight="1" thickBot="1">
      <c r="A144" s="77"/>
      <c r="B144" s="89"/>
    </row>
    <row r="145" spans="1:2" ht="40.5" customHeight="1" thickBot="1">
      <c r="A145" s="77">
        <v>14</v>
      </c>
      <c r="B145" s="359" t="s">
        <v>310</v>
      </c>
    </row>
    <row r="146" spans="1:2" ht="108.75" customHeight="1" thickBot="1">
      <c r="A146" s="77">
        <v>15</v>
      </c>
      <c r="B146" s="89" t="s">
        <v>520</v>
      </c>
    </row>
    <row r="147" spans="1:2" ht="62.25" customHeight="1">
      <c r="A147" s="93"/>
      <c r="B147" s="365" t="s">
        <v>336</v>
      </c>
    </row>
    <row r="148" spans="1:2" ht="12.75" customHeight="1">
      <c r="A148" s="195"/>
      <c r="B148" s="724" t="s">
        <v>267</v>
      </c>
    </row>
    <row r="149" spans="1:2" ht="12.75" customHeight="1">
      <c r="A149" s="195"/>
      <c r="B149" s="724" t="s">
        <v>268</v>
      </c>
    </row>
    <row r="150" spans="1:2" ht="12.75" customHeight="1">
      <c r="A150" s="195"/>
      <c r="B150" s="724" t="s">
        <v>269</v>
      </c>
    </row>
    <row r="151" spans="1:2" ht="12.75" customHeight="1">
      <c r="A151" s="195"/>
      <c r="B151" s="724" t="s">
        <v>270</v>
      </c>
    </row>
    <row r="152" spans="1:2" ht="12.75" customHeight="1">
      <c r="A152" s="195"/>
      <c r="B152" s="724" t="s">
        <v>271</v>
      </c>
    </row>
    <row r="153" spans="1:2" ht="48" customHeight="1">
      <c r="A153" s="195"/>
      <c r="B153" s="725" t="s">
        <v>311</v>
      </c>
    </row>
    <row r="154" spans="1:2" ht="37.5" customHeight="1">
      <c r="A154" s="195"/>
      <c r="B154" s="725" t="s">
        <v>312</v>
      </c>
    </row>
    <row r="155" spans="1:2" ht="30.75" customHeight="1">
      <c r="A155" s="195"/>
      <c r="B155" s="725" t="s">
        <v>313</v>
      </c>
    </row>
    <row r="156" spans="1:2" ht="74.25" customHeight="1">
      <c r="A156" s="195"/>
      <c r="B156" s="726" t="s">
        <v>379</v>
      </c>
    </row>
    <row r="157" spans="1:2" ht="35.25" customHeight="1">
      <c r="A157" s="195"/>
      <c r="B157" s="725" t="s">
        <v>272</v>
      </c>
    </row>
    <row r="158" spans="1:2" ht="64.5" customHeight="1" thickBot="1">
      <c r="A158" s="137">
        <v>16</v>
      </c>
      <c r="B158" s="364" t="s">
        <v>314</v>
      </c>
    </row>
    <row r="159" spans="1:2" ht="72.75" thickBot="1">
      <c r="A159" s="137">
        <v>17</v>
      </c>
      <c r="B159" s="364" t="s">
        <v>513</v>
      </c>
    </row>
    <row r="160" spans="1:2" ht="20.25" customHeight="1" thickBot="1">
      <c r="A160" s="78"/>
      <c r="B160" s="88"/>
    </row>
    <row r="161" spans="1:2" ht="20.25" customHeight="1" thickBot="1">
      <c r="A161" s="100"/>
      <c r="B161" s="101" t="s">
        <v>468</v>
      </c>
    </row>
    <row r="162" spans="1:2" ht="46.5" customHeight="1" thickBot="1">
      <c r="A162" s="77">
        <v>1</v>
      </c>
      <c r="B162" s="353" t="s">
        <v>373</v>
      </c>
    </row>
    <row r="163" spans="1:2" ht="26.25" customHeight="1" thickBot="1">
      <c r="A163" s="78"/>
      <c r="B163" s="3"/>
    </row>
    <row r="164" spans="1:2" ht="24" customHeight="1" thickBot="1">
      <c r="A164" s="100"/>
      <c r="B164" s="102" t="s">
        <v>469</v>
      </c>
    </row>
    <row r="165" spans="1:2" ht="34.5" customHeight="1" thickBot="1">
      <c r="A165" s="578">
        <v>1</v>
      </c>
      <c r="B165" s="577" t="s">
        <v>299</v>
      </c>
    </row>
    <row r="166" spans="1:2" ht="21" customHeight="1" thickBot="1">
      <c r="A166" s="579" t="s">
        <v>280</v>
      </c>
      <c r="B166" s="577" t="s">
        <v>300</v>
      </c>
    </row>
    <row r="167" spans="1:2" ht="21.75" customHeight="1" thickBot="1">
      <c r="A167" s="578">
        <v>3</v>
      </c>
      <c r="B167" s="577" t="s">
        <v>281</v>
      </c>
    </row>
    <row r="168" spans="1:2" s="88" customFormat="1" ht="24" customHeight="1" thickBot="1">
      <c r="A168" s="578">
        <v>4</v>
      </c>
      <c r="B168" s="577" t="s">
        <v>295</v>
      </c>
    </row>
    <row r="169" spans="1:2" ht="64.5" customHeight="1" thickBot="1">
      <c r="A169" s="578">
        <v>5</v>
      </c>
      <c r="B169" s="577" t="s">
        <v>516</v>
      </c>
    </row>
    <row r="170" ht="14.25">
      <c r="B170" s="1"/>
    </row>
    <row r="171" ht="15" thickBot="1">
      <c r="B171" s="1"/>
    </row>
    <row r="172" spans="1:2" ht="24" customHeight="1" thickBot="1">
      <c r="A172" s="100"/>
      <c r="B172" s="101" t="s">
        <v>470</v>
      </c>
    </row>
    <row r="173" spans="1:2" ht="15" thickBot="1">
      <c r="A173" s="77">
        <v>1</v>
      </c>
      <c r="B173" s="89" t="s">
        <v>489</v>
      </c>
    </row>
    <row r="174" ht="14.25">
      <c r="B174" s="1"/>
    </row>
  </sheetData>
  <sheetProtection password="CC59" sheet="1" formatColumns="0" formatRows="0"/>
  <mergeCells count="1">
    <mergeCell ref="A17:A31"/>
  </mergeCells>
  <printOptions/>
  <pageMargins left="0.7" right="0.7" top="0.75" bottom="0.75" header="0.3" footer="0.3"/>
  <pageSetup horizontalDpi="600" verticalDpi="600" orientation="portrait" paperSize="5" scale="70" r:id="rId1"/>
</worksheet>
</file>

<file path=xl/worksheets/sheet10.xml><?xml version="1.0" encoding="utf-8"?>
<worksheet xmlns="http://schemas.openxmlformats.org/spreadsheetml/2006/main" xmlns:r="http://schemas.openxmlformats.org/officeDocument/2006/relationships">
  <dimension ref="A1:P358"/>
  <sheetViews>
    <sheetView zoomScale="55" zoomScaleNormal="55" zoomScalePageLayoutView="0" workbookViewId="0" topLeftCell="A1">
      <selection activeCell="A1" sqref="A1"/>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165" customWidth="1"/>
    <col min="6" max="6" width="1.421875" style="165" customWidth="1"/>
    <col min="7" max="7" width="13.57421875" style="165" customWidth="1"/>
    <col min="8" max="8" width="1.421875" style="165" customWidth="1"/>
    <col min="9" max="9" width="13.7109375" style="165" customWidth="1"/>
    <col min="10" max="10" width="1.421875" style="165" customWidth="1"/>
    <col min="11" max="11" width="13.8515625" style="165" customWidth="1"/>
    <col min="12" max="12" width="1.421875" style="165" customWidth="1"/>
    <col min="13" max="13" width="13.57421875" style="165" customWidth="1"/>
  </cols>
  <sheetData>
    <row r="1" spans="2:13" ht="18.75" thickBot="1">
      <c r="B1" s="676" t="str">
        <f>'Budget with Assumptions'!A2</f>
        <v>Chicago Classical Academy</v>
      </c>
      <c r="D1" s="4"/>
      <c r="E1" s="164"/>
      <c r="F1" s="164"/>
      <c r="G1" s="164"/>
      <c r="H1" s="164"/>
      <c r="I1" s="164"/>
      <c r="J1" s="164"/>
      <c r="K1" s="164"/>
      <c r="L1" s="164"/>
      <c r="M1" s="164"/>
    </row>
    <row r="2" spans="2:13" ht="12.75">
      <c r="B2" s="7"/>
      <c r="D2" s="4"/>
      <c r="E2" s="164"/>
      <c r="F2" s="164"/>
      <c r="G2" s="164"/>
      <c r="H2" s="164"/>
      <c r="I2" s="164"/>
      <c r="J2" s="164"/>
      <c r="K2" s="164"/>
      <c r="L2" s="164"/>
      <c r="M2" s="164"/>
    </row>
    <row r="3" spans="1:13" s="358" customFormat="1" ht="16.5" customHeight="1" hidden="1" thickTop="1">
      <c r="A3" s="356"/>
      <c r="B3" s="1011" t="s">
        <v>316</v>
      </c>
      <c r="C3" s="356"/>
      <c r="D3" s="356"/>
      <c r="E3" s="1013"/>
      <c r="F3" s="357"/>
      <c r="G3" s="357"/>
      <c r="H3" s="357"/>
      <c r="I3" s="357"/>
      <c r="J3" s="357"/>
      <c r="K3" s="357"/>
      <c r="L3" s="357"/>
      <c r="M3" s="357"/>
    </row>
    <row r="4" spans="2:13" ht="13.5" hidden="1" thickBot="1">
      <c r="B4" s="1012"/>
      <c r="C4" s="4"/>
      <c r="D4" s="4"/>
      <c r="E4" s="1014"/>
      <c r="F4" s="164"/>
      <c r="G4" s="164"/>
      <c r="H4" s="164"/>
      <c r="I4" s="164"/>
      <c r="J4" s="164"/>
      <c r="K4" s="164"/>
      <c r="L4" s="164"/>
      <c r="M4" s="164"/>
    </row>
    <row r="5" spans="2:13" ht="12.75">
      <c r="B5" s="4"/>
      <c r="C5" s="4"/>
      <c r="D5" s="4"/>
      <c r="E5" s="164"/>
      <c r="F5" s="164"/>
      <c r="G5" s="164"/>
      <c r="H5" s="164"/>
      <c r="I5" s="164"/>
      <c r="J5" s="164"/>
      <c r="K5" s="164"/>
      <c r="L5" s="164"/>
      <c r="M5" s="164"/>
    </row>
    <row r="6" spans="2:13" ht="13.5" thickBot="1">
      <c r="B6" s="4"/>
      <c r="C6" s="98"/>
      <c r="D6" s="98"/>
      <c r="E6" s="98"/>
      <c r="F6" s="98"/>
      <c r="G6" s="98"/>
      <c r="H6" s="98"/>
      <c r="I6" s="98"/>
      <c r="J6" s="98"/>
      <c r="K6" s="98"/>
      <c r="L6" s="98"/>
      <c r="M6" s="98"/>
    </row>
    <row r="7" spans="2:13" ht="13.5" thickBot="1">
      <c r="B7" s="8"/>
      <c r="C7" s="4"/>
      <c r="D7" s="4"/>
      <c r="E7" s="1008" t="s">
        <v>127</v>
      </c>
      <c r="F7" s="1009"/>
      <c r="G7" s="1009"/>
      <c r="H7" s="1009"/>
      <c r="I7" s="1009"/>
      <c r="J7" s="1009"/>
      <c r="K7" s="1009"/>
      <c r="L7" s="1009"/>
      <c r="M7" s="1010"/>
    </row>
    <row r="8" spans="2:13" ht="16.5" thickBot="1">
      <c r="B8" s="296" t="s">
        <v>328</v>
      </c>
      <c r="C8" s="77" t="s">
        <v>29</v>
      </c>
      <c r="D8" s="93"/>
      <c r="E8" s="228">
        <f>'Budget with Assumptions'!L9</f>
        <v>2019</v>
      </c>
      <c r="F8" s="228"/>
      <c r="G8" s="228">
        <f>'Budget with Assumptions'!N9</f>
        <v>2020</v>
      </c>
      <c r="H8" s="228"/>
      <c r="I8" s="228">
        <f>'Budget with Assumptions'!P9</f>
        <v>2021</v>
      </c>
      <c r="J8" s="228"/>
      <c r="K8" s="228">
        <f>'Budget with Assumptions'!R9</f>
        <v>2022</v>
      </c>
      <c r="L8" s="228"/>
      <c r="M8" s="228">
        <f>'Budget with Assumptions'!T9</f>
        <v>2023</v>
      </c>
    </row>
    <row r="9" spans="2:13" ht="12.75">
      <c r="B9" s="301" t="s">
        <v>201</v>
      </c>
      <c r="C9" s="78"/>
      <c r="D9" s="289"/>
      <c r="E9" s="893">
        <v>224</v>
      </c>
      <c r="F9" s="291"/>
      <c r="G9" s="893">
        <v>314</v>
      </c>
      <c r="H9" s="290"/>
      <c r="I9" s="893">
        <v>403</v>
      </c>
      <c r="J9" s="290"/>
      <c r="K9" s="893">
        <v>504</v>
      </c>
      <c r="L9" s="290"/>
      <c r="M9" s="893">
        <v>504</v>
      </c>
    </row>
    <row r="10" spans="2:13" ht="12.75">
      <c r="B10" s="301" t="s">
        <v>202</v>
      </c>
      <c r="C10" s="78"/>
      <c r="D10" s="289"/>
      <c r="E10" s="894">
        <v>0.6</v>
      </c>
      <c r="F10" s="890"/>
      <c r="G10" s="894">
        <v>0.6</v>
      </c>
      <c r="H10" s="890"/>
      <c r="I10" s="894">
        <v>0.6</v>
      </c>
      <c r="J10" s="890"/>
      <c r="K10" s="894">
        <v>0.6</v>
      </c>
      <c r="L10" s="890"/>
      <c r="M10" s="894">
        <v>0.6</v>
      </c>
    </row>
    <row r="11" spans="2:13" ht="12.75">
      <c r="B11" s="301" t="s">
        <v>31</v>
      </c>
      <c r="C11" s="78"/>
      <c r="D11" s="78"/>
      <c r="E11" s="299">
        <f>ROUND(E9*E10,0)</f>
        <v>134</v>
      </c>
      <c r="F11" s="290"/>
      <c r="G11" s="299">
        <f>ROUND(G9*G10,0)</f>
        <v>188</v>
      </c>
      <c r="H11" s="290"/>
      <c r="I11" s="299">
        <f>ROUND(I9*I10,0)</f>
        <v>242</v>
      </c>
      <c r="J11" s="290"/>
      <c r="K11" s="299">
        <f>ROUND(K9*K10,0)</f>
        <v>302</v>
      </c>
      <c r="L11" s="290"/>
      <c r="M11" s="299">
        <f>ROUND(M9*M10,0)</f>
        <v>302</v>
      </c>
    </row>
    <row r="12" spans="2:13" ht="13.5" thickBot="1">
      <c r="B12" s="310" t="s">
        <v>32</v>
      </c>
      <c r="C12" s="80">
        <v>740</v>
      </c>
      <c r="D12" s="80"/>
      <c r="E12" s="298">
        <v>835</v>
      </c>
      <c r="F12" s="166"/>
      <c r="G12" s="298">
        <f>$E$12</f>
        <v>835</v>
      </c>
      <c r="H12" s="294"/>
      <c r="I12" s="298">
        <f>$E$12</f>
        <v>835</v>
      </c>
      <c r="J12" s="294"/>
      <c r="K12" s="298">
        <f>$E$12</f>
        <v>835</v>
      </c>
      <c r="L12" s="294"/>
      <c r="M12" s="298">
        <f>$E$12</f>
        <v>835</v>
      </c>
    </row>
    <row r="13" spans="2:13" ht="16.5" thickBot="1">
      <c r="B13" s="296" t="s">
        <v>33</v>
      </c>
      <c r="C13" s="81" t="e">
        <f>#REF!*C12</f>
        <v>#REF!</v>
      </c>
      <c r="D13" s="81"/>
      <c r="E13" s="300">
        <f>E11*E12</f>
        <v>111890</v>
      </c>
      <c r="F13" s="229"/>
      <c r="G13" s="300">
        <f>G11*G12</f>
        <v>156980</v>
      </c>
      <c r="H13" s="229"/>
      <c r="I13" s="300">
        <f>I11*I12</f>
        <v>202070</v>
      </c>
      <c r="J13" s="229"/>
      <c r="K13" s="300">
        <f>K11*K12</f>
        <v>252170</v>
      </c>
      <c r="L13" s="229"/>
      <c r="M13" s="300">
        <f>M11*M12</f>
        <v>252170</v>
      </c>
    </row>
    <row r="14" spans="1:13" s="250" customFormat="1" ht="15.75">
      <c r="A14" s="105"/>
      <c r="B14" s="492"/>
      <c r="C14" s="493"/>
      <c r="D14" s="493"/>
      <c r="E14" s="494"/>
      <c r="F14" s="494"/>
      <c r="G14" s="494"/>
      <c r="H14" s="494"/>
      <c r="I14" s="494"/>
      <c r="J14" s="494"/>
      <c r="K14" s="494"/>
      <c r="L14" s="494"/>
      <c r="M14" s="494"/>
    </row>
    <row r="15" spans="1:13" s="250" customFormat="1" ht="16.5" thickBot="1">
      <c r="A15" s="105"/>
      <c r="B15" s="492"/>
      <c r="C15" s="493"/>
      <c r="D15" s="493"/>
      <c r="E15" s="494"/>
      <c r="F15" s="494"/>
      <c r="G15" s="494"/>
      <c r="H15" s="494"/>
      <c r="I15" s="494"/>
      <c r="J15" s="494"/>
      <c r="K15" s="494"/>
      <c r="L15" s="494"/>
      <c r="M15" s="494"/>
    </row>
    <row r="16" spans="1:13" s="250" customFormat="1" ht="16.5" customHeight="1" thickBot="1">
      <c r="A16" s="105"/>
      <c r="B16" s="296" t="s">
        <v>329</v>
      </c>
      <c r="C16" s="493"/>
      <c r="D16" s="493"/>
      <c r="E16" s="495">
        <f>E8</f>
        <v>2019</v>
      </c>
      <c r="F16" s="496"/>
      <c r="G16" s="495">
        <f>G8</f>
        <v>2020</v>
      </c>
      <c r="H16" s="496"/>
      <c r="I16" s="495">
        <f>I8</f>
        <v>2021</v>
      </c>
      <c r="J16" s="496"/>
      <c r="K16" s="495">
        <f>K8</f>
        <v>2022</v>
      </c>
      <c r="L16" s="496"/>
      <c r="M16" s="495">
        <f>M8</f>
        <v>2023</v>
      </c>
    </row>
    <row r="17" spans="1:13" s="250" customFormat="1" ht="13.5" thickBot="1">
      <c r="A17" s="105"/>
      <c r="B17" s="451" t="s">
        <v>203</v>
      </c>
      <c r="C17" s="493"/>
      <c r="D17" s="493"/>
      <c r="E17" s="892">
        <f>E9</f>
        <v>224</v>
      </c>
      <c r="F17" s="603"/>
      <c r="G17" s="892">
        <f>G9</f>
        <v>314</v>
      </c>
      <c r="H17" s="603"/>
      <c r="I17" s="892">
        <f>I9</f>
        <v>403</v>
      </c>
      <c r="J17" s="603"/>
      <c r="K17" s="892">
        <f>K9</f>
        <v>504</v>
      </c>
      <c r="L17" s="603"/>
      <c r="M17" s="892">
        <f>M9</f>
        <v>504</v>
      </c>
    </row>
    <row r="18" spans="1:13" s="250" customFormat="1" ht="13.5" thickBot="1">
      <c r="A18" s="105"/>
      <c r="B18" s="452" t="s">
        <v>234</v>
      </c>
      <c r="C18" s="493"/>
      <c r="D18" s="493"/>
      <c r="E18" s="454">
        <f>E10</f>
        <v>0.6</v>
      </c>
      <c r="F18" s="603"/>
      <c r="G18" s="454">
        <f>G10</f>
        <v>0.6</v>
      </c>
      <c r="H18" s="603"/>
      <c r="I18" s="454">
        <f>I10</f>
        <v>0.6</v>
      </c>
      <c r="J18" s="603"/>
      <c r="K18" s="454">
        <f>K10</f>
        <v>0.6</v>
      </c>
      <c r="L18" s="603"/>
      <c r="M18" s="454">
        <f>M10</f>
        <v>0.6</v>
      </c>
    </row>
    <row r="19" spans="1:13" s="250" customFormat="1" ht="13.5" thickBot="1">
      <c r="A19" s="105"/>
      <c r="B19" s="452" t="s">
        <v>235</v>
      </c>
      <c r="C19" s="493"/>
      <c r="D19" s="493"/>
      <c r="E19" s="455">
        <f>E11</f>
        <v>134</v>
      </c>
      <c r="F19" s="604"/>
      <c r="G19" s="455">
        <f>G11</f>
        <v>188</v>
      </c>
      <c r="H19" s="604"/>
      <c r="I19" s="455">
        <f>I11</f>
        <v>242</v>
      </c>
      <c r="J19" s="604"/>
      <c r="K19" s="455">
        <f>K11</f>
        <v>302</v>
      </c>
      <c r="L19" s="604"/>
      <c r="M19" s="455">
        <f>M11</f>
        <v>302</v>
      </c>
    </row>
    <row r="20" spans="1:13" s="250" customFormat="1" ht="13.5" thickBot="1">
      <c r="A20" s="105"/>
      <c r="B20" s="452" t="s">
        <v>521</v>
      </c>
      <c r="C20" s="493"/>
      <c r="D20" s="493"/>
      <c r="E20" s="895">
        <v>0.3</v>
      </c>
      <c r="F20" s="891"/>
      <c r="G20" s="895">
        <v>0.3</v>
      </c>
      <c r="H20" s="891"/>
      <c r="I20" s="895">
        <v>0.3</v>
      </c>
      <c r="J20" s="891"/>
      <c r="K20" s="895">
        <v>0.3</v>
      </c>
      <c r="L20" s="891"/>
      <c r="M20" s="895">
        <v>0.3</v>
      </c>
    </row>
    <row r="21" spans="1:13" s="250" customFormat="1" ht="13.5" thickBot="1">
      <c r="A21" s="105"/>
      <c r="B21" s="452" t="s">
        <v>522</v>
      </c>
      <c r="C21" s="493"/>
      <c r="D21" s="493"/>
      <c r="E21" s="455">
        <f>E20*E17</f>
        <v>67.2</v>
      </c>
      <c r="F21" s="604"/>
      <c r="G21" s="455">
        <f>G20*G17</f>
        <v>94.2</v>
      </c>
      <c r="H21" s="604"/>
      <c r="I21" s="455">
        <f>I20*I17</f>
        <v>120.89999999999999</v>
      </c>
      <c r="J21" s="604"/>
      <c r="K21" s="455">
        <f>K20*K17</f>
        <v>151.2</v>
      </c>
      <c r="L21" s="604"/>
      <c r="M21" s="455">
        <f>M20*M17</f>
        <v>151.2</v>
      </c>
    </row>
    <row r="22" spans="1:13" s="250" customFormat="1" ht="13.5" thickBot="1">
      <c r="A22" s="105"/>
      <c r="B22" s="452" t="s">
        <v>523</v>
      </c>
      <c r="C22" s="493"/>
      <c r="D22" s="493"/>
      <c r="E22" s="455">
        <f>(0.6*E19)+(0.4*E21)</f>
        <v>107.28</v>
      </c>
      <c r="F22" s="604">
        <f aca="true" t="shared" si="0" ref="F22:L22">F19*0.6</f>
        <v>0</v>
      </c>
      <c r="G22" s="455">
        <f>(0.6*G19)+(0.4*G21)</f>
        <v>150.48</v>
      </c>
      <c r="H22" s="604">
        <f t="shared" si="0"/>
        <v>0</v>
      </c>
      <c r="I22" s="455">
        <f>(0.6*I19)+(0.4*I21)</f>
        <v>193.56</v>
      </c>
      <c r="J22" s="604">
        <f t="shared" si="0"/>
        <v>0</v>
      </c>
      <c r="K22" s="455">
        <f>(0.6*K19)+(0.4*K21)</f>
        <v>241.67999999999998</v>
      </c>
      <c r="L22" s="604">
        <f t="shared" si="0"/>
        <v>0</v>
      </c>
      <c r="M22" s="455">
        <f>(0.6*M19)+(0.4*M21)</f>
        <v>241.67999999999998</v>
      </c>
    </row>
    <row r="23" spans="1:13" s="250" customFormat="1" ht="13.5" thickBot="1">
      <c r="A23" s="105"/>
      <c r="B23" s="452" t="s">
        <v>233</v>
      </c>
      <c r="C23" s="493"/>
      <c r="D23" s="493"/>
      <c r="E23" s="454">
        <f>E22/E17</f>
        <v>0.4789285714285714</v>
      </c>
      <c r="F23" s="605"/>
      <c r="G23" s="454">
        <f>G22/G17</f>
        <v>0.4792356687898089</v>
      </c>
      <c r="H23" s="605"/>
      <c r="I23" s="454">
        <f>I22/I17</f>
        <v>0.4802977667493797</v>
      </c>
      <c r="J23" s="605"/>
      <c r="K23" s="454">
        <f>K22/K17</f>
        <v>0.47952380952380946</v>
      </c>
      <c r="L23" s="605"/>
      <c r="M23" s="454">
        <f>M22/M17</f>
        <v>0.47952380952380946</v>
      </c>
    </row>
    <row r="24" spans="1:13" s="250" customFormat="1" ht="13.5" thickBot="1">
      <c r="A24" s="105"/>
      <c r="B24" s="452" t="s">
        <v>477</v>
      </c>
      <c r="C24" s="493"/>
      <c r="D24" s="493"/>
      <c r="E24" s="456">
        <f>IF(100*E23&gt;40,((ROUND((E23*100),0)-40)*23)+579,0)</f>
        <v>763</v>
      </c>
      <c r="F24" s="606"/>
      <c r="G24" s="456">
        <f>IF(100*G23&gt;40,((ROUND((G23*100),0)-40)*23)+579,0)</f>
        <v>763</v>
      </c>
      <c r="H24" s="606"/>
      <c r="I24" s="456">
        <f>IF(100*I23&gt;40,((ROUND((I23*100),0)-40)*23)+579,0)</f>
        <v>763</v>
      </c>
      <c r="J24" s="607"/>
      <c r="K24" s="456">
        <f>IF(100*K23&gt;40,((ROUND((K23*100),0)-40)*23)+579,0)</f>
        <v>763</v>
      </c>
      <c r="L24" s="606"/>
      <c r="M24" s="456">
        <f>IF(100*M23&gt;40,((ROUND((M23*100),0)-40)*23)+579,0)</f>
        <v>763</v>
      </c>
    </row>
    <row r="25" spans="1:13" s="250" customFormat="1" ht="13.5" thickBot="1">
      <c r="A25" s="105"/>
      <c r="B25" s="452" t="s">
        <v>236</v>
      </c>
      <c r="C25" s="493"/>
      <c r="D25" s="493"/>
      <c r="E25" s="457">
        <f>E24*E22</f>
        <v>81854.64</v>
      </c>
      <c r="F25" s="355"/>
      <c r="G25" s="457">
        <f>G24*G22</f>
        <v>114816.23999999999</v>
      </c>
      <c r="H25" s="355"/>
      <c r="I25" s="457">
        <f>I24*I22</f>
        <v>147686.28</v>
      </c>
      <c r="J25" s="458"/>
      <c r="K25" s="457">
        <f>K24*K22</f>
        <v>184401.84</v>
      </c>
      <c r="L25" s="355"/>
      <c r="M25" s="457">
        <f>M24*M22</f>
        <v>184401.84</v>
      </c>
    </row>
    <row r="26" spans="1:13" s="250" customFormat="1" ht="13.5" customHeight="1">
      <c r="A26" s="105"/>
      <c r="B26" s="492"/>
      <c r="C26" s="493"/>
      <c r="D26" s="493"/>
      <c r="E26" s="494"/>
      <c r="F26" s="494"/>
      <c r="G26" s="494"/>
      <c r="H26" s="494"/>
      <c r="I26" s="494"/>
      <c r="J26" s="494"/>
      <c r="K26" s="494"/>
      <c r="L26" s="494"/>
      <c r="M26" s="494"/>
    </row>
    <row r="27" spans="1:13" s="250" customFormat="1" ht="13.5" customHeight="1" thickBot="1">
      <c r="A27" s="105"/>
      <c r="B27" s="492"/>
      <c r="C27" s="493"/>
      <c r="D27" s="493"/>
      <c r="E27" s="494"/>
      <c r="F27" s="494"/>
      <c r="G27" s="494"/>
      <c r="H27" s="494"/>
      <c r="I27" s="494"/>
      <c r="J27" s="494"/>
      <c r="K27" s="494"/>
      <c r="L27" s="494"/>
      <c r="M27" s="494"/>
    </row>
    <row r="28" spans="1:13" s="250" customFormat="1" ht="16.5" customHeight="1" thickBot="1">
      <c r="A28" s="105"/>
      <c r="B28" s="296" t="s">
        <v>330</v>
      </c>
      <c r="C28" s="493"/>
      <c r="D28" s="77"/>
      <c r="E28" s="228">
        <f>$E$8</f>
        <v>2019</v>
      </c>
      <c r="F28" s="228"/>
      <c r="G28" s="228">
        <f>$G$8</f>
        <v>2020</v>
      </c>
      <c r="H28" s="228"/>
      <c r="I28" s="228">
        <f>$I$8</f>
        <v>2021</v>
      </c>
      <c r="J28" s="228"/>
      <c r="K28" s="228">
        <f>$K$8</f>
        <v>2022</v>
      </c>
      <c r="L28" s="228"/>
      <c r="M28" s="228">
        <f>$M$8</f>
        <v>2023</v>
      </c>
    </row>
    <row r="29" spans="1:13" s="250" customFormat="1" ht="13.5" customHeight="1">
      <c r="A29" s="105"/>
      <c r="B29" s="301" t="s">
        <v>28</v>
      </c>
      <c r="C29" s="493"/>
      <c r="D29" s="95"/>
      <c r="E29" s="450">
        <f>E9</f>
        <v>224</v>
      </c>
      <c r="F29" s="608"/>
      <c r="G29" s="450">
        <f>G9</f>
        <v>314</v>
      </c>
      <c r="H29" s="608"/>
      <c r="I29" s="450">
        <f>I9</f>
        <v>403</v>
      </c>
      <c r="J29" s="608"/>
      <c r="K29" s="450">
        <f>K9</f>
        <v>504</v>
      </c>
      <c r="L29" s="608"/>
      <c r="M29" s="450">
        <f>M9</f>
        <v>504</v>
      </c>
    </row>
    <row r="30" spans="1:13" s="250" customFormat="1" ht="13.5" customHeight="1" thickBot="1">
      <c r="A30" s="105"/>
      <c r="B30" s="310" t="s">
        <v>42</v>
      </c>
      <c r="C30" s="493"/>
      <c r="D30" s="80"/>
      <c r="E30" s="298">
        <v>70</v>
      </c>
      <c r="F30" s="294"/>
      <c r="G30" s="298">
        <f>$E$30</f>
        <v>70</v>
      </c>
      <c r="H30" s="294"/>
      <c r="I30" s="298">
        <f>$E$30</f>
        <v>70</v>
      </c>
      <c r="J30" s="294"/>
      <c r="K30" s="298">
        <f>$E$30</f>
        <v>70</v>
      </c>
      <c r="L30" s="294"/>
      <c r="M30" s="298">
        <f>$E$30</f>
        <v>70</v>
      </c>
    </row>
    <row r="31" spans="1:13" s="250" customFormat="1" ht="15" customHeight="1" thickBot="1">
      <c r="A31" s="105"/>
      <c r="B31" s="296" t="s">
        <v>43</v>
      </c>
      <c r="C31" s="493"/>
      <c r="D31" s="81"/>
      <c r="E31" s="300">
        <f>E29*E30</f>
        <v>15680</v>
      </c>
      <c r="F31" s="229"/>
      <c r="G31" s="300">
        <f>G29*G30</f>
        <v>21980</v>
      </c>
      <c r="H31" s="229"/>
      <c r="I31" s="300">
        <f>I29*I30</f>
        <v>28210</v>
      </c>
      <c r="J31" s="229"/>
      <c r="K31" s="300">
        <f>K29*K30</f>
        <v>35280</v>
      </c>
      <c r="L31" s="229"/>
      <c r="M31" s="300">
        <f>M29*M30</f>
        <v>35280</v>
      </c>
    </row>
    <row r="32" spans="1:13" s="250" customFormat="1" ht="13.5" customHeight="1">
      <c r="A32" s="105"/>
      <c r="B32" s="492"/>
      <c r="C32" s="493"/>
      <c r="D32" s="493"/>
      <c r="E32" s="494"/>
      <c r="F32" s="494"/>
      <c r="G32" s="494"/>
      <c r="H32" s="494"/>
      <c r="I32" s="494"/>
      <c r="J32" s="494"/>
      <c r="K32" s="494"/>
      <c r="L32" s="494"/>
      <c r="M32" s="494"/>
    </row>
    <row r="33" spans="1:13" s="250" customFormat="1" ht="13.5" customHeight="1">
      <c r="A33" s="105"/>
      <c r="B33" s="492"/>
      <c r="C33" s="493"/>
      <c r="D33" s="493"/>
      <c r="E33" s="494"/>
      <c r="F33" s="494"/>
      <c r="G33" s="494"/>
      <c r="H33" s="494"/>
      <c r="I33" s="494"/>
      <c r="J33" s="494"/>
      <c r="K33" s="494"/>
      <c r="L33" s="494"/>
      <c r="M33" s="494"/>
    </row>
    <row r="34" spans="2:13" ht="16.5" customHeight="1" hidden="1" thickBot="1">
      <c r="B34" s="296" t="s">
        <v>317</v>
      </c>
      <c r="C34" s="77" t="s">
        <v>29</v>
      </c>
      <c r="D34" s="77"/>
      <c r="E34" s="228">
        <f>$E$8</f>
        <v>2019</v>
      </c>
      <c r="F34" s="228"/>
      <c r="G34" s="228">
        <f>$G$8</f>
        <v>2020</v>
      </c>
      <c r="H34" s="228"/>
      <c r="I34" s="228">
        <f>$I$8</f>
        <v>2021</v>
      </c>
      <c r="J34" s="228"/>
      <c r="K34" s="228">
        <f>$K$8</f>
        <v>2022</v>
      </c>
      <c r="L34" s="228"/>
      <c r="M34" s="228">
        <f>$M$8</f>
        <v>2023</v>
      </c>
    </row>
    <row r="35" spans="2:13" ht="12.75" customHeight="1" hidden="1">
      <c r="B35" s="301" t="s">
        <v>34</v>
      </c>
      <c r="C35" s="82"/>
      <c r="D35" s="82"/>
      <c r="E35" s="450">
        <f>E89</f>
        <v>224</v>
      </c>
      <c r="F35" s="293"/>
      <c r="G35" s="450">
        <f>IF(G90="Yes",IF((G89-E89)&lt;0,0,G89-E89),0)</f>
        <v>0</v>
      </c>
      <c r="H35" s="293"/>
      <c r="I35" s="450">
        <f>IF(I90="Yes",IF((I89-G89)&lt;0,0,I89-G89),0)</f>
        <v>0</v>
      </c>
      <c r="J35" s="293"/>
      <c r="K35" s="450">
        <f>IF(K90="Yes",IF((K89-I89)&lt;0,0,K89-I89),0)</f>
        <v>0</v>
      </c>
      <c r="L35" s="293"/>
      <c r="M35" s="450">
        <f>IF(M90="Yes",IF((M89-K89)&lt;0,0,M89-K89),0)</f>
        <v>0</v>
      </c>
    </row>
    <row r="36" spans="2:13" ht="13.5" customHeight="1" hidden="1" thickBot="1">
      <c r="B36" s="310" t="s">
        <v>35</v>
      </c>
      <c r="C36" s="83">
        <f>800*0.95</f>
        <v>760</v>
      </c>
      <c r="D36" s="83"/>
      <c r="E36" s="298">
        <f>$C$36</f>
        <v>760</v>
      </c>
      <c r="F36" s="294"/>
      <c r="G36" s="298">
        <f aca="true" t="shared" si="1" ref="G36:M36">$C$36</f>
        <v>760</v>
      </c>
      <c r="H36" s="294"/>
      <c r="I36" s="298">
        <f t="shared" si="1"/>
        <v>760</v>
      </c>
      <c r="J36" s="294"/>
      <c r="K36" s="298">
        <f t="shared" si="1"/>
        <v>760</v>
      </c>
      <c r="L36" s="294"/>
      <c r="M36" s="298">
        <f t="shared" si="1"/>
        <v>760</v>
      </c>
    </row>
    <row r="37" spans="2:13" ht="13.5" customHeight="1" hidden="1" thickBot="1">
      <c r="B37" s="230" t="s">
        <v>318</v>
      </c>
      <c r="C37" s="81">
        <f>C35*C36</f>
        <v>0</v>
      </c>
      <c r="D37" s="81"/>
      <c r="E37" s="300">
        <f aca="true" t="shared" si="2" ref="E37:M37">E35*E36</f>
        <v>170240</v>
      </c>
      <c r="F37" s="229"/>
      <c r="G37" s="300">
        <f t="shared" si="2"/>
        <v>0</v>
      </c>
      <c r="H37" s="229"/>
      <c r="I37" s="300">
        <f t="shared" si="2"/>
        <v>0</v>
      </c>
      <c r="J37" s="229"/>
      <c r="K37" s="300">
        <f t="shared" si="2"/>
        <v>0</v>
      </c>
      <c r="L37" s="229"/>
      <c r="M37" s="300">
        <f t="shared" si="2"/>
        <v>0</v>
      </c>
    </row>
    <row r="38" spans="2:13" ht="13.5" customHeight="1" hidden="1" thickBot="1">
      <c r="B38" s="192"/>
      <c r="C38" s="79"/>
      <c r="D38" s="96"/>
      <c r="E38" s="292"/>
      <c r="F38" s="292"/>
      <c r="G38" s="292"/>
      <c r="H38" s="292"/>
      <c r="I38" s="292"/>
      <c r="J38" s="292"/>
      <c r="K38" s="292"/>
      <c r="L38" s="292"/>
      <c r="M38" s="292"/>
    </row>
    <row r="39" spans="2:13" ht="16.5" customHeight="1" hidden="1" thickBot="1">
      <c r="B39" s="296" t="s">
        <v>36</v>
      </c>
      <c r="C39" s="79"/>
      <c r="D39" s="96"/>
      <c r="E39" s="292"/>
      <c r="F39" s="292"/>
      <c r="G39" s="292"/>
      <c r="H39" s="292"/>
      <c r="I39" s="292"/>
      <c r="J39" s="292"/>
      <c r="K39" s="292"/>
      <c r="L39" s="292"/>
      <c r="M39" s="292"/>
    </row>
    <row r="40" spans="2:13" ht="12.75" customHeight="1" hidden="1">
      <c r="B40" s="301" t="s">
        <v>34</v>
      </c>
      <c r="C40" s="82"/>
      <c r="D40" s="82"/>
      <c r="E40" s="450">
        <f>$E$98</f>
        <v>0</v>
      </c>
      <c r="F40" s="293"/>
      <c r="G40" s="450">
        <f>IF(G99="Yes",IF((G98-E98)&lt;0,0,G98-E98),0)</f>
        <v>0</v>
      </c>
      <c r="H40" s="293"/>
      <c r="I40" s="450">
        <f>IF(I99="Yes",IF((I98-G98)&lt;0,0,I98-G98),0)</f>
        <v>0</v>
      </c>
      <c r="J40" s="293"/>
      <c r="K40" s="450">
        <f>IF(K99="Yes",IF((K98-I98)&lt;0,0,K98-I98),0)</f>
        <v>0</v>
      </c>
      <c r="L40" s="293"/>
      <c r="M40" s="450">
        <f>IF(M99="Yes",IF((M98-K98)&lt;0,0,M98-K98),0)</f>
        <v>0</v>
      </c>
    </row>
    <row r="41" spans="2:13" ht="13.5" customHeight="1" hidden="1" thickBot="1">
      <c r="B41" s="310" t="s">
        <v>35</v>
      </c>
      <c r="C41" s="83">
        <f>1000*0.95</f>
        <v>950</v>
      </c>
      <c r="D41" s="83"/>
      <c r="E41" s="298">
        <f>$C$41</f>
        <v>950</v>
      </c>
      <c r="F41" s="294"/>
      <c r="G41" s="298">
        <f aca="true" t="shared" si="3" ref="G41:M41">$C$41</f>
        <v>950</v>
      </c>
      <c r="H41" s="294"/>
      <c r="I41" s="298">
        <f t="shared" si="3"/>
        <v>950</v>
      </c>
      <c r="J41" s="294"/>
      <c r="K41" s="298">
        <f t="shared" si="3"/>
        <v>950</v>
      </c>
      <c r="L41" s="294"/>
      <c r="M41" s="298">
        <f t="shared" si="3"/>
        <v>950</v>
      </c>
    </row>
    <row r="42" spans="2:13" ht="13.5" customHeight="1" hidden="1" thickBot="1">
      <c r="B42" s="230" t="s">
        <v>37</v>
      </c>
      <c r="C42" s="81">
        <f>C40*C41</f>
        <v>0</v>
      </c>
      <c r="D42" s="81"/>
      <c r="E42" s="300">
        <f>E40*E41</f>
        <v>0</v>
      </c>
      <c r="F42" s="229"/>
      <c r="G42" s="300">
        <f>G40*G41</f>
        <v>0</v>
      </c>
      <c r="H42" s="229"/>
      <c r="I42" s="300">
        <f>I40*I41</f>
        <v>0</v>
      </c>
      <c r="J42" s="229"/>
      <c r="K42" s="300">
        <f>K40*K41</f>
        <v>0</v>
      </c>
      <c r="L42" s="229"/>
      <c r="M42" s="300">
        <f>M40*M41</f>
        <v>0</v>
      </c>
    </row>
    <row r="43" spans="2:13" ht="13.5" customHeight="1" hidden="1" thickBot="1">
      <c r="B43" s="104"/>
      <c r="C43" s="4"/>
      <c r="D43" s="4"/>
      <c r="E43" s="164"/>
      <c r="F43" s="164"/>
      <c r="G43" s="164"/>
      <c r="H43" s="164"/>
      <c r="I43" s="164"/>
      <c r="J43" s="164"/>
      <c r="K43" s="164"/>
      <c r="L43" s="164"/>
      <c r="M43" s="164"/>
    </row>
    <row r="44" spans="2:13" ht="16.5" customHeight="1" hidden="1" thickBot="1">
      <c r="B44" s="296" t="s">
        <v>38</v>
      </c>
      <c r="C44" s="81">
        <f>C37+C42</f>
        <v>0</v>
      </c>
      <c r="D44" s="81"/>
      <c r="E44" s="300">
        <f aca="true" t="shared" si="4" ref="E44:M44">E37+E42</f>
        <v>170240</v>
      </c>
      <c r="F44" s="229"/>
      <c r="G44" s="300">
        <f t="shared" si="4"/>
        <v>0</v>
      </c>
      <c r="H44" s="229"/>
      <c r="I44" s="300">
        <f t="shared" si="4"/>
        <v>0</v>
      </c>
      <c r="J44" s="229"/>
      <c r="K44" s="300">
        <f t="shared" si="4"/>
        <v>0</v>
      </c>
      <c r="L44" s="229"/>
      <c r="M44" s="300">
        <f t="shared" si="4"/>
        <v>0</v>
      </c>
    </row>
    <row r="45" spans="2:13" ht="12.75" customHeight="1" hidden="1">
      <c r="B45" s="4"/>
      <c r="C45" s="4"/>
      <c r="D45" s="4"/>
      <c r="E45" s="164"/>
      <c r="F45" s="164"/>
      <c r="G45" s="164"/>
      <c r="H45" s="164"/>
      <c r="I45" s="164"/>
      <c r="J45" s="164"/>
      <c r="K45" s="164"/>
      <c r="L45" s="164"/>
      <c r="M45" s="164"/>
    </row>
    <row r="46" spans="2:13" ht="13.5" thickBot="1">
      <c r="B46" s="4"/>
      <c r="C46" s="4"/>
      <c r="D46" s="4"/>
      <c r="E46" s="164"/>
      <c r="F46" s="164"/>
      <c r="G46" s="164"/>
      <c r="H46" s="164"/>
      <c r="I46" s="164"/>
      <c r="J46" s="164"/>
      <c r="K46" s="164"/>
      <c r="L46" s="164"/>
      <c r="M46" s="164"/>
    </row>
    <row r="47" spans="2:13" ht="16.5" thickBot="1">
      <c r="B47" s="297" t="s">
        <v>447</v>
      </c>
      <c r="C47" s="824">
        <f>IF(OR($C$5="Grade Expansion",$C$5="Charter Conversion"),"Prior Fiscal Year",IF($C$4="2012 (FY13)","FY12 
Incubation",IF($C$4="2013 (FY14)","FY13 
Incubation",0)))</f>
        <v>0</v>
      </c>
      <c r="D47" s="93"/>
      <c r="E47" s="228">
        <f>$E$8</f>
        <v>2019</v>
      </c>
      <c r="F47" s="228"/>
      <c r="G47" s="228">
        <f>$G$8</f>
        <v>2020</v>
      </c>
      <c r="H47" s="228"/>
      <c r="I47" s="228">
        <f>$I$8</f>
        <v>2021</v>
      </c>
      <c r="J47" s="228"/>
      <c r="K47" s="228">
        <f>$K$8</f>
        <v>2022</v>
      </c>
      <c r="L47" s="228"/>
      <c r="M47" s="228">
        <f>$M$8</f>
        <v>2023</v>
      </c>
    </row>
    <row r="48" spans="2:13" ht="16.5" thickBot="1">
      <c r="B48" s="297" t="s">
        <v>452</v>
      </c>
      <c r="C48" s="91"/>
      <c r="D48" s="78"/>
      <c r="E48" s="146"/>
      <c r="F48" s="146"/>
      <c r="G48" s="146"/>
      <c r="H48" s="146"/>
      <c r="I48" s="146"/>
      <c r="J48" s="146"/>
      <c r="K48" s="146"/>
      <c r="L48" s="146"/>
      <c r="M48" s="836"/>
    </row>
    <row r="49" spans="2:13" ht="17.25" customHeight="1">
      <c r="B49" s="825" t="s">
        <v>459</v>
      </c>
      <c r="C49" s="92"/>
      <c r="D49" s="94"/>
      <c r="E49" s="821"/>
      <c r="F49" s="822"/>
      <c r="G49" s="823"/>
      <c r="H49" s="822"/>
      <c r="I49" s="823"/>
      <c r="J49" s="822"/>
      <c r="K49" s="823"/>
      <c r="L49" s="822"/>
      <c r="M49" s="837"/>
    </row>
    <row r="50" spans="2:13" ht="13.5" thickBot="1">
      <c r="B50" s="826" t="s">
        <v>490</v>
      </c>
      <c r="C50" s="92"/>
      <c r="D50" s="94"/>
      <c r="E50" s="840">
        <v>45000</v>
      </c>
      <c r="F50" s="609"/>
      <c r="G50" s="840">
        <v>45000</v>
      </c>
      <c r="H50" s="609"/>
      <c r="I50" s="840">
        <v>45000</v>
      </c>
      <c r="J50" s="609"/>
      <c r="K50" s="840">
        <v>45000</v>
      </c>
      <c r="L50" s="609"/>
      <c r="M50" s="843">
        <v>45000</v>
      </c>
    </row>
    <row r="51" spans="2:13" ht="13.5" thickBot="1">
      <c r="B51" s="826" t="s">
        <v>448</v>
      </c>
      <c r="C51" s="92"/>
      <c r="D51" s="818"/>
      <c r="E51" s="841">
        <f>E49*E50</f>
        <v>0</v>
      </c>
      <c r="F51" s="819"/>
      <c r="G51" s="841">
        <f>G49*G50</f>
        <v>0</v>
      </c>
      <c r="H51" s="609"/>
      <c r="I51" s="841">
        <f>I49*I50</f>
        <v>0</v>
      </c>
      <c r="J51" s="609"/>
      <c r="K51" s="841">
        <f>K49*K50</f>
        <v>0</v>
      </c>
      <c r="L51" s="609"/>
      <c r="M51" s="841">
        <f>M49*M50</f>
        <v>0</v>
      </c>
    </row>
    <row r="52" spans="2:13" ht="13.5" thickBot="1">
      <c r="B52" s="827"/>
      <c r="C52" s="92"/>
      <c r="D52" s="315"/>
      <c r="E52" s="318"/>
      <c r="F52" s="318"/>
      <c r="G52" s="318"/>
      <c r="H52" s="318"/>
      <c r="I52" s="318"/>
      <c r="J52" s="318"/>
      <c r="K52" s="318"/>
      <c r="L52" s="318"/>
      <c r="M52" s="828"/>
    </row>
    <row r="53" spans="2:13" ht="18.75" customHeight="1" thickBot="1">
      <c r="B53" s="297" t="s">
        <v>514</v>
      </c>
      <c r="C53" s="97"/>
      <c r="D53" s="86"/>
      <c r="E53" s="295"/>
      <c r="F53" s="295"/>
      <c r="G53" s="295"/>
      <c r="H53" s="295"/>
      <c r="I53" s="295"/>
      <c r="J53" s="295"/>
      <c r="K53" s="295"/>
      <c r="L53" s="127"/>
      <c r="M53" s="334"/>
    </row>
    <row r="54" spans="2:13" ht="25.5">
      <c r="B54" s="847" t="s">
        <v>517</v>
      </c>
      <c r="C54" s="88"/>
      <c r="D54" s="94"/>
      <c r="E54" s="848">
        <v>21</v>
      </c>
      <c r="F54" s="610"/>
      <c r="G54" s="848">
        <v>30</v>
      </c>
      <c r="H54" s="610"/>
      <c r="I54" s="848">
        <v>38</v>
      </c>
      <c r="J54" s="610"/>
      <c r="K54" s="848">
        <v>48</v>
      </c>
      <c r="L54" s="610"/>
      <c r="M54" s="848">
        <v>48</v>
      </c>
    </row>
    <row r="55" spans="2:13" ht="13.5" thickBot="1">
      <c r="B55" s="826" t="s">
        <v>518</v>
      </c>
      <c r="C55" s="88"/>
      <c r="D55" s="94"/>
      <c r="E55" s="840">
        <v>353</v>
      </c>
      <c r="F55" s="610"/>
      <c r="G55" s="840">
        <v>353</v>
      </c>
      <c r="H55" s="610"/>
      <c r="I55" s="840">
        <v>353</v>
      </c>
      <c r="J55" s="610"/>
      <c r="K55" s="840">
        <v>353</v>
      </c>
      <c r="L55" s="610"/>
      <c r="M55" s="840">
        <v>353</v>
      </c>
    </row>
    <row r="56" spans="2:13" ht="13.5" thickBot="1">
      <c r="B56" s="829" t="s">
        <v>448</v>
      </c>
      <c r="C56" s="159"/>
      <c r="D56" s="839"/>
      <c r="E56" s="841">
        <f>E54*E55</f>
        <v>7413</v>
      </c>
      <c r="F56" s="842"/>
      <c r="G56" s="841">
        <f>G54*G55</f>
        <v>10590</v>
      </c>
      <c r="H56" s="842"/>
      <c r="I56" s="841">
        <f>I54*I55</f>
        <v>13414</v>
      </c>
      <c r="J56" s="842"/>
      <c r="K56" s="841">
        <f>K54*K55</f>
        <v>16944</v>
      </c>
      <c r="L56" s="842"/>
      <c r="M56" s="841">
        <f>M54*M55</f>
        <v>16944</v>
      </c>
    </row>
    <row r="57" spans="2:13" ht="12.75">
      <c r="B57" s="834"/>
      <c r="C57" s="250"/>
      <c r="D57" s="317"/>
      <c r="E57" s="835"/>
      <c r="F57" s="612"/>
      <c r="G57" s="835"/>
      <c r="H57" s="612"/>
      <c r="I57" s="835"/>
      <c r="J57" s="612"/>
      <c r="K57" s="835"/>
      <c r="L57" s="612"/>
      <c r="M57" s="835"/>
    </row>
    <row r="58" spans="1:13" s="250" customFormat="1" ht="13.5" thickBot="1">
      <c r="A58" s="105"/>
      <c r="B58" s="316"/>
      <c r="D58" s="317"/>
      <c r="E58" s="611"/>
      <c r="F58" s="612"/>
      <c r="G58" s="611"/>
      <c r="H58" s="612"/>
      <c r="I58" s="611"/>
      <c r="J58" s="612"/>
      <c r="K58" s="611"/>
      <c r="L58" s="612"/>
      <c r="M58" s="611"/>
    </row>
    <row r="59" spans="1:13" s="250" customFormat="1" ht="16.5" thickBot="1">
      <c r="A59" s="105"/>
      <c r="B59" s="297" t="s">
        <v>449</v>
      </c>
      <c r="C59" s="850"/>
      <c r="D59" s="851"/>
      <c r="E59" s="852"/>
      <c r="F59" s="853"/>
      <c r="G59" s="852"/>
      <c r="H59" s="853"/>
      <c r="I59" s="852"/>
      <c r="J59" s="853"/>
      <c r="K59" s="852"/>
      <c r="L59" s="853"/>
      <c r="M59" s="854"/>
    </row>
    <row r="60" spans="1:13" s="250" customFormat="1" ht="15.75">
      <c r="A60" s="105"/>
      <c r="B60" s="838" t="s">
        <v>458</v>
      </c>
      <c r="C60" s="110"/>
      <c r="D60" s="317"/>
      <c r="E60" s="611"/>
      <c r="F60" s="612"/>
      <c r="G60" s="611"/>
      <c r="H60" s="612"/>
      <c r="I60" s="611"/>
      <c r="J60" s="612"/>
      <c r="K60" s="611"/>
      <c r="L60" s="612"/>
      <c r="M60" s="855"/>
    </row>
    <row r="61" spans="2:13" ht="19.5" customHeight="1">
      <c r="B61" s="825" t="s">
        <v>460</v>
      </c>
      <c r="C61" s="88"/>
      <c r="D61" s="94"/>
      <c r="E61" s="821"/>
      <c r="F61" s="610"/>
      <c r="G61" s="821"/>
      <c r="H61" s="610"/>
      <c r="I61" s="821"/>
      <c r="J61" s="610"/>
      <c r="K61" s="821"/>
      <c r="L61" s="610"/>
      <c r="M61" s="856"/>
    </row>
    <row r="62" spans="2:13" ht="13.5" thickBot="1">
      <c r="B62" s="826" t="s">
        <v>491</v>
      </c>
      <c r="C62" s="88"/>
      <c r="D62" s="94"/>
      <c r="E62" s="845">
        <v>45000</v>
      </c>
      <c r="F62" s="610"/>
      <c r="G62" s="845">
        <v>45000</v>
      </c>
      <c r="H62" s="610"/>
      <c r="I62" s="845">
        <v>45000</v>
      </c>
      <c r="J62" s="610"/>
      <c r="K62" s="845">
        <v>45000</v>
      </c>
      <c r="L62" s="610"/>
      <c r="M62" s="857">
        <v>45000</v>
      </c>
    </row>
    <row r="63" spans="2:13" ht="13.5" thickBot="1">
      <c r="B63" s="829" t="s">
        <v>448</v>
      </c>
      <c r="C63" s="88"/>
      <c r="D63" s="818"/>
      <c r="E63" s="846">
        <f>E61*E62</f>
        <v>0</v>
      </c>
      <c r="F63" s="844"/>
      <c r="G63" s="846">
        <f>G61*G62</f>
        <v>0</v>
      </c>
      <c r="H63" s="610"/>
      <c r="I63" s="846">
        <f>I61*I62</f>
        <v>0</v>
      </c>
      <c r="J63" s="610"/>
      <c r="K63" s="846">
        <f>K61*K62</f>
        <v>0</v>
      </c>
      <c r="L63" s="610"/>
      <c r="M63" s="846">
        <f>M61*M62</f>
        <v>0</v>
      </c>
    </row>
    <row r="64" spans="1:13" s="250" customFormat="1" ht="12.75">
      <c r="A64" s="105"/>
      <c r="B64" s="827"/>
      <c r="C64" s="110"/>
      <c r="D64" s="317"/>
      <c r="E64" s="611"/>
      <c r="F64" s="612"/>
      <c r="G64" s="611"/>
      <c r="H64" s="612"/>
      <c r="I64" s="611"/>
      <c r="J64" s="612"/>
      <c r="K64" s="611"/>
      <c r="L64" s="612"/>
      <c r="M64" s="855"/>
    </row>
    <row r="65" spans="1:13" s="250" customFormat="1" ht="1.5" customHeight="1" thickBot="1">
      <c r="A65" s="105"/>
      <c r="B65" s="827"/>
      <c r="C65" s="110"/>
      <c r="D65" s="317"/>
      <c r="E65" s="611"/>
      <c r="F65" s="612"/>
      <c r="G65" s="611"/>
      <c r="H65" s="612"/>
      <c r="I65" s="611"/>
      <c r="J65" s="612"/>
      <c r="K65" s="611"/>
      <c r="L65" s="612"/>
      <c r="M65" s="855"/>
    </row>
    <row r="66" spans="2:13" ht="16.5" thickBot="1">
      <c r="B66" s="297" t="s">
        <v>453</v>
      </c>
      <c r="C66" s="97"/>
      <c r="D66" s="97"/>
      <c r="E66" s="292"/>
      <c r="F66" s="292"/>
      <c r="G66" s="292"/>
      <c r="H66" s="292"/>
      <c r="I66" s="292"/>
      <c r="J66" s="292"/>
      <c r="K66" s="292"/>
      <c r="L66" s="292"/>
      <c r="M66" s="858"/>
    </row>
    <row r="67" spans="2:13" ht="25.5">
      <c r="B67" s="847" t="s">
        <v>450</v>
      </c>
      <c r="C67" s="88"/>
      <c r="D67" s="94"/>
      <c r="E67" s="848">
        <v>21</v>
      </c>
      <c r="F67" s="610"/>
      <c r="G67" s="848">
        <v>30</v>
      </c>
      <c r="H67" s="610"/>
      <c r="I67" s="848">
        <v>38</v>
      </c>
      <c r="J67" s="610"/>
      <c r="K67" s="848">
        <v>48</v>
      </c>
      <c r="L67" s="610"/>
      <c r="M67" s="859">
        <v>48</v>
      </c>
    </row>
    <row r="68" spans="2:13" ht="12.75">
      <c r="B68" s="826" t="s">
        <v>451</v>
      </c>
      <c r="C68" s="88"/>
      <c r="D68" s="94"/>
      <c r="E68" s="820">
        <v>116</v>
      </c>
      <c r="F68" s="610"/>
      <c r="G68" s="820">
        <v>116</v>
      </c>
      <c r="H68" s="610"/>
      <c r="I68" s="820">
        <v>116</v>
      </c>
      <c r="J68" s="610"/>
      <c r="K68" s="820">
        <v>116</v>
      </c>
      <c r="L68" s="610"/>
      <c r="M68" s="820">
        <v>116</v>
      </c>
    </row>
    <row r="69" spans="2:13" ht="13.5" thickBot="1">
      <c r="B69" s="829" t="s">
        <v>448</v>
      </c>
      <c r="C69" s="159"/>
      <c r="D69" s="830"/>
      <c r="E69" s="831">
        <f>E67*E68</f>
        <v>2436</v>
      </c>
      <c r="F69" s="832"/>
      <c r="G69" s="831">
        <f>G67*G68</f>
        <v>3480</v>
      </c>
      <c r="H69" s="832"/>
      <c r="I69" s="831">
        <f>I67*I68</f>
        <v>4408</v>
      </c>
      <c r="J69" s="832"/>
      <c r="K69" s="831">
        <f>K67*K68</f>
        <v>5568</v>
      </c>
      <c r="L69" s="832"/>
      <c r="M69" s="833">
        <f>M67*M68</f>
        <v>5568</v>
      </c>
    </row>
    <row r="70" spans="2:16" ht="12.75">
      <c r="B70" s="4"/>
      <c r="C70" s="4"/>
      <c r="D70" s="4"/>
      <c r="E70" s="164"/>
      <c r="F70" s="164"/>
      <c r="G70" s="164"/>
      <c r="H70" s="164"/>
      <c r="I70" s="164"/>
      <c r="J70" s="164"/>
      <c r="K70" s="164"/>
      <c r="L70" s="164"/>
      <c r="M70" s="164"/>
      <c r="P70" s="849"/>
    </row>
    <row r="71" spans="2:16" ht="13.5" thickBot="1">
      <c r="B71" s="4"/>
      <c r="C71" s="4"/>
      <c r="D71" s="4"/>
      <c r="E71" s="164"/>
      <c r="F71" s="164"/>
      <c r="G71" s="164"/>
      <c r="H71" s="164"/>
      <c r="I71" s="164"/>
      <c r="J71" s="164"/>
      <c r="K71" s="164"/>
      <c r="L71" s="164"/>
      <c r="M71" s="164"/>
      <c r="P71" s="849"/>
    </row>
    <row r="72" spans="2:16" ht="24.75" customHeight="1" thickBot="1">
      <c r="B72" s="860" t="s">
        <v>456</v>
      </c>
      <c r="C72" s="4"/>
      <c r="D72" s="4"/>
      <c r="E72" s="164"/>
      <c r="F72" s="164"/>
      <c r="G72" s="164"/>
      <c r="H72" s="164"/>
      <c r="I72" s="164"/>
      <c r="J72" s="164"/>
      <c r="K72" s="164"/>
      <c r="L72" s="164"/>
      <c r="M72" s="164"/>
      <c r="P72" s="849"/>
    </row>
    <row r="73" spans="2:16" ht="16.5" customHeight="1" thickBot="1">
      <c r="B73" s="861" t="s">
        <v>454</v>
      </c>
      <c r="C73" s="4"/>
      <c r="D73" s="4"/>
      <c r="E73" s="863">
        <f>E51+E56</f>
        <v>7413</v>
      </c>
      <c r="F73" s="164"/>
      <c r="G73" s="863">
        <f>G51+G56</f>
        <v>10590</v>
      </c>
      <c r="H73" s="164"/>
      <c r="I73" s="863">
        <f>I51+I56</f>
        <v>13414</v>
      </c>
      <c r="J73" s="164"/>
      <c r="K73" s="863">
        <f>K51+K56</f>
        <v>16944</v>
      </c>
      <c r="L73" s="164"/>
      <c r="M73" s="863">
        <f>M51+M56</f>
        <v>16944</v>
      </c>
      <c r="P73" s="849"/>
    </row>
    <row r="74" spans="2:16" ht="16.5" customHeight="1" thickBot="1">
      <c r="B74" s="861" t="s">
        <v>455</v>
      </c>
      <c r="C74" s="4"/>
      <c r="D74" s="4"/>
      <c r="E74" s="864">
        <f>E63+E69</f>
        <v>2436</v>
      </c>
      <c r="F74" s="164"/>
      <c r="G74" s="864">
        <f>G63+G69</f>
        <v>3480</v>
      </c>
      <c r="H74" s="164"/>
      <c r="I74" s="864">
        <f>I63+I69</f>
        <v>4408</v>
      </c>
      <c r="J74" s="164"/>
      <c r="K74" s="864">
        <f>K63+K69</f>
        <v>5568</v>
      </c>
      <c r="L74" s="164"/>
      <c r="M74" s="864">
        <f>M63+M69</f>
        <v>5568</v>
      </c>
      <c r="P74" s="849"/>
    </row>
    <row r="75" spans="2:16" ht="18" customHeight="1" thickBot="1">
      <c r="B75" s="862" t="s">
        <v>457</v>
      </c>
      <c r="C75" s="4"/>
      <c r="D75" s="4"/>
      <c r="E75" s="865">
        <f>SUM(E73:E74)</f>
        <v>9849</v>
      </c>
      <c r="F75" s="164"/>
      <c r="G75" s="865">
        <f>SUM(G73:G74)</f>
        <v>14070</v>
      </c>
      <c r="H75" s="164"/>
      <c r="I75" s="865">
        <f>SUM(I73:I74)</f>
        <v>17822</v>
      </c>
      <c r="J75" s="164"/>
      <c r="K75" s="865">
        <f>SUM(K73:K74)</f>
        <v>22512</v>
      </c>
      <c r="L75" s="164"/>
      <c r="M75" s="865">
        <f>SUM(M73:M74)</f>
        <v>22512</v>
      </c>
      <c r="P75" s="849"/>
    </row>
    <row r="76" spans="2:13" ht="12.75">
      <c r="B76" s="4"/>
      <c r="C76" s="4"/>
      <c r="D76" s="4"/>
      <c r="E76" s="164"/>
      <c r="F76" s="164"/>
      <c r="G76" s="164"/>
      <c r="H76" s="164"/>
      <c r="I76" s="164"/>
      <c r="J76" s="164"/>
      <c r="K76" s="164"/>
      <c r="L76" s="164"/>
      <c r="M76" s="164"/>
    </row>
    <row r="77" spans="2:13" ht="13.5" customHeight="1" hidden="1" thickBot="1">
      <c r="B77" s="1008" t="s">
        <v>140</v>
      </c>
      <c r="C77" s="1009"/>
      <c r="D77" s="1009"/>
      <c r="E77" s="1009"/>
      <c r="F77" s="1009"/>
      <c r="G77" s="1009"/>
      <c r="H77" s="1009"/>
      <c r="I77" s="1009"/>
      <c r="J77" s="1009"/>
      <c r="K77" s="1009"/>
      <c r="L77" s="1009"/>
      <c r="M77" s="1010"/>
    </row>
    <row r="78" spans="2:13" ht="13.5" customHeight="1" hidden="1" thickBot="1">
      <c r="B78" s="225"/>
      <c r="C78" s="4"/>
      <c r="D78" s="4"/>
      <c r="E78" s="164"/>
      <c r="F78" s="164"/>
      <c r="G78" s="164"/>
      <c r="H78" s="164"/>
      <c r="I78" s="164"/>
      <c r="J78" s="164"/>
      <c r="K78" s="164"/>
      <c r="L78" s="164"/>
      <c r="M78" s="164"/>
    </row>
    <row r="79" spans="2:13" ht="13.5" customHeight="1" hidden="1" thickBot="1">
      <c r="B79" s="319" t="s">
        <v>157</v>
      </c>
      <c r="C79" s="4"/>
      <c r="D79" s="4"/>
      <c r="E79" s="319">
        <f>$E$8</f>
        <v>2019</v>
      </c>
      <c r="F79" s="617"/>
      <c r="G79" s="319">
        <f>$G$8</f>
        <v>2020</v>
      </c>
      <c r="H79" s="617"/>
      <c r="I79" s="319">
        <f>$I$8</f>
        <v>2021</v>
      </c>
      <c r="J79" s="617"/>
      <c r="K79" s="319">
        <f>$K$8</f>
        <v>2022</v>
      </c>
      <c r="L79" s="617"/>
      <c r="M79" s="319">
        <f>$M$8</f>
        <v>2023</v>
      </c>
    </row>
    <row r="80" spans="2:13" ht="13.5" customHeight="1" hidden="1" thickBot="1">
      <c r="B80" s="445" t="s">
        <v>153</v>
      </c>
      <c r="C80" s="4"/>
      <c r="D80" s="4"/>
      <c r="E80" s="614">
        <f>'Revenues-Per Capita '!D26</f>
        <v>56</v>
      </c>
      <c r="F80" s="618"/>
      <c r="G80" s="615">
        <f>'Revenues-Per Capita '!J26</f>
        <v>56</v>
      </c>
      <c r="H80" s="618"/>
      <c r="I80" s="614">
        <f>'Revenues-Per Capita '!O26</f>
        <v>56</v>
      </c>
      <c r="J80" s="618"/>
      <c r="K80" s="614">
        <f>'Revenues-Per Capita '!U26</f>
        <v>56</v>
      </c>
      <c r="L80" s="618"/>
      <c r="M80" s="614">
        <f>'Revenues-Per Capita '!AA26</f>
        <v>56</v>
      </c>
    </row>
    <row r="81" spans="2:13" ht="13.5" customHeight="1" hidden="1" thickBot="1">
      <c r="B81" s="446" t="s">
        <v>141</v>
      </c>
      <c r="C81" s="4"/>
      <c r="D81" s="4"/>
      <c r="E81" s="614">
        <f>'Revenues-Per Capita '!D27</f>
        <v>56</v>
      </c>
      <c r="F81" s="618"/>
      <c r="G81" s="615">
        <f>'Revenues-Per Capita '!J27</f>
        <v>56</v>
      </c>
      <c r="H81" s="618"/>
      <c r="I81" s="614">
        <f>'Revenues-Per Capita '!O27</f>
        <v>56</v>
      </c>
      <c r="J81" s="618"/>
      <c r="K81" s="614">
        <f>'Revenues-Per Capita '!U27</f>
        <v>56</v>
      </c>
      <c r="L81" s="618"/>
      <c r="M81" s="614">
        <f>'Revenues-Per Capita '!AA27</f>
        <v>56</v>
      </c>
    </row>
    <row r="82" spans="2:13" ht="13.5" customHeight="1" hidden="1" thickBot="1">
      <c r="B82" s="446" t="s">
        <v>142</v>
      </c>
      <c r="C82" s="4"/>
      <c r="D82" s="4"/>
      <c r="E82" s="614">
        <f>'Revenues-Per Capita '!D28</f>
        <v>28</v>
      </c>
      <c r="F82" s="618"/>
      <c r="G82" s="615">
        <f>'Revenues-Per Capita '!J28</f>
        <v>56</v>
      </c>
      <c r="H82" s="618"/>
      <c r="I82" s="614">
        <f>'Revenues-Per Capita '!O28</f>
        <v>56</v>
      </c>
      <c r="J82" s="618"/>
      <c r="K82" s="614">
        <f>'Revenues-Per Capita '!U28</f>
        <v>56</v>
      </c>
      <c r="L82" s="618"/>
      <c r="M82" s="614">
        <f>'Revenues-Per Capita '!AA28</f>
        <v>56</v>
      </c>
    </row>
    <row r="83" spans="2:13" ht="13.5" customHeight="1" hidden="1" thickBot="1">
      <c r="B83" s="446" t="s">
        <v>143</v>
      </c>
      <c r="C83" s="4"/>
      <c r="D83" s="4"/>
      <c r="E83" s="614">
        <f>'Revenues-Per Capita '!D29</f>
        <v>28</v>
      </c>
      <c r="F83" s="618"/>
      <c r="G83" s="615">
        <f>'Revenues-Per Capita '!J29</f>
        <v>36</v>
      </c>
      <c r="H83" s="618"/>
      <c r="I83" s="614">
        <f>'Revenues-Per Capita '!O29</f>
        <v>56</v>
      </c>
      <c r="J83" s="618"/>
      <c r="K83" s="614">
        <f>'Revenues-Per Capita '!U29</f>
        <v>56</v>
      </c>
      <c r="L83" s="618"/>
      <c r="M83" s="614">
        <f>'Revenues-Per Capita '!AA29</f>
        <v>56</v>
      </c>
    </row>
    <row r="84" spans="2:13" ht="13.5" customHeight="1" hidden="1" thickBot="1">
      <c r="B84" s="446" t="s">
        <v>144</v>
      </c>
      <c r="C84" s="4"/>
      <c r="D84" s="4"/>
      <c r="E84" s="615">
        <f>'Revenues-Per Capita '!D61</f>
        <v>28</v>
      </c>
      <c r="F84" s="618"/>
      <c r="G84" s="615">
        <f>'Revenues-Per Capita '!J61</f>
        <v>36</v>
      </c>
      <c r="H84" s="618"/>
      <c r="I84" s="615">
        <f>'Revenues-Per Capita '!O61</f>
        <v>45</v>
      </c>
      <c r="J84" s="618"/>
      <c r="K84" s="615">
        <f>'Revenues-Per Capita '!U61</f>
        <v>56</v>
      </c>
      <c r="L84" s="618"/>
      <c r="M84" s="615">
        <f>'Revenues-Per Capita '!AA61</f>
        <v>56</v>
      </c>
    </row>
    <row r="85" spans="2:13" ht="13.5" customHeight="1" hidden="1" thickBot="1">
      <c r="B85" s="446" t="s">
        <v>145</v>
      </c>
      <c r="C85" s="4"/>
      <c r="D85" s="4"/>
      <c r="E85" s="615">
        <f>'Revenues-Per Capita '!D62</f>
        <v>28</v>
      </c>
      <c r="F85" s="618"/>
      <c r="G85" s="615">
        <f>'Revenues-Per Capita '!J62</f>
        <v>36</v>
      </c>
      <c r="H85" s="618"/>
      <c r="I85" s="615">
        <f>'Revenues-Per Capita '!O62</f>
        <v>45</v>
      </c>
      <c r="J85" s="618"/>
      <c r="K85" s="615">
        <f>'Revenues-Per Capita '!U62</f>
        <v>56</v>
      </c>
      <c r="L85" s="618"/>
      <c r="M85" s="615">
        <f>'Revenues-Per Capita '!AA62</f>
        <v>56</v>
      </c>
    </row>
    <row r="86" spans="2:13" ht="13.5" customHeight="1" hidden="1" thickBot="1">
      <c r="B86" s="446" t="s">
        <v>146</v>
      </c>
      <c r="C86" s="4"/>
      <c r="D86" s="4"/>
      <c r="E86" s="615">
        <f>'Revenues-Per Capita '!D63+'Revenues-Per Capita '!E95</f>
        <v>0</v>
      </c>
      <c r="F86" s="618"/>
      <c r="G86" s="615">
        <f>'Revenues-Per Capita '!J63+'Revenues-Per Capita '!K95</f>
        <v>36</v>
      </c>
      <c r="H86" s="618"/>
      <c r="I86" s="615">
        <f>'Revenues-Per Capita '!O63+'Revenues-Per Capita '!P95</f>
        <v>45</v>
      </c>
      <c r="J86" s="618"/>
      <c r="K86" s="615">
        <f>'Revenues-Per Capita '!U63+'Revenues-Per Capita '!V95</f>
        <v>56</v>
      </c>
      <c r="L86" s="618"/>
      <c r="M86" s="615">
        <f>'Revenues-Per Capita '!AA63+'Revenues-Per Capita '!AB95</f>
        <v>56</v>
      </c>
    </row>
    <row r="87" spans="2:13" ht="13.5" customHeight="1" hidden="1" thickBot="1">
      <c r="B87" s="446" t="s">
        <v>147</v>
      </c>
      <c r="C87" s="4"/>
      <c r="D87" s="4"/>
      <c r="E87" s="615">
        <f>'Revenues-Per Capita '!D64+'Revenues-Per Capita '!E96</f>
        <v>0</v>
      </c>
      <c r="F87" s="618"/>
      <c r="G87" s="615">
        <f>'Revenues-Per Capita '!J64+'Revenues-Per Capita '!K96</f>
        <v>0</v>
      </c>
      <c r="H87" s="618"/>
      <c r="I87" s="615">
        <f>'Revenues-Per Capita '!O64+'Revenues-Per Capita '!P96</f>
        <v>45</v>
      </c>
      <c r="J87" s="618"/>
      <c r="K87" s="615">
        <f>'Revenues-Per Capita '!U64+'Revenues-Per Capita '!V96</f>
        <v>56</v>
      </c>
      <c r="L87" s="618"/>
      <c r="M87" s="615">
        <f>'Revenues-Per Capita '!AA64+'Revenues-Per Capita '!AB96</f>
        <v>56</v>
      </c>
    </row>
    <row r="88" spans="2:13" ht="13.5" customHeight="1" hidden="1" thickBot="1">
      <c r="B88" s="446" t="s">
        <v>148</v>
      </c>
      <c r="C88" s="4"/>
      <c r="D88" s="4"/>
      <c r="E88" s="615">
        <f>'Revenues-Per Capita '!D65+'Revenues-Per Capita '!E97</f>
        <v>0</v>
      </c>
      <c r="F88" s="618"/>
      <c r="G88" s="615">
        <f>'Revenues-Per Capita '!J65+'Revenues-Per Capita '!K97</f>
        <v>0</v>
      </c>
      <c r="H88" s="618"/>
      <c r="I88" s="615">
        <f>'Revenues-Per Capita '!O65+'Revenues-Per Capita '!P97</f>
        <v>0</v>
      </c>
      <c r="J88" s="618"/>
      <c r="K88" s="615">
        <f>'Revenues-Per Capita '!U65+'Revenues-Per Capita '!V97</f>
        <v>56</v>
      </c>
      <c r="L88" s="618"/>
      <c r="M88" s="615">
        <f>'Revenues-Per Capita '!AA65+'Revenues-Per Capita '!AB97</f>
        <v>56</v>
      </c>
    </row>
    <row r="89" spans="2:13" ht="13.5" customHeight="1" hidden="1" thickBot="1">
      <c r="B89" s="319" t="s">
        <v>154</v>
      </c>
      <c r="C89" s="4"/>
      <c r="D89" s="4"/>
      <c r="E89" s="444">
        <f>SUM(E80:E88)</f>
        <v>224</v>
      </c>
      <c r="F89" s="618"/>
      <c r="G89" s="444">
        <f>SUM(G80:G88)</f>
        <v>312</v>
      </c>
      <c r="H89" s="618"/>
      <c r="I89" s="444">
        <f>SUM(I80:I88)</f>
        <v>404</v>
      </c>
      <c r="J89" s="618"/>
      <c r="K89" s="444">
        <f>SUM(K80:K88)</f>
        <v>504</v>
      </c>
      <c r="L89" s="618"/>
      <c r="M89" s="444">
        <f>SUM(M80:M88)</f>
        <v>504</v>
      </c>
    </row>
    <row r="90" spans="2:13" ht="13.5" customHeight="1" hidden="1" thickBot="1">
      <c r="B90" s="447" t="s">
        <v>224</v>
      </c>
      <c r="C90" s="4"/>
      <c r="D90" s="4"/>
      <c r="E90" s="444" t="s">
        <v>163</v>
      </c>
      <c r="F90" s="616"/>
      <c r="G90" s="675"/>
      <c r="H90" s="616"/>
      <c r="I90" s="675"/>
      <c r="J90" s="616"/>
      <c r="K90" s="675"/>
      <c r="L90" s="616"/>
      <c r="M90" s="675"/>
    </row>
    <row r="91" spans="2:13" ht="12.75" customHeight="1" hidden="1">
      <c r="B91" s="227"/>
      <c r="C91" s="4"/>
      <c r="D91" s="4"/>
      <c r="E91" s="98"/>
      <c r="F91" s="225"/>
      <c r="G91" s="225"/>
      <c r="H91" s="225"/>
      <c r="I91" s="225"/>
      <c r="J91" s="225"/>
      <c r="K91" s="225"/>
      <c r="L91" s="225"/>
      <c r="M91" s="225"/>
    </row>
    <row r="92" spans="2:13" ht="13.5" customHeight="1" hidden="1" thickBot="1">
      <c r="B92" s="226"/>
      <c r="C92" s="4"/>
      <c r="D92" s="4"/>
      <c r="E92" s="225"/>
      <c r="F92" s="225"/>
      <c r="G92" s="225"/>
      <c r="H92" s="225"/>
      <c r="I92" s="225"/>
      <c r="J92" s="225"/>
      <c r="K92" s="225"/>
      <c r="L92" s="225"/>
      <c r="M92" s="225"/>
    </row>
    <row r="93" spans="1:13" ht="13.5" customHeight="1" hidden="1" thickBot="1">
      <c r="A93" s="97"/>
      <c r="B93" s="448" t="s">
        <v>158</v>
      </c>
      <c r="C93" s="97"/>
      <c r="D93" s="97"/>
      <c r="E93" s="319">
        <f>$E$8</f>
        <v>2019</v>
      </c>
      <c r="F93" s="618"/>
      <c r="G93" s="319">
        <f>$G$8</f>
        <v>2020</v>
      </c>
      <c r="H93" s="618"/>
      <c r="I93" s="319">
        <f>$I$8</f>
        <v>2021</v>
      </c>
      <c r="J93" s="618"/>
      <c r="K93" s="319">
        <f>$K$8</f>
        <v>2022</v>
      </c>
      <c r="L93" s="618"/>
      <c r="M93" s="319">
        <f>$M$8</f>
        <v>2023</v>
      </c>
    </row>
    <row r="94" spans="2:13" ht="13.5" customHeight="1" hidden="1" thickBot="1">
      <c r="B94" s="446" t="s">
        <v>149</v>
      </c>
      <c r="C94" s="4"/>
      <c r="D94" s="4"/>
      <c r="E94" s="615">
        <f>'Revenues-Per Capita '!E126</f>
        <v>0</v>
      </c>
      <c r="F94" s="618"/>
      <c r="G94" s="615">
        <f>'Revenues-Per Capita '!K126</f>
        <v>0</v>
      </c>
      <c r="H94" s="618"/>
      <c r="I94" s="614">
        <f>'Revenues-Per Capita '!P126</f>
        <v>0</v>
      </c>
      <c r="J94" s="618"/>
      <c r="K94" s="614">
        <f>'Revenues-Per Capita '!V126</f>
        <v>0</v>
      </c>
      <c r="L94" s="618"/>
      <c r="M94" s="614">
        <f>'Revenues-Per Capita '!AB126</f>
        <v>0</v>
      </c>
    </row>
    <row r="95" spans="2:13" ht="13.5" customHeight="1" hidden="1" thickBot="1">
      <c r="B95" s="446" t="s">
        <v>150</v>
      </c>
      <c r="C95" s="4"/>
      <c r="D95" s="4"/>
      <c r="E95" s="615">
        <f>'Revenues-Per Capita '!E127</f>
        <v>0</v>
      </c>
      <c r="F95" s="618"/>
      <c r="G95" s="615">
        <f>'Revenues-Per Capita '!K127</f>
        <v>0</v>
      </c>
      <c r="H95" s="618"/>
      <c r="I95" s="614">
        <f>'Revenues-Per Capita '!P127</f>
        <v>0</v>
      </c>
      <c r="J95" s="618"/>
      <c r="K95" s="614">
        <f>'Revenues-Per Capita '!V127</f>
        <v>0</v>
      </c>
      <c r="L95" s="618"/>
      <c r="M95" s="614">
        <f>'Revenues-Per Capita '!AB127</f>
        <v>0</v>
      </c>
    </row>
    <row r="96" spans="2:13" ht="13.5" customHeight="1" hidden="1" thickBot="1">
      <c r="B96" s="446" t="s">
        <v>151</v>
      </c>
      <c r="C96" s="4"/>
      <c r="D96" s="4"/>
      <c r="E96" s="615">
        <f>'Revenues-Per Capita '!E128</f>
        <v>0</v>
      </c>
      <c r="F96" s="618"/>
      <c r="G96" s="615">
        <f>'Revenues-Per Capita '!K128</f>
        <v>0</v>
      </c>
      <c r="H96" s="618"/>
      <c r="I96" s="614">
        <f>'Revenues-Per Capita '!P128</f>
        <v>0</v>
      </c>
      <c r="J96" s="618"/>
      <c r="K96" s="614">
        <f>'Revenues-Per Capita '!V128</f>
        <v>0</v>
      </c>
      <c r="L96" s="618"/>
      <c r="M96" s="614">
        <f>'Revenues-Per Capita '!AB128</f>
        <v>0</v>
      </c>
    </row>
    <row r="97" spans="2:13" ht="13.5" customHeight="1" hidden="1" thickBot="1">
      <c r="B97" s="446" t="s">
        <v>152</v>
      </c>
      <c r="C97" s="4"/>
      <c r="D97" s="4"/>
      <c r="E97" s="615">
        <f>'Revenues-Per Capita '!E129</f>
        <v>0</v>
      </c>
      <c r="F97" s="618"/>
      <c r="G97" s="615">
        <f>'Revenues-Per Capita '!K129</f>
        <v>0</v>
      </c>
      <c r="H97" s="618"/>
      <c r="I97" s="614">
        <f>'Revenues-Per Capita '!P129</f>
        <v>0</v>
      </c>
      <c r="J97" s="618"/>
      <c r="K97" s="614">
        <f>'Revenues-Per Capita '!V129</f>
        <v>0</v>
      </c>
      <c r="L97" s="618"/>
      <c r="M97" s="614">
        <f>'Revenues-Per Capita '!AB129</f>
        <v>0</v>
      </c>
    </row>
    <row r="98" spans="2:13" ht="13.5" customHeight="1" hidden="1" thickBot="1">
      <c r="B98" s="444" t="s">
        <v>156</v>
      </c>
      <c r="C98" s="4"/>
      <c r="D98" s="4"/>
      <c r="E98" s="444">
        <f>SUM(E94:E97)</f>
        <v>0</v>
      </c>
      <c r="F98" s="618"/>
      <c r="G98" s="444">
        <f>SUM(G94:G97)</f>
        <v>0</v>
      </c>
      <c r="H98" s="618"/>
      <c r="I98" s="444">
        <f>SUM(I94:I97)</f>
        <v>0</v>
      </c>
      <c r="J98" s="618"/>
      <c r="K98" s="444">
        <f>SUM(K94:K97)</f>
        <v>0</v>
      </c>
      <c r="L98" s="618"/>
      <c r="M98" s="444">
        <f>SUM(M94:M97)</f>
        <v>0</v>
      </c>
    </row>
    <row r="99" spans="2:13" ht="13.5" customHeight="1" hidden="1" thickBot="1">
      <c r="B99" s="447" t="s">
        <v>225</v>
      </c>
      <c r="C99" s="4"/>
      <c r="D99" s="4"/>
      <c r="E99" s="444" t="s">
        <v>163</v>
      </c>
      <c r="F99" s="616"/>
      <c r="G99" s="675"/>
      <c r="H99" s="616"/>
      <c r="I99" s="675"/>
      <c r="J99" s="616"/>
      <c r="K99" s="675"/>
      <c r="L99" s="616"/>
      <c r="M99" s="675"/>
    </row>
    <row r="100" spans="2:13" ht="13.5" customHeight="1" hidden="1" thickBot="1">
      <c r="B100" s="449"/>
      <c r="C100" s="4"/>
      <c r="D100" s="4"/>
      <c r="E100" s="225"/>
      <c r="F100" s="225"/>
      <c r="G100" s="225"/>
      <c r="H100" s="225"/>
      <c r="I100" s="225"/>
      <c r="J100" s="225"/>
      <c r="K100" s="225"/>
      <c r="L100" s="225"/>
      <c r="M100" s="225">
        <f>+A54</f>
        <v>0</v>
      </c>
    </row>
    <row r="101" spans="2:13" ht="13.5" customHeight="1" hidden="1" thickBot="1">
      <c r="B101" s="319" t="s">
        <v>28</v>
      </c>
      <c r="C101" s="4"/>
      <c r="D101" s="99"/>
      <c r="E101" s="444">
        <f>E89+E98</f>
        <v>224</v>
      </c>
      <c r="F101" s="618"/>
      <c r="G101" s="444">
        <f>G89+G98</f>
        <v>312</v>
      </c>
      <c r="H101" s="618"/>
      <c r="I101" s="444">
        <f>I89+I98</f>
        <v>404</v>
      </c>
      <c r="J101" s="618"/>
      <c r="K101" s="444">
        <f>K89+K98</f>
        <v>504</v>
      </c>
      <c r="L101" s="618"/>
      <c r="M101" s="444">
        <f>M89+M98</f>
        <v>504</v>
      </c>
    </row>
    <row r="102" spans="2:13" ht="12.75" customHeight="1" hidden="1">
      <c r="B102" s="224"/>
      <c r="C102" s="4"/>
      <c r="D102" s="4"/>
      <c r="E102" s="225"/>
      <c r="F102" s="225"/>
      <c r="G102" s="225"/>
      <c r="H102" s="225"/>
      <c r="I102" s="225"/>
      <c r="J102" s="225"/>
      <c r="K102" s="225"/>
      <c r="L102" s="225"/>
      <c r="M102" s="225"/>
    </row>
    <row r="103" ht="13.5" customHeight="1" hidden="1" thickBot="1"/>
    <row r="104" ht="13.5" customHeight="1" hidden="1" thickBot="1">
      <c r="B104" s="307" t="s">
        <v>155</v>
      </c>
    </row>
    <row r="105" ht="13.5" customHeight="1" hidden="1" thickBot="1">
      <c r="B105" s="307" t="s">
        <v>159</v>
      </c>
    </row>
    <row r="109" ht="12.75" hidden="1"/>
    <row r="110" ht="12.75" hidden="1">
      <c r="E110" s="165">
        <v>0</v>
      </c>
    </row>
    <row r="111" ht="12.75" hidden="1">
      <c r="E111" s="165">
        <v>1</v>
      </c>
    </row>
    <row r="112" ht="12.75" hidden="1"/>
    <row r="113" ht="12.75" hidden="1">
      <c r="E113" s="165">
        <v>0</v>
      </c>
    </row>
    <row r="114" ht="12.75" hidden="1">
      <c r="E114" s="165">
        <v>5</v>
      </c>
    </row>
    <row r="115" ht="12.75" hidden="1">
      <c r="E115" s="165">
        <f aca="true" t="shared" si="5" ref="E115:E178">E114+1</f>
        <v>6</v>
      </c>
    </row>
    <row r="116" ht="12.75" hidden="1">
      <c r="E116" s="165">
        <f t="shared" si="5"/>
        <v>7</v>
      </c>
    </row>
    <row r="117" ht="12.75" hidden="1">
      <c r="E117" s="165">
        <f t="shared" si="5"/>
        <v>8</v>
      </c>
    </row>
    <row r="118" ht="12.75" hidden="1">
      <c r="E118" s="165">
        <f t="shared" si="5"/>
        <v>9</v>
      </c>
    </row>
    <row r="119" ht="12.75" hidden="1">
      <c r="E119" s="165">
        <f t="shared" si="5"/>
        <v>10</v>
      </c>
    </row>
    <row r="120" ht="12.75" hidden="1">
      <c r="E120" s="165">
        <f t="shared" si="5"/>
        <v>11</v>
      </c>
    </row>
    <row r="121" ht="12.75" hidden="1">
      <c r="E121" s="165">
        <f t="shared" si="5"/>
        <v>12</v>
      </c>
    </row>
    <row r="122" ht="12.75" hidden="1">
      <c r="E122" s="165">
        <f t="shared" si="5"/>
        <v>13</v>
      </c>
    </row>
    <row r="123" ht="12.75" hidden="1">
      <c r="E123" s="165">
        <f t="shared" si="5"/>
        <v>14</v>
      </c>
    </row>
    <row r="124" ht="12.75" hidden="1">
      <c r="E124" s="165">
        <f t="shared" si="5"/>
        <v>15</v>
      </c>
    </row>
    <row r="125" ht="12.75" hidden="1">
      <c r="E125" s="165">
        <f t="shared" si="5"/>
        <v>16</v>
      </c>
    </row>
    <row r="126" ht="12.75" hidden="1">
      <c r="E126" s="165">
        <f t="shared" si="5"/>
        <v>17</v>
      </c>
    </row>
    <row r="127" ht="12.75" hidden="1">
      <c r="E127" s="165">
        <f t="shared" si="5"/>
        <v>18</v>
      </c>
    </row>
    <row r="128" spans="5:7" ht="12.75" hidden="1">
      <c r="E128" s="165">
        <f t="shared" si="5"/>
        <v>19</v>
      </c>
      <c r="G128" s="165">
        <v>0</v>
      </c>
    </row>
    <row r="129" spans="5:7" ht="12.75" hidden="1">
      <c r="E129" s="165">
        <f t="shared" si="5"/>
        <v>20</v>
      </c>
      <c r="G129" s="165">
        <v>20</v>
      </c>
    </row>
    <row r="130" spans="5:7" ht="12.75" hidden="1">
      <c r="E130" s="165">
        <f t="shared" si="5"/>
        <v>21</v>
      </c>
      <c r="G130" s="165">
        <f>G129+1</f>
        <v>21</v>
      </c>
    </row>
    <row r="131" spans="5:7" ht="12.75" hidden="1">
      <c r="E131" s="165">
        <f t="shared" si="5"/>
        <v>22</v>
      </c>
      <c r="G131" s="165">
        <f aca="true" t="shared" si="6" ref="G131:G194">G130+1</f>
        <v>22</v>
      </c>
    </row>
    <row r="132" spans="5:7" ht="12.75" hidden="1">
      <c r="E132" s="165">
        <f t="shared" si="5"/>
        <v>23</v>
      </c>
      <c r="G132" s="165">
        <f t="shared" si="6"/>
        <v>23</v>
      </c>
    </row>
    <row r="133" spans="5:7" ht="12.75" hidden="1">
      <c r="E133" s="165">
        <f t="shared" si="5"/>
        <v>24</v>
      </c>
      <c r="G133" s="165">
        <f t="shared" si="6"/>
        <v>24</v>
      </c>
    </row>
    <row r="134" spans="5:7" ht="12.75" hidden="1">
      <c r="E134" s="165">
        <f t="shared" si="5"/>
        <v>25</v>
      </c>
      <c r="G134" s="165">
        <f t="shared" si="6"/>
        <v>25</v>
      </c>
    </row>
    <row r="135" spans="5:7" ht="12.75" hidden="1">
      <c r="E135" s="165">
        <f t="shared" si="5"/>
        <v>26</v>
      </c>
      <c r="G135" s="165">
        <f t="shared" si="6"/>
        <v>26</v>
      </c>
    </row>
    <row r="136" spans="5:7" ht="12.75" hidden="1">
      <c r="E136" s="165">
        <f t="shared" si="5"/>
        <v>27</v>
      </c>
      <c r="G136" s="165">
        <f t="shared" si="6"/>
        <v>27</v>
      </c>
    </row>
    <row r="137" spans="5:7" ht="12.75" hidden="1">
      <c r="E137" s="165">
        <f t="shared" si="5"/>
        <v>28</v>
      </c>
      <c r="G137" s="165">
        <f t="shared" si="6"/>
        <v>28</v>
      </c>
    </row>
    <row r="138" spans="5:7" ht="12.75" hidden="1">
      <c r="E138" s="165">
        <f t="shared" si="5"/>
        <v>29</v>
      </c>
      <c r="G138" s="165">
        <f t="shared" si="6"/>
        <v>29</v>
      </c>
    </row>
    <row r="139" spans="5:7" ht="12.75" hidden="1">
      <c r="E139" s="165">
        <f t="shared" si="5"/>
        <v>30</v>
      </c>
      <c r="G139" s="165">
        <f t="shared" si="6"/>
        <v>30</v>
      </c>
    </row>
    <row r="140" spans="5:7" ht="12.75" hidden="1">
      <c r="E140" s="165">
        <f t="shared" si="5"/>
        <v>31</v>
      </c>
      <c r="G140" s="165">
        <f t="shared" si="6"/>
        <v>31</v>
      </c>
    </row>
    <row r="141" spans="5:7" ht="12.75" hidden="1">
      <c r="E141" s="165">
        <f t="shared" si="5"/>
        <v>32</v>
      </c>
      <c r="G141" s="165">
        <f t="shared" si="6"/>
        <v>32</v>
      </c>
    </row>
    <row r="142" spans="5:7" ht="12.75" hidden="1">
      <c r="E142" s="165">
        <f t="shared" si="5"/>
        <v>33</v>
      </c>
      <c r="G142" s="165">
        <f t="shared" si="6"/>
        <v>33</v>
      </c>
    </row>
    <row r="143" spans="5:7" ht="12.75" hidden="1">
      <c r="E143" s="165">
        <f t="shared" si="5"/>
        <v>34</v>
      </c>
      <c r="G143" s="165">
        <f t="shared" si="6"/>
        <v>34</v>
      </c>
    </row>
    <row r="144" spans="5:7" ht="12.75" hidden="1">
      <c r="E144" s="165">
        <f t="shared" si="5"/>
        <v>35</v>
      </c>
      <c r="G144" s="165">
        <f t="shared" si="6"/>
        <v>35</v>
      </c>
    </row>
    <row r="145" spans="5:7" ht="12.75" hidden="1">
      <c r="E145" s="165">
        <f t="shared" si="5"/>
        <v>36</v>
      </c>
      <c r="G145" s="165">
        <f t="shared" si="6"/>
        <v>36</v>
      </c>
    </row>
    <row r="146" spans="5:7" ht="12.75" hidden="1">
      <c r="E146" s="165">
        <f t="shared" si="5"/>
        <v>37</v>
      </c>
      <c r="G146" s="165">
        <f t="shared" si="6"/>
        <v>37</v>
      </c>
    </row>
    <row r="147" spans="5:7" ht="12.75" hidden="1">
      <c r="E147" s="165">
        <f t="shared" si="5"/>
        <v>38</v>
      </c>
      <c r="G147" s="165">
        <f t="shared" si="6"/>
        <v>38</v>
      </c>
    </row>
    <row r="148" spans="5:7" ht="12.75" hidden="1">
      <c r="E148" s="165">
        <f t="shared" si="5"/>
        <v>39</v>
      </c>
      <c r="G148" s="165">
        <f t="shared" si="6"/>
        <v>39</v>
      </c>
    </row>
    <row r="149" spans="5:7" ht="12.75" hidden="1">
      <c r="E149" s="165">
        <f t="shared" si="5"/>
        <v>40</v>
      </c>
      <c r="G149" s="165">
        <f t="shared" si="6"/>
        <v>40</v>
      </c>
    </row>
    <row r="150" spans="5:7" ht="12.75" hidden="1">
      <c r="E150" s="165">
        <f t="shared" si="5"/>
        <v>41</v>
      </c>
      <c r="G150" s="165">
        <f t="shared" si="6"/>
        <v>41</v>
      </c>
    </row>
    <row r="151" spans="5:7" ht="12.75" hidden="1">
      <c r="E151" s="165">
        <f t="shared" si="5"/>
        <v>42</v>
      </c>
      <c r="G151" s="165">
        <f t="shared" si="6"/>
        <v>42</v>
      </c>
    </row>
    <row r="152" spans="5:7" ht="12.75" hidden="1">
      <c r="E152" s="165">
        <f t="shared" si="5"/>
        <v>43</v>
      </c>
      <c r="G152" s="165">
        <f t="shared" si="6"/>
        <v>43</v>
      </c>
    </row>
    <row r="153" spans="5:7" ht="12.75" hidden="1">
      <c r="E153" s="165">
        <f t="shared" si="5"/>
        <v>44</v>
      </c>
      <c r="G153" s="165">
        <f t="shared" si="6"/>
        <v>44</v>
      </c>
    </row>
    <row r="154" spans="5:7" ht="12.75" hidden="1">
      <c r="E154" s="165">
        <f t="shared" si="5"/>
        <v>45</v>
      </c>
      <c r="G154" s="165">
        <f t="shared" si="6"/>
        <v>45</v>
      </c>
    </row>
    <row r="155" spans="5:7" ht="12.75" hidden="1">
      <c r="E155" s="165">
        <f t="shared" si="5"/>
        <v>46</v>
      </c>
      <c r="G155" s="165">
        <f t="shared" si="6"/>
        <v>46</v>
      </c>
    </row>
    <row r="156" spans="5:7" ht="12.75" hidden="1">
      <c r="E156" s="165">
        <f t="shared" si="5"/>
        <v>47</v>
      </c>
      <c r="G156" s="165">
        <f t="shared" si="6"/>
        <v>47</v>
      </c>
    </row>
    <row r="157" spans="5:7" ht="12.75" hidden="1">
      <c r="E157" s="165">
        <f t="shared" si="5"/>
        <v>48</v>
      </c>
      <c r="G157" s="165">
        <f t="shared" si="6"/>
        <v>48</v>
      </c>
    </row>
    <row r="158" spans="5:7" ht="12.75" hidden="1">
      <c r="E158" s="165">
        <f t="shared" si="5"/>
        <v>49</v>
      </c>
      <c r="G158" s="165">
        <f t="shared" si="6"/>
        <v>49</v>
      </c>
    </row>
    <row r="159" spans="5:7" ht="12.75" hidden="1">
      <c r="E159" s="165">
        <f t="shared" si="5"/>
        <v>50</v>
      </c>
      <c r="G159" s="165">
        <f t="shared" si="6"/>
        <v>50</v>
      </c>
    </row>
    <row r="160" spans="5:7" ht="12.75" hidden="1">
      <c r="E160" s="165">
        <f t="shared" si="5"/>
        <v>51</v>
      </c>
      <c r="G160" s="165">
        <f t="shared" si="6"/>
        <v>51</v>
      </c>
    </row>
    <row r="161" spans="5:7" ht="12.75" hidden="1">
      <c r="E161" s="165">
        <f t="shared" si="5"/>
        <v>52</v>
      </c>
      <c r="G161" s="165">
        <f t="shared" si="6"/>
        <v>52</v>
      </c>
    </row>
    <row r="162" spans="5:7" ht="12.75" hidden="1">
      <c r="E162" s="165">
        <f t="shared" si="5"/>
        <v>53</v>
      </c>
      <c r="G162" s="165">
        <f t="shared" si="6"/>
        <v>53</v>
      </c>
    </row>
    <row r="163" spans="5:7" ht="12.75" hidden="1">
      <c r="E163" s="165">
        <f t="shared" si="5"/>
        <v>54</v>
      </c>
      <c r="G163" s="165">
        <f t="shared" si="6"/>
        <v>54</v>
      </c>
    </row>
    <row r="164" spans="5:7" ht="12.75" hidden="1">
      <c r="E164" s="165">
        <f t="shared" si="5"/>
        <v>55</v>
      </c>
      <c r="G164" s="165">
        <f t="shared" si="6"/>
        <v>55</v>
      </c>
    </row>
    <row r="165" spans="5:7" ht="12.75" hidden="1">
      <c r="E165" s="165">
        <f t="shared" si="5"/>
        <v>56</v>
      </c>
      <c r="G165" s="165">
        <f t="shared" si="6"/>
        <v>56</v>
      </c>
    </row>
    <row r="166" spans="5:7" ht="12.75" hidden="1">
      <c r="E166" s="165">
        <f t="shared" si="5"/>
        <v>57</v>
      </c>
      <c r="G166" s="165">
        <f t="shared" si="6"/>
        <v>57</v>
      </c>
    </row>
    <row r="167" spans="5:7" ht="12.75" hidden="1">
      <c r="E167" s="165">
        <f t="shared" si="5"/>
        <v>58</v>
      </c>
      <c r="G167" s="165">
        <f t="shared" si="6"/>
        <v>58</v>
      </c>
    </row>
    <row r="168" spans="5:7" ht="12.75" hidden="1">
      <c r="E168" s="165">
        <f t="shared" si="5"/>
        <v>59</v>
      </c>
      <c r="G168" s="165">
        <f t="shared" si="6"/>
        <v>59</v>
      </c>
    </row>
    <row r="169" spans="5:7" ht="12.75" hidden="1">
      <c r="E169" s="165">
        <f t="shared" si="5"/>
        <v>60</v>
      </c>
      <c r="G169" s="165">
        <f t="shared" si="6"/>
        <v>60</v>
      </c>
    </row>
    <row r="170" spans="5:7" ht="12.75" hidden="1">
      <c r="E170" s="165">
        <f t="shared" si="5"/>
        <v>61</v>
      </c>
      <c r="G170" s="165">
        <f t="shared" si="6"/>
        <v>61</v>
      </c>
    </row>
    <row r="171" spans="5:7" ht="12.75" hidden="1">
      <c r="E171" s="165">
        <f t="shared" si="5"/>
        <v>62</v>
      </c>
      <c r="G171" s="165">
        <f t="shared" si="6"/>
        <v>62</v>
      </c>
    </row>
    <row r="172" spans="5:7" ht="12.75" hidden="1">
      <c r="E172" s="165">
        <f t="shared" si="5"/>
        <v>63</v>
      </c>
      <c r="G172" s="165">
        <f t="shared" si="6"/>
        <v>63</v>
      </c>
    </row>
    <row r="173" spans="5:7" ht="12.75" hidden="1">
      <c r="E173" s="165">
        <f t="shared" si="5"/>
        <v>64</v>
      </c>
      <c r="G173" s="165">
        <f t="shared" si="6"/>
        <v>64</v>
      </c>
    </row>
    <row r="174" spans="5:7" ht="12.75" hidden="1">
      <c r="E174" s="165">
        <f t="shared" si="5"/>
        <v>65</v>
      </c>
      <c r="G174" s="165">
        <f t="shared" si="6"/>
        <v>65</v>
      </c>
    </row>
    <row r="175" spans="5:7" ht="12.75" hidden="1">
      <c r="E175" s="165">
        <f t="shared" si="5"/>
        <v>66</v>
      </c>
      <c r="G175" s="165">
        <f t="shared" si="6"/>
        <v>66</v>
      </c>
    </row>
    <row r="176" spans="5:7" ht="12.75" hidden="1">
      <c r="E176" s="165">
        <f t="shared" si="5"/>
        <v>67</v>
      </c>
      <c r="G176" s="165">
        <f t="shared" si="6"/>
        <v>67</v>
      </c>
    </row>
    <row r="177" spans="5:7" ht="12.75" hidden="1">
      <c r="E177" s="165">
        <f t="shared" si="5"/>
        <v>68</v>
      </c>
      <c r="G177" s="165">
        <f t="shared" si="6"/>
        <v>68</v>
      </c>
    </row>
    <row r="178" spans="5:7" ht="12.75" hidden="1">
      <c r="E178" s="165">
        <f t="shared" si="5"/>
        <v>69</v>
      </c>
      <c r="G178" s="165">
        <f t="shared" si="6"/>
        <v>69</v>
      </c>
    </row>
    <row r="179" spans="5:7" ht="12.75" hidden="1">
      <c r="E179" s="165">
        <f aca="true" t="shared" si="7" ref="E179:E242">E178+1</f>
        <v>70</v>
      </c>
      <c r="G179" s="165">
        <f t="shared" si="6"/>
        <v>70</v>
      </c>
    </row>
    <row r="180" spans="5:7" ht="12.75" hidden="1">
      <c r="E180" s="165">
        <f t="shared" si="7"/>
        <v>71</v>
      </c>
      <c r="G180" s="165">
        <f t="shared" si="6"/>
        <v>71</v>
      </c>
    </row>
    <row r="181" spans="5:7" ht="12.75" hidden="1">
      <c r="E181" s="165">
        <f t="shared" si="7"/>
        <v>72</v>
      </c>
      <c r="G181" s="165">
        <f t="shared" si="6"/>
        <v>72</v>
      </c>
    </row>
    <row r="182" spans="5:7" ht="12.75" hidden="1">
      <c r="E182" s="165">
        <f t="shared" si="7"/>
        <v>73</v>
      </c>
      <c r="G182" s="165">
        <f t="shared" si="6"/>
        <v>73</v>
      </c>
    </row>
    <row r="183" spans="5:7" ht="12.75" hidden="1">
      <c r="E183" s="165">
        <f t="shared" si="7"/>
        <v>74</v>
      </c>
      <c r="G183" s="165">
        <f t="shared" si="6"/>
        <v>74</v>
      </c>
    </row>
    <row r="184" spans="5:7" ht="12.75" hidden="1">
      <c r="E184" s="165">
        <f t="shared" si="7"/>
        <v>75</v>
      </c>
      <c r="G184" s="165">
        <f t="shared" si="6"/>
        <v>75</v>
      </c>
    </row>
    <row r="185" spans="5:7" ht="12.75" hidden="1">
      <c r="E185" s="165">
        <f t="shared" si="7"/>
        <v>76</v>
      </c>
      <c r="G185" s="165">
        <f t="shared" si="6"/>
        <v>76</v>
      </c>
    </row>
    <row r="186" spans="5:7" ht="12.75" hidden="1">
      <c r="E186" s="165">
        <f t="shared" si="7"/>
        <v>77</v>
      </c>
      <c r="G186" s="165">
        <f t="shared" si="6"/>
        <v>77</v>
      </c>
    </row>
    <row r="187" spans="5:7" ht="12.75" hidden="1">
      <c r="E187" s="165">
        <f t="shared" si="7"/>
        <v>78</v>
      </c>
      <c r="G187" s="165">
        <f t="shared" si="6"/>
        <v>78</v>
      </c>
    </row>
    <row r="188" spans="5:7" ht="12.75" hidden="1">
      <c r="E188" s="165">
        <f t="shared" si="7"/>
        <v>79</v>
      </c>
      <c r="G188" s="165">
        <f t="shared" si="6"/>
        <v>79</v>
      </c>
    </row>
    <row r="189" spans="5:7" ht="12.75" hidden="1">
      <c r="E189" s="165">
        <f t="shared" si="7"/>
        <v>80</v>
      </c>
      <c r="G189" s="165">
        <f t="shared" si="6"/>
        <v>80</v>
      </c>
    </row>
    <row r="190" spans="5:7" ht="12.75" hidden="1">
      <c r="E190" s="165">
        <f t="shared" si="7"/>
        <v>81</v>
      </c>
      <c r="G190" s="165">
        <f t="shared" si="6"/>
        <v>81</v>
      </c>
    </row>
    <row r="191" spans="5:7" ht="12.75" hidden="1">
      <c r="E191" s="165">
        <f t="shared" si="7"/>
        <v>82</v>
      </c>
      <c r="G191" s="165">
        <f t="shared" si="6"/>
        <v>82</v>
      </c>
    </row>
    <row r="192" spans="5:7" ht="12.75" hidden="1">
      <c r="E192" s="165">
        <f t="shared" si="7"/>
        <v>83</v>
      </c>
      <c r="G192" s="165">
        <f t="shared" si="6"/>
        <v>83</v>
      </c>
    </row>
    <row r="193" spans="5:7" ht="12.75" hidden="1">
      <c r="E193" s="165">
        <f t="shared" si="7"/>
        <v>84</v>
      </c>
      <c r="G193" s="165">
        <f t="shared" si="6"/>
        <v>84</v>
      </c>
    </row>
    <row r="194" spans="5:7" ht="12.75" hidden="1">
      <c r="E194" s="165">
        <f t="shared" si="7"/>
        <v>85</v>
      </c>
      <c r="G194" s="165">
        <f t="shared" si="6"/>
        <v>85</v>
      </c>
    </row>
    <row r="195" spans="5:7" ht="12.75" hidden="1">
      <c r="E195" s="165">
        <f t="shared" si="7"/>
        <v>86</v>
      </c>
      <c r="G195" s="165">
        <f aca="true" t="shared" si="8" ref="G195:G258">G194+1</f>
        <v>86</v>
      </c>
    </row>
    <row r="196" spans="5:7" ht="12.75" hidden="1">
      <c r="E196" s="165">
        <f t="shared" si="7"/>
        <v>87</v>
      </c>
      <c r="G196" s="165">
        <f t="shared" si="8"/>
        <v>87</v>
      </c>
    </row>
    <row r="197" spans="5:7" ht="12.75" hidden="1">
      <c r="E197" s="165">
        <f t="shared" si="7"/>
        <v>88</v>
      </c>
      <c r="G197" s="165">
        <f t="shared" si="8"/>
        <v>88</v>
      </c>
    </row>
    <row r="198" spans="5:7" ht="12.75" hidden="1">
      <c r="E198" s="165">
        <f t="shared" si="7"/>
        <v>89</v>
      </c>
      <c r="G198" s="165">
        <f t="shared" si="8"/>
        <v>89</v>
      </c>
    </row>
    <row r="199" spans="5:7" ht="12.75" hidden="1">
      <c r="E199" s="165">
        <f t="shared" si="7"/>
        <v>90</v>
      </c>
      <c r="G199" s="165">
        <f t="shared" si="8"/>
        <v>90</v>
      </c>
    </row>
    <row r="200" spans="5:7" ht="12.75" hidden="1">
      <c r="E200" s="165">
        <f t="shared" si="7"/>
        <v>91</v>
      </c>
      <c r="G200" s="165">
        <f t="shared" si="8"/>
        <v>91</v>
      </c>
    </row>
    <row r="201" spans="5:7" ht="12.75" hidden="1">
      <c r="E201" s="165">
        <f t="shared" si="7"/>
        <v>92</v>
      </c>
      <c r="G201" s="165">
        <f t="shared" si="8"/>
        <v>92</v>
      </c>
    </row>
    <row r="202" spans="5:7" ht="12.75" hidden="1">
      <c r="E202" s="165">
        <f t="shared" si="7"/>
        <v>93</v>
      </c>
      <c r="G202" s="165">
        <f t="shared" si="8"/>
        <v>93</v>
      </c>
    </row>
    <row r="203" spans="5:7" ht="12.75" hidden="1">
      <c r="E203" s="165">
        <f t="shared" si="7"/>
        <v>94</v>
      </c>
      <c r="G203" s="165">
        <f t="shared" si="8"/>
        <v>94</v>
      </c>
    </row>
    <row r="204" spans="5:7" ht="12.75" hidden="1">
      <c r="E204" s="165">
        <f t="shared" si="7"/>
        <v>95</v>
      </c>
      <c r="G204" s="165">
        <f t="shared" si="8"/>
        <v>95</v>
      </c>
    </row>
    <row r="205" spans="5:7" ht="12.75" hidden="1">
      <c r="E205" s="165">
        <f t="shared" si="7"/>
        <v>96</v>
      </c>
      <c r="G205" s="165">
        <f t="shared" si="8"/>
        <v>96</v>
      </c>
    </row>
    <row r="206" spans="5:7" ht="12.75" hidden="1">
      <c r="E206" s="165">
        <f t="shared" si="7"/>
        <v>97</v>
      </c>
      <c r="G206" s="165">
        <f t="shared" si="8"/>
        <v>97</v>
      </c>
    </row>
    <row r="207" spans="5:7" ht="12.75" hidden="1">
      <c r="E207" s="165">
        <f t="shared" si="7"/>
        <v>98</v>
      </c>
      <c r="G207" s="165">
        <f t="shared" si="8"/>
        <v>98</v>
      </c>
    </row>
    <row r="208" spans="5:7" ht="12.75" hidden="1">
      <c r="E208" s="165">
        <f t="shared" si="7"/>
        <v>99</v>
      </c>
      <c r="G208" s="165">
        <f t="shared" si="8"/>
        <v>99</v>
      </c>
    </row>
    <row r="209" spans="5:7" ht="12.75" hidden="1">
      <c r="E209" s="165">
        <f t="shared" si="7"/>
        <v>100</v>
      </c>
      <c r="G209" s="165">
        <f t="shared" si="8"/>
        <v>100</v>
      </c>
    </row>
    <row r="210" spans="5:7" ht="12.75" hidden="1">
      <c r="E210" s="165">
        <f t="shared" si="7"/>
        <v>101</v>
      </c>
      <c r="G210" s="165">
        <f t="shared" si="8"/>
        <v>101</v>
      </c>
    </row>
    <row r="211" spans="5:7" ht="12.75" hidden="1">
      <c r="E211" s="165">
        <f t="shared" si="7"/>
        <v>102</v>
      </c>
      <c r="G211" s="165">
        <f t="shared" si="8"/>
        <v>102</v>
      </c>
    </row>
    <row r="212" spans="5:7" ht="12.75" hidden="1">
      <c r="E212" s="165">
        <f t="shared" si="7"/>
        <v>103</v>
      </c>
      <c r="G212" s="165">
        <f t="shared" si="8"/>
        <v>103</v>
      </c>
    </row>
    <row r="213" spans="5:7" ht="12.75" hidden="1">
      <c r="E213" s="165">
        <f t="shared" si="7"/>
        <v>104</v>
      </c>
      <c r="G213" s="165">
        <f t="shared" si="8"/>
        <v>104</v>
      </c>
    </row>
    <row r="214" spans="5:7" ht="12.75" hidden="1">
      <c r="E214" s="165">
        <f t="shared" si="7"/>
        <v>105</v>
      </c>
      <c r="G214" s="165">
        <f t="shared" si="8"/>
        <v>105</v>
      </c>
    </row>
    <row r="215" spans="5:7" ht="12.75" hidden="1">
      <c r="E215" s="165">
        <f t="shared" si="7"/>
        <v>106</v>
      </c>
      <c r="G215" s="165">
        <f t="shared" si="8"/>
        <v>106</v>
      </c>
    </row>
    <row r="216" spans="5:7" ht="12.75" hidden="1">
      <c r="E216" s="165">
        <f t="shared" si="7"/>
        <v>107</v>
      </c>
      <c r="G216" s="165">
        <f t="shared" si="8"/>
        <v>107</v>
      </c>
    </row>
    <row r="217" spans="5:7" ht="12.75" hidden="1">
      <c r="E217" s="165">
        <f t="shared" si="7"/>
        <v>108</v>
      </c>
      <c r="G217" s="165">
        <f t="shared" si="8"/>
        <v>108</v>
      </c>
    </row>
    <row r="218" spans="5:7" ht="12.75" hidden="1">
      <c r="E218" s="165">
        <f t="shared" si="7"/>
        <v>109</v>
      </c>
      <c r="G218" s="165">
        <f t="shared" si="8"/>
        <v>109</v>
      </c>
    </row>
    <row r="219" spans="5:7" ht="12.75" hidden="1">
      <c r="E219" s="165">
        <f t="shared" si="7"/>
        <v>110</v>
      </c>
      <c r="G219" s="165">
        <f t="shared" si="8"/>
        <v>110</v>
      </c>
    </row>
    <row r="220" spans="5:7" ht="12.75" hidden="1">
      <c r="E220" s="165">
        <f t="shared" si="7"/>
        <v>111</v>
      </c>
      <c r="G220" s="165">
        <f t="shared" si="8"/>
        <v>111</v>
      </c>
    </row>
    <row r="221" spans="5:7" ht="12.75" hidden="1">
      <c r="E221" s="165">
        <f t="shared" si="7"/>
        <v>112</v>
      </c>
      <c r="G221" s="165">
        <f t="shared" si="8"/>
        <v>112</v>
      </c>
    </row>
    <row r="222" spans="5:7" ht="12.75" hidden="1">
      <c r="E222" s="165">
        <f t="shared" si="7"/>
        <v>113</v>
      </c>
      <c r="G222" s="165">
        <f t="shared" si="8"/>
        <v>113</v>
      </c>
    </row>
    <row r="223" spans="5:7" ht="12.75" hidden="1">
      <c r="E223" s="165">
        <f t="shared" si="7"/>
        <v>114</v>
      </c>
      <c r="G223" s="165">
        <f t="shared" si="8"/>
        <v>114</v>
      </c>
    </row>
    <row r="224" spans="5:7" ht="12.75" hidden="1">
      <c r="E224" s="165">
        <f t="shared" si="7"/>
        <v>115</v>
      </c>
      <c r="G224" s="165">
        <f t="shared" si="8"/>
        <v>115</v>
      </c>
    </row>
    <row r="225" spans="5:7" ht="12.75" hidden="1">
      <c r="E225" s="165">
        <f t="shared" si="7"/>
        <v>116</v>
      </c>
      <c r="G225" s="165">
        <f t="shared" si="8"/>
        <v>116</v>
      </c>
    </row>
    <row r="226" spans="5:7" ht="12.75" hidden="1">
      <c r="E226" s="165">
        <f t="shared" si="7"/>
        <v>117</v>
      </c>
      <c r="G226" s="165">
        <f t="shared" si="8"/>
        <v>117</v>
      </c>
    </row>
    <row r="227" spans="5:7" ht="12.75" hidden="1">
      <c r="E227" s="165">
        <f t="shared" si="7"/>
        <v>118</v>
      </c>
      <c r="G227" s="165">
        <f t="shared" si="8"/>
        <v>118</v>
      </c>
    </row>
    <row r="228" spans="5:7" ht="12.75" hidden="1">
      <c r="E228" s="165">
        <f t="shared" si="7"/>
        <v>119</v>
      </c>
      <c r="G228" s="165">
        <f t="shared" si="8"/>
        <v>119</v>
      </c>
    </row>
    <row r="229" spans="5:7" ht="12.75" hidden="1">
      <c r="E229" s="165">
        <f t="shared" si="7"/>
        <v>120</v>
      </c>
      <c r="G229" s="165">
        <f t="shared" si="8"/>
        <v>120</v>
      </c>
    </row>
    <row r="230" spans="5:7" ht="12.75" hidden="1">
      <c r="E230" s="165">
        <f t="shared" si="7"/>
        <v>121</v>
      </c>
      <c r="G230" s="165">
        <f t="shared" si="8"/>
        <v>121</v>
      </c>
    </row>
    <row r="231" spans="5:7" ht="12.75" hidden="1">
      <c r="E231" s="165">
        <f t="shared" si="7"/>
        <v>122</v>
      </c>
      <c r="G231" s="165">
        <f t="shared" si="8"/>
        <v>122</v>
      </c>
    </row>
    <row r="232" spans="5:7" ht="12.75" hidden="1">
      <c r="E232" s="165">
        <f t="shared" si="7"/>
        <v>123</v>
      </c>
      <c r="G232" s="165">
        <f t="shared" si="8"/>
        <v>123</v>
      </c>
    </row>
    <row r="233" spans="5:7" ht="12.75" hidden="1">
      <c r="E233" s="165">
        <f t="shared" si="7"/>
        <v>124</v>
      </c>
      <c r="G233" s="165">
        <f t="shared" si="8"/>
        <v>124</v>
      </c>
    </row>
    <row r="234" spans="5:7" ht="12.75" hidden="1">
      <c r="E234" s="165">
        <f t="shared" si="7"/>
        <v>125</v>
      </c>
      <c r="G234" s="165">
        <f t="shared" si="8"/>
        <v>125</v>
      </c>
    </row>
    <row r="235" spans="5:7" ht="12.75" hidden="1">
      <c r="E235" s="165">
        <f t="shared" si="7"/>
        <v>126</v>
      </c>
      <c r="G235" s="165">
        <f t="shared" si="8"/>
        <v>126</v>
      </c>
    </row>
    <row r="236" spans="5:7" ht="12.75" hidden="1">
      <c r="E236" s="165">
        <f t="shared" si="7"/>
        <v>127</v>
      </c>
      <c r="G236" s="165">
        <f t="shared" si="8"/>
        <v>127</v>
      </c>
    </row>
    <row r="237" spans="5:7" ht="12.75" hidden="1">
      <c r="E237" s="165">
        <f t="shared" si="7"/>
        <v>128</v>
      </c>
      <c r="G237" s="165">
        <f t="shared" si="8"/>
        <v>128</v>
      </c>
    </row>
    <row r="238" spans="5:7" ht="12.75" hidden="1">
      <c r="E238" s="165">
        <f t="shared" si="7"/>
        <v>129</v>
      </c>
      <c r="G238" s="165">
        <f t="shared" si="8"/>
        <v>129</v>
      </c>
    </row>
    <row r="239" spans="5:7" ht="12.75" hidden="1">
      <c r="E239" s="165">
        <f t="shared" si="7"/>
        <v>130</v>
      </c>
      <c r="G239" s="165">
        <f t="shared" si="8"/>
        <v>130</v>
      </c>
    </row>
    <row r="240" spans="5:7" ht="12.75" hidden="1">
      <c r="E240" s="165">
        <f t="shared" si="7"/>
        <v>131</v>
      </c>
      <c r="G240" s="165">
        <f t="shared" si="8"/>
        <v>131</v>
      </c>
    </row>
    <row r="241" spans="5:7" ht="12.75" hidden="1">
      <c r="E241" s="165">
        <f t="shared" si="7"/>
        <v>132</v>
      </c>
      <c r="G241" s="165">
        <f t="shared" si="8"/>
        <v>132</v>
      </c>
    </row>
    <row r="242" spans="5:7" ht="12.75" hidden="1">
      <c r="E242" s="165">
        <f t="shared" si="7"/>
        <v>133</v>
      </c>
      <c r="G242" s="165">
        <f t="shared" si="8"/>
        <v>133</v>
      </c>
    </row>
    <row r="243" spans="5:7" ht="12.75" hidden="1">
      <c r="E243" s="165">
        <f aca="true" t="shared" si="9" ref="E243:E306">E242+1</f>
        <v>134</v>
      </c>
      <c r="G243" s="165">
        <f t="shared" si="8"/>
        <v>134</v>
      </c>
    </row>
    <row r="244" spans="5:7" ht="12.75" hidden="1">
      <c r="E244" s="165">
        <f t="shared" si="9"/>
        <v>135</v>
      </c>
      <c r="G244" s="165">
        <f t="shared" si="8"/>
        <v>135</v>
      </c>
    </row>
    <row r="245" spans="5:7" ht="12.75" hidden="1">
      <c r="E245" s="165">
        <f t="shared" si="9"/>
        <v>136</v>
      </c>
      <c r="G245" s="165">
        <f t="shared" si="8"/>
        <v>136</v>
      </c>
    </row>
    <row r="246" spans="5:7" ht="12.75" hidden="1">
      <c r="E246" s="165">
        <f t="shared" si="9"/>
        <v>137</v>
      </c>
      <c r="G246" s="165">
        <f t="shared" si="8"/>
        <v>137</v>
      </c>
    </row>
    <row r="247" spans="5:7" ht="12.75" hidden="1">
      <c r="E247" s="165">
        <f t="shared" si="9"/>
        <v>138</v>
      </c>
      <c r="G247" s="165">
        <f t="shared" si="8"/>
        <v>138</v>
      </c>
    </row>
    <row r="248" spans="5:7" ht="12.75" hidden="1">
      <c r="E248" s="165">
        <f t="shared" si="9"/>
        <v>139</v>
      </c>
      <c r="G248" s="165">
        <f t="shared" si="8"/>
        <v>139</v>
      </c>
    </row>
    <row r="249" spans="5:7" ht="12.75" hidden="1">
      <c r="E249" s="165">
        <f t="shared" si="9"/>
        <v>140</v>
      </c>
      <c r="G249" s="165">
        <f t="shared" si="8"/>
        <v>140</v>
      </c>
    </row>
    <row r="250" spans="5:7" ht="12.75" hidden="1">
      <c r="E250" s="165">
        <f t="shared" si="9"/>
        <v>141</v>
      </c>
      <c r="G250" s="165">
        <f t="shared" si="8"/>
        <v>141</v>
      </c>
    </row>
    <row r="251" spans="5:7" ht="12.75" hidden="1">
      <c r="E251" s="165">
        <f t="shared" si="9"/>
        <v>142</v>
      </c>
      <c r="G251" s="165">
        <f t="shared" si="8"/>
        <v>142</v>
      </c>
    </row>
    <row r="252" spans="5:7" ht="12.75" hidden="1">
      <c r="E252" s="165">
        <f t="shared" si="9"/>
        <v>143</v>
      </c>
      <c r="G252" s="165">
        <f t="shared" si="8"/>
        <v>143</v>
      </c>
    </row>
    <row r="253" spans="5:7" ht="12.75" hidden="1">
      <c r="E253" s="165">
        <f t="shared" si="9"/>
        <v>144</v>
      </c>
      <c r="G253" s="165">
        <f t="shared" si="8"/>
        <v>144</v>
      </c>
    </row>
    <row r="254" spans="5:7" ht="12.75" hidden="1">
      <c r="E254" s="165">
        <f t="shared" si="9"/>
        <v>145</v>
      </c>
      <c r="G254" s="165">
        <f t="shared" si="8"/>
        <v>145</v>
      </c>
    </row>
    <row r="255" spans="5:7" ht="12.75" hidden="1">
      <c r="E255" s="165">
        <f t="shared" si="9"/>
        <v>146</v>
      </c>
      <c r="G255" s="165">
        <f t="shared" si="8"/>
        <v>146</v>
      </c>
    </row>
    <row r="256" spans="5:7" ht="12.75" hidden="1">
      <c r="E256" s="165">
        <f t="shared" si="9"/>
        <v>147</v>
      </c>
      <c r="G256" s="165">
        <f t="shared" si="8"/>
        <v>147</v>
      </c>
    </row>
    <row r="257" spans="5:7" ht="12.75" hidden="1">
      <c r="E257" s="165">
        <f t="shared" si="9"/>
        <v>148</v>
      </c>
      <c r="G257" s="165">
        <f t="shared" si="8"/>
        <v>148</v>
      </c>
    </row>
    <row r="258" spans="5:7" ht="12.75" hidden="1">
      <c r="E258" s="165">
        <f t="shared" si="9"/>
        <v>149</v>
      </c>
      <c r="G258" s="165">
        <f t="shared" si="8"/>
        <v>149</v>
      </c>
    </row>
    <row r="259" spans="5:7" ht="12.75" hidden="1">
      <c r="E259" s="165">
        <f t="shared" si="9"/>
        <v>150</v>
      </c>
      <c r="G259" s="165">
        <f aca="true" t="shared" si="10" ref="G259:G322">G258+1</f>
        <v>150</v>
      </c>
    </row>
    <row r="260" spans="5:7" ht="12.75" hidden="1">
      <c r="E260" s="165">
        <f t="shared" si="9"/>
        <v>151</v>
      </c>
      <c r="G260" s="165">
        <f t="shared" si="10"/>
        <v>151</v>
      </c>
    </row>
    <row r="261" spans="5:7" ht="12.75" hidden="1">
      <c r="E261" s="165">
        <f t="shared" si="9"/>
        <v>152</v>
      </c>
      <c r="G261" s="165">
        <f t="shared" si="10"/>
        <v>152</v>
      </c>
    </row>
    <row r="262" spans="5:7" ht="12.75" hidden="1">
      <c r="E262" s="165">
        <f t="shared" si="9"/>
        <v>153</v>
      </c>
      <c r="G262" s="165">
        <f t="shared" si="10"/>
        <v>153</v>
      </c>
    </row>
    <row r="263" spans="5:7" ht="12.75" hidden="1">
      <c r="E263" s="165">
        <f t="shared" si="9"/>
        <v>154</v>
      </c>
      <c r="G263" s="165">
        <f t="shared" si="10"/>
        <v>154</v>
      </c>
    </row>
    <row r="264" spans="5:7" ht="12.75" hidden="1">
      <c r="E264" s="165">
        <f t="shared" si="9"/>
        <v>155</v>
      </c>
      <c r="G264" s="165">
        <f t="shared" si="10"/>
        <v>155</v>
      </c>
    </row>
    <row r="265" spans="5:7" ht="12.75" hidden="1">
      <c r="E265" s="165">
        <f t="shared" si="9"/>
        <v>156</v>
      </c>
      <c r="G265" s="165">
        <f t="shared" si="10"/>
        <v>156</v>
      </c>
    </row>
    <row r="266" spans="5:7" ht="12.75" hidden="1">
      <c r="E266" s="165">
        <f t="shared" si="9"/>
        <v>157</v>
      </c>
      <c r="G266" s="165">
        <f t="shared" si="10"/>
        <v>157</v>
      </c>
    </row>
    <row r="267" spans="5:7" ht="12.75" hidden="1">
      <c r="E267" s="165">
        <f t="shared" si="9"/>
        <v>158</v>
      </c>
      <c r="G267" s="165">
        <f t="shared" si="10"/>
        <v>158</v>
      </c>
    </row>
    <row r="268" spans="5:7" ht="12.75" hidden="1">
      <c r="E268" s="165">
        <f t="shared" si="9"/>
        <v>159</v>
      </c>
      <c r="G268" s="165">
        <f t="shared" si="10"/>
        <v>159</v>
      </c>
    </row>
    <row r="269" spans="5:7" ht="12.75" hidden="1">
      <c r="E269" s="165">
        <f t="shared" si="9"/>
        <v>160</v>
      </c>
      <c r="G269" s="165">
        <f t="shared" si="10"/>
        <v>160</v>
      </c>
    </row>
    <row r="270" spans="5:7" ht="12.75" hidden="1">
      <c r="E270" s="165">
        <f t="shared" si="9"/>
        <v>161</v>
      </c>
      <c r="G270" s="165">
        <f t="shared" si="10"/>
        <v>161</v>
      </c>
    </row>
    <row r="271" spans="5:7" ht="12.75" hidden="1">
      <c r="E271" s="165">
        <f t="shared" si="9"/>
        <v>162</v>
      </c>
      <c r="G271" s="165">
        <f t="shared" si="10"/>
        <v>162</v>
      </c>
    </row>
    <row r="272" spans="5:7" ht="12.75" hidden="1">
      <c r="E272" s="165">
        <f t="shared" si="9"/>
        <v>163</v>
      </c>
      <c r="G272" s="165">
        <f t="shared" si="10"/>
        <v>163</v>
      </c>
    </row>
    <row r="273" spans="5:7" ht="12.75" hidden="1">
      <c r="E273" s="165">
        <f t="shared" si="9"/>
        <v>164</v>
      </c>
      <c r="G273" s="165">
        <f t="shared" si="10"/>
        <v>164</v>
      </c>
    </row>
    <row r="274" spans="5:7" ht="12.75" hidden="1">
      <c r="E274" s="165">
        <f t="shared" si="9"/>
        <v>165</v>
      </c>
      <c r="G274" s="165">
        <f t="shared" si="10"/>
        <v>165</v>
      </c>
    </row>
    <row r="275" spans="5:7" ht="12.75" hidden="1">
      <c r="E275" s="165">
        <f t="shared" si="9"/>
        <v>166</v>
      </c>
      <c r="G275" s="165">
        <f t="shared" si="10"/>
        <v>166</v>
      </c>
    </row>
    <row r="276" spans="5:7" ht="12.75" hidden="1">
      <c r="E276" s="165">
        <f t="shared" si="9"/>
        <v>167</v>
      </c>
      <c r="G276" s="165">
        <f t="shared" si="10"/>
        <v>167</v>
      </c>
    </row>
    <row r="277" spans="5:7" ht="12.75" hidden="1">
      <c r="E277" s="165">
        <f t="shared" si="9"/>
        <v>168</v>
      </c>
      <c r="G277" s="165">
        <f t="shared" si="10"/>
        <v>168</v>
      </c>
    </row>
    <row r="278" spans="5:7" ht="12.75" hidden="1">
      <c r="E278" s="165">
        <f t="shared" si="9"/>
        <v>169</v>
      </c>
      <c r="G278" s="165">
        <f t="shared" si="10"/>
        <v>169</v>
      </c>
    </row>
    <row r="279" spans="5:7" ht="12.75" hidden="1">
      <c r="E279" s="165">
        <f t="shared" si="9"/>
        <v>170</v>
      </c>
      <c r="G279" s="165">
        <f t="shared" si="10"/>
        <v>170</v>
      </c>
    </row>
    <row r="280" spans="5:7" ht="12.75" hidden="1">
      <c r="E280" s="165">
        <f t="shared" si="9"/>
        <v>171</v>
      </c>
      <c r="G280" s="165">
        <f t="shared" si="10"/>
        <v>171</v>
      </c>
    </row>
    <row r="281" spans="5:7" ht="12.75" hidden="1">
      <c r="E281" s="165">
        <f t="shared" si="9"/>
        <v>172</v>
      </c>
      <c r="G281" s="165">
        <f t="shared" si="10"/>
        <v>172</v>
      </c>
    </row>
    <row r="282" spans="5:7" ht="12.75" hidden="1">
      <c r="E282" s="165">
        <f t="shared" si="9"/>
        <v>173</v>
      </c>
      <c r="G282" s="165">
        <f t="shared" si="10"/>
        <v>173</v>
      </c>
    </row>
    <row r="283" spans="5:7" ht="12.75" hidden="1">
      <c r="E283" s="165">
        <f t="shared" si="9"/>
        <v>174</v>
      </c>
      <c r="G283" s="165">
        <f t="shared" si="10"/>
        <v>174</v>
      </c>
    </row>
    <row r="284" spans="5:7" ht="12.75" hidden="1">
      <c r="E284" s="165">
        <f t="shared" si="9"/>
        <v>175</v>
      </c>
      <c r="G284" s="165">
        <f t="shared" si="10"/>
        <v>175</v>
      </c>
    </row>
    <row r="285" spans="5:7" ht="12.75" hidden="1">
      <c r="E285" s="165">
        <f t="shared" si="9"/>
        <v>176</v>
      </c>
      <c r="G285" s="165">
        <f t="shared" si="10"/>
        <v>176</v>
      </c>
    </row>
    <row r="286" spans="5:7" ht="12.75" hidden="1">
      <c r="E286" s="165">
        <f t="shared" si="9"/>
        <v>177</v>
      </c>
      <c r="G286" s="165">
        <f t="shared" si="10"/>
        <v>177</v>
      </c>
    </row>
    <row r="287" spans="5:7" ht="12.75" hidden="1">
      <c r="E287" s="165">
        <f t="shared" si="9"/>
        <v>178</v>
      </c>
      <c r="G287" s="165">
        <f t="shared" si="10"/>
        <v>178</v>
      </c>
    </row>
    <row r="288" spans="5:7" ht="12.75" hidden="1">
      <c r="E288" s="165">
        <f t="shared" si="9"/>
        <v>179</v>
      </c>
      <c r="G288" s="165">
        <f t="shared" si="10"/>
        <v>179</v>
      </c>
    </row>
    <row r="289" spans="5:7" ht="12.75" hidden="1">
      <c r="E289" s="165">
        <f t="shared" si="9"/>
        <v>180</v>
      </c>
      <c r="G289" s="165">
        <f t="shared" si="10"/>
        <v>180</v>
      </c>
    </row>
    <row r="290" spans="5:7" ht="12.75" hidden="1">
      <c r="E290" s="165">
        <f t="shared" si="9"/>
        <v>181</v>
      </c>
      <c r="G290" s="165">
        <f t="shared" si="10"/>
        <v>181</v>
      </c>
    </row>
    <row r="291" spans="5:7" ht="12.75" hidden="1">
      <c r="E291" s="165">
        <f t="shared" si="9"/>
        <v>182</v>
      </c>
      <c r="G291" s="165">
        <f t="shared" si="10"/>
        <v>182</v>
      </c>
    </row>
    <row r="292" spans="5:7" ht="12.75" hidden="1">
      <c r="E292" s="165">
        <f t="shared" si="9"/>
        <v>183</v>
      </c>
      <c r="G292" s="165">
        <f t="shared" si="10"/>
        <v>183</v>
      </c>
    </row>
    <row r="293" spans="5:7" ht="12.75" hidden="1">
      <c r="E293" s="165">
        <f t="shared" si="9"/>
        <v>184</v>
      </c>
      <c r="G293" s="165">
        <f t="shared" si="10"/>
        <v>184</v>
      </c>
    </row>
    <row r="294" spans="5:7" ht="12.75" hidden="1">
      <c r="E294" s="165">
        <f t="shared" si="9"/>
        <v>185</v>
      </c>
      <c r="G294" s="165">
        <f t="shared" si="10"/>
        <v>185</v>
      </c>
    </row>
    <row r="295" spans="5:7" ht="12.75" hidden="1">
      <c r="E295" s="165">
        <f t="shared" si="9"/>
        <v>186</v>
      </c>
      <c r="G295" s="165">
        <f t="shared" si="10"/>
        <v>186</v>
      </c>
    </row>
    <row r="296" spans="5:7" ht="12.75" hidden="1">
      <c r="E296" s="165">
        <f t="shared" si="9"/>
        <v>187</v>
      </c>
      <c r="G296" s="165">
        <f t="shared" si="10"/>
        <v>187</v>
      </c>
    </row>
    <row r="297" spans="5:7" ht="12.75" hidden="1">
      <c r="E297" s="165">
        <f t="shared" si="9"/>
        <v>188</v>
      </c>
      <c r="G297" s="165">
        <f t="shared" si="10"/>
        <v>188</v>
      </c>
    </row>
    <row r="298" spans="5:7" ht="12.75" hidden="1">
      <c r="E298" s="165">
        <f t="shared" si="9"/>
        <v>189</v>
      </c>
      <c r="G298" s="165">
        <f t="shared" si="10"/>
        <v>189</v>
      </c>
    </row>
    <row r="299" spans="5:7" ht="12.75" hidden="1">
      <c r="E299" s="165">
        <f t="shared" si="9"/>
        <v>190</v>
      </c>
      <c r="G299" s="165">
        <f t="shared" si="10"/>
        <v>190</v>
      </c>
    </row>
    <row r="300" spans="5:7" ht="12.75" hidden="1">
      <c r="E300" s="165">
        <f t="shared" si="9"/>
        <v>191</v>
      </c>
      <c r="G300" s="165">
        <f t="shared" si="10"/>
        <v>191</v>
      </c>
    </row>
    <row r="301" spans="5:7" ht="12.75" hidden="1">
      <c r="E301" s="165">
        <f t="shared" si="9"/>
        <v>192</v>
      </c>
      <c r="G301" s="165">
        <f t="shared" si="10"/>
        <v>192</v>
      </c>
    </row>
    <row r="302" spans="5:7" ht="12.75" hidden="1">
      <c r="E302" s="165">
        <f t="shared" si="9"/>
        <v>193</v>
      </c>
      <c r="G302" s="165">
        <f t="shared" si="10"/>
        <v>193</v>
      </c>
    </row>
    <row r="303" spans="5:7" ht="12.75" hidden="1">
      <c r="E303" s="165">
        <f t="shared" si="9"/>
        <v>194</v>
      </c>
      <c r="G303" s="165">
        <f t="shared" si="10"/>
        <v>194</v>
      </c>
    </row>
    <row r="304" spans="5:7" ht="12.75" hidden="1">
      <c r="E304" s="165">
        <f t="shared" si="9"/>
        <v>195</v>
      </c>
      <c r="G304" s="165">
        <f t="shared" si="10"/>
        <v>195</v>
      </c>
    </row>
    <row r="305" spans="5:7" ht="12.75" hidden="1">
      <c r="E305" s="165">
        <f t="shared" si="9"/>
        <v>196</v>
      </c>
      <c r="G305" s="165">
        <f t="shared" si="10"/>
        <v>196</v>
      </c>
    </row>
    <row r="306" spans="5:7" ht="12.75" hidden="1">
      <c r="E306" s="165">
        <f t="shared" si="9"/>
        <v>197</v>
      </c>
      <c r="G306" s="165">
        <f t="shared" si="10"/>
        <v>197</v>
      </c>
    </row>
    <row r="307" spans="5:7" ht="12.75" hidden="1">
      <c r="E307" s="165">
        <f aca="true" t="shared" si="11" ref="E307:E357">E306+1</f>
        <v>198</v>
      </c>
      <c r="G307" s="165">
        <f t="shared" si="10"/>
        <v>198</v>
      </c>
    </row>
    <row r="308" spans="5:7" ht="12.75" hidden="1">
      <c r="E308" s="165">
        <f t="shared" si="11"/>
        <v>199</v>
      </c>
      <c r="G308" s="165">
        <f t="shared" si="10"/>
        <v>199</v>
      </c>
    </row>
    <row r="309" spans="5:7" ht="12.75" hidden="1">
      <c r="E309" s="165">
        <f t="shared" si="11"/>
        <v>200</v>
      </c>
      <c r="G309" s="165">
        <f t="shared" si="10"/>
        <v>200</v>
      </c>
    </row>
    <row r="310" spans="5:7" ht="12.75" hidden="1">
      <c r="E310" s="165">
        <f t="shared" si="11"/>
        <v>201</v>
      </c>
      <c r="G310" s="165">
        <f t="shared" si="10"/>
        <v>201</v>
      </c>
    </row>
    <row r="311" spans="5:7" ht="12.75" hidden="1">
      <c r="E311" s="165">
        <f t="shared" si="11"/>
        <v>202</v>
      </c>
      <c r="G311" s="165">
        <f t="shared" si="10"/>
        <v>202</v>
      </c>
    </row>
    <row r="312" spans="5:7" ht="12.75" hidden="1">
      <c r="E312" s="165">
        <f t="shared" si="11"/>
        <v>203</v>
      </c>
      <c r="G312" s="165">
        <f t="shared" si="10"/>
        <v>203</v>
      </c>
    </row>
    <row r="313" spans="5:7" ht="12.75" hidden="1">
      <c r="E313" s="165">
        <f t="shared" si="11"/>
        <v>204</v>
      </c>
      <c r="G313" s="165">
        <f t="shared" si="10"/>
        <v>204</v>
      </c>
    </row>
    <row r="314" spans="5:7" ht="12.75" hidden="1">
      <c r="E314" s="165">
        <f t="shared" si="11"/>
        <v>205</v>
      </c>
      <c r="G314" s="165">
        <f t="shared" si="10"/>
        <v>205</v>
      </c>
    </row>
    <row r="315" spans="5:7" ht="12.75" hidden="1">
      <c r="E315" s="165">
        <f t="shared" si="11"/>
        <v>206</v>
      </c>
      <c r="G315" s="165">
        <f t="shared" si="10"/>
        <v>206</v>
      </c>
    </row>
    <row r="316" spans="5:7" ht="12.75" hidden="1">
      <c r="E316" s="165">
        <f t="shared" si="11"/>
        <v>207</v>
      </c>
      <c r="G316" s="165">
        <f t="shared" si="10"/>
        <v>207</v>
      </c>
    </row>
    <row r="317" spans="5:7" ht="12.75" hidden="1">
      <c r="E317" s="165">
        <f t="shared" si="11"/>
        <v>208</v>
      </c>
      <c r="G317" s="165">
        <f t="shared" si="10"/>
        <v>208</v>
      </c>
    </row>
    <row r="318" spans="5:7" ht="12.75" hidden="1">
      <c r="E318" s="165">
        <f t="shared" si="11"/>
        <v>209</v>
      </c>
      <c r="G318" s="165">
        <f t="shared" si="10"/>
        <v>209</v>
      </c>
    </row>
    <row r="319" spans="5:7" ht="12.75" hidden="1">
      <c r="E319" s="165">
        <f t="shared" si="11"/>
        <v>210</v>
      </c>
      <c r="G319" s="165">
        <f t="shared" si="10"/>
        <v>210</v>
      </c>
    </row>
    <row r="320" spans="5:7" ht="12.75" hidden="1">
      <c r="E320" s="165">
        <f t="shared" si="11"/>
        <v>211</v>
      </c>
      <c r="G320" s="165">
        <f t="shared" si="10"/>
        <v>211</v>
      </c>
    </row>
    <row r="321" spans="5:7" ht="12.75" hidden="1">
      <c r="E321" s="165">
        <f t="shared" si="11"/>
        <v>212</v>
      </c>
      <c r="G321" s="165">
        <f t="shared" si="10"/>
        <v>212</v>
      </c>
    </row>
    <row r="322" spans="5:7" ht="12.75" hidden="1">
      <c r="E322" s="165">
        <f t="shared" si="11"/>
        <v>213</v>
      </c>
      <c r="G322" s="165">
        <f t="shared" si="10"/>
        <v>213</v>
      </c>
    </row>
    <row r="323" spans="5:7" ht="12.75" hidden="1">
      <c r="E323" s="165">
        <f t="shared" si="11"/>
        <v>214</v>
      </c>
      <c r="G323" s="165">
        <f aca="true" t="shared" si="12" ref="G323:G358">G322+1</f>
        <v>214</v>
      </c>
    </row>
    <row r="324" spans="5:7" ht="12.75" hidden="1">
      <c r="E324" s="165">
        <f t="shared" si="11"/>
        <v>215</v>
      </c>
      <c r="G324" s="165">
        <f t="shared" si="12"/>
        <v>215</v>
      </c>
    </row>
    <row r="325" spans="5:7" ht="12.75" hidden="1">
      <c r="E325" s="165">
        <f t="shared" si="11"/>
        <v>216</v>
      </c>
      <c r="G325" s="165">
        <f t="shared" si="12"/>
        <v>216</v>
      </c>
    </row>
    <row r="326" spans="5:7" ht="12.75" hidden="1">
      <c r="E326" s="165">
        <f t="shared" si="11"/>
        <v>217</v>
      </c>
      <c r="G326" s="165">
        <f t="shared" si="12"/>
        <v>217</v>
      </c>
    </row>
    <row r="327" spans="5:7" ht="12.75" hidden="1">
      <c r="E327" s="165">
        <f t="shared" si="11"/>
        <v>218</v>
      </c>
      <c r="G327" s="165">
        <f t="shared" si="12"/>
        <v>218</v>
      </c>
    </row>
    <row r="328" spans="5:7" ht="12.75" hidden="1">
      <c r="E328" s="165">
        <f t="shared" si="11"/>
        <v>219</v>
      </c>
      <c r="G328" s="165">
        <f t="shared" si="12"/>
        <v>219</v>
      </c>
    </row>
    <row r="329" spans="5:7" ht="12.75" hidden="1">
      <c r="E329" s="165">
        <f t="shared" si="11"/>
        <v>220</v>
      </c>
      <c r="G329" s="165">
        <f t="shared" si="12"/>
        <v>220</v>
      </c>
    </row>
    <row r="330" spans="5:7" ht="12.75" hidden="1">
      <c r="E330" s="165">
        <f t="shared" si="11"/>
        <v>221</v>
      </c>
      <c r="G330" s="165">
        <f t="shared" si="12"/>
        <v>221</v>
      </c>
    </row>
    <row r="331" spans="5:7" ht="12.75" hidden="1">
      <c r="E331" s="165">
        <f t="shared" si="11"/>
        <v>222</v>
      </c>
      <c r="G331" s="165">
        <f t="shared" si="12"/>
        <v>222</v>
      </c>
    </row>
    <row r="332" spans="5:7" ht="12.75" hidden="1">
      <c r="E332" s="165">
        <f t="shared" si="11"/>
        <v>223</v>
      </c>
      <c r="G332" s="165">
        <f t="shared" si="12"/>
        <v>223</v>
      </c>
    </row>
    <row r="333" spans="5:7" ht="12.75" hidden="1">
      <c r="E333" s="165">
        <f t="shared" si="11"/>
        <v>224</v>
      </c>
      <c r="G333" s="165">
        <f t="shared" si="12"/>
        <v>224</v>
      </c>
    </row>
    <row r="334" spans="5:7" ht="12.75" hidden="1">
      <c r="E334" s="165">
        <f t="shared" si="11"/>
        <v>225</v>
      </c>
      <c r="G334" s="165">
        <f t="shared" si="12"/>
        <v>225</v>
      </c>
    </row>
    <row r="335" spans="5:7" ht="12.75" hidden="1">
      <c r="E335" s="165">
        <f t="shared" si="11"/>
        <v>226</v>
      </c>
      <c r="G335" s="165">
        <f t="shared" si="12"/>
        <v>226</v>
      </c>
    </row>
    <row r="336" spans="5:7" ht="12.75" hidden="1">
      <c r="E336" s="165">
        <f t="shared" si="11"/>
        <v>227</v>
      </c>
      <c r="G336" s="165">
        <f t="shared" si="12"/>
        <v>227</v>
      </c>
    </row>
    <row r="337" spans="5:7" ht="12.75" hidden="1">
      <c r="E337" s="165">
        <f t="shared" si="11"/>
        <v>228</v>
      </c>
      <c r="G337" s="165">
        <f t="shared" si="12"/>
        <v>228</v>
      </c>
    </row>
    <row r="338" spans="5:7" ht="12.75" hidden="1">
      <c r="E338" s="165">
        <f t="shared" si="11"/>
        <v>229</v>
      </c>
      <c r="G338" s="165">
        <f t="shared" si="12"/>
        <v>229</v>
      </c>
    </row>
    <row r="339" spans="5:7" ht="12.75" hidden="1">
      <c r="E339" s="165">
        <f t="shared" si="11"/>
        <v>230</v>
      </c>
      <c r="G339" s="165">
        <f t="shared" si="12"/>
        <v>230</v>
      </c>
    </row>
    <row r="340" spans="5:7" ht="12.75" hidden="1">
      <c r="E340" s="165">
        <f t="shared" si="11"/>
        <v>231</v>
      </c>
      <c r="G340" s="165">
        <f t="shared" si="12"/>
        <v>231</v>
      </c>
    </row>
    <row r="341" spans="5:7" ht="12.75" hidden="1">
      <c r="E341" s="165">
        <f t="shared" si="11"/>
        <v>232</v>
      </c>
      <c r="G341" s="165">
        <f t="shared" si="12"/>
        <v>232</v>
      </c>
    </row>
    <row r="342" spans="5:7" ht="12.75" hidden="1">
      <c r="E342" s="165">
        <f t="shared" si="11"/>
        <v>233</v>
      </c>
      <c r="G342" s="165">
        <f t="shared" si="12"/>
        <v>233</v>
      </c>
    </row>
    <row r="343" spans="5:7" ht="12.75" hidden="1">
      <c r="E343" s="165">
        <f t="shared" si="11"/>
        <v>234</v>
      </c>
      <c r="G343" s="165">
        <f t="shared" si="12"/>
        <v>234</v>
      </c>
    </row>
    <row r="344" spans="5:7" ht="12.75" hidden="1">
      <c r="E344" s="165">
        <f t="shared" si="11"/>
        <v>235</v>
      </c>
      <c r="G344" s="165">
        <f t="shared" si="12"/>
        <v>235</v>
      </c>
    </row>
    <row r="345" spans="5:7" ht="12.75" hidden="1">
      <c r="E345" s="165">
        <f t="shared" si="11"/>
        <v>236</v>
      </c>
      <c r="G345" s="165">
        <f t="shared" si="12"/>
        <v>236</v>
      </c>
    </row>
    <row r="346" spans="5:7" ht="12.75" hidden="1">
      <c r="E346" s="165">
        <f t="shared" si="11"/>
        <v>237</v>
      </c>
      <c r="G346" s="165">
        <f t="shared" si="12"/>
        <v>237</v>
      </c>
    </row>
    <row r="347" spans="5:7" ht="12.75" hidden="1">
      <c r="E347" s="165">
        <f t="shared" si="11"/>
        <v>238</v>
      </c>
      <c r="G347" s="165">
        <f t="shared" si="12"/>
        <v>238</v>
      </c>
    </row>
    <row r="348" spans="5:7" ht="12.75" hidden="1">
      <c r="E348" s="165">
        <f t="shared" si="11"/>
        <v>239</v>
      </c>
      <c r="G348" s="165">
        <f t="shared" si="12"/>
        <v>239</v>
      </c>
    </row>
    <row r="349" spans="5:7" ht="12.75" hidden="1">
      <c r="E349" s="165">
        <f t="shared" si="11"/>
        <v>240</v>
      </c>
      <c r="G349" s="165">
        <f t="shared" si="12"/>
        <v>240</v>
      </c>
    </row>
    <row r="350" spans="5:7" ht="12.75" hidden="1">
      <c r="E350" s="165">
        <f t="shared" si="11"/>
        <v>241</v>
      </c>
      <c r="G350" s="165">
        <f t="shared" si="12"/>
        <v>241</v>
      </c>
    </row>
    <row r="351" spans="5:7" ht="12.75" hidden="1">
      <c r="E351" s="165">
        <f t="shared" si="11"/>
        <v>242</v>
      </c>
      <c r="G351" s="165">
        <f t="shared" si="12"/>
        <v>242</v>
      </c>
    </row>
    <row r="352" spans="5:7" ht="12.75" hidden="1">
      <c r="E352" s="165">
        <f t="shared" si="11"/>
        <v>243</v>
      </c>
      <c r="G352" s="165">
        <f t="shared" si="12"/>
        <v>243</v>
      </c>
    </row>
    <row r="353" spans="5:7" ht="12.75" hidden="1">
      <c r="E353" s="165">
        <f t="shared" si="11"/>
        <v>244</v>
      </c>
      <c r="G353" s="165">
        <f t="shared" si="12"/>
        <v>244</v>
      </c>
    </row>
    <row r="354" spans="5:7" ht="12.75" hidden="1">
      <c r="E354" s="165">
        <f t="shared" si="11"/>
        <v>245</v>
      </c>
      <c r="G354" s="165">
        <f t="shared" si="12"/>
        <v>245</v>
      </c>
    </row>
    <row r="355" spans="5:7" ht="12.75" hidden="1">
      <c r="E355" s="165">
        <f t="shared" si="11"/>
        <v>246</v>
      </c>
      <c r="G355" s="165">
        <f t="shared" si="12"/>
        <v>246</v>
      </c>
    </row>
    <row r="356" spans="5:7" ht="12.75" hidden="1">
      <c r="E356" s="165">
        <f t="shared" si="11"/>
        <v>247</v>
      </c>
      <c r="G356" s="165">
        <f t="shared" si="12"/>
        <v>247</v>
      </c>
    </row>
    <row r="357" spans="5:7" ht="12.75" hidden="1">
      <c r="E357" s="165">
        <f t="shared" si="11"/>
        <v>248</v>
      </c>
      <c r="G357" s="165">
        <f t="shared" si="12"/>
        <v>248</v>
      </c>
    </row>
    <row r="358" ht="12.75" hidden="1">
      <c r="G358" s="165">
        <f t="shared" si="12"/>
        <v>249</v>
      </c>
    </row>
    <row r="359" ht="12.75" hidden="1"/>
  </sheetData>
  <sheetProtection sheet="1" formatColumns="0" formatRows="0"/>
  <protectedRanges>
    <protectedRange sqref="E9:M10 E20:M20" name="Range1"/>
  </protectedRanges>
  <mergeCells count="4">
    <mergeCell ref="E7:M7"/>
    <mergeCell ref="B77:M77"/>
    <mergeCell ref="B3:B4"/>
    <mergeCell ref="E3:E4"/>
  </mergeCells>
  <conditionalFormatting sqref="C49:C52">
    <cfRule type="expression" priority="2" dxfId="0" stopIfTrue="1">
      <formula>AND(OR($C$5="New Operator",$C$5="Existing Operator"),$C49&gt;0)</formula>
    </cfRule>
  </conditionalFormatting>
  <dataValidations count="5">
    <dataValidation type="list" allowBlank="1" showInputMessage="1" showErrorMessage="1" sqref="M99 I99 G99 K99 M90 K90 I90 G90">
      <formula1>$B$104:$B$105</formula1>
    </dataValidation>
    <dataValidation type="list" allowBlank="1" showInputMessage="1" showErrorMessage="1" sqref="E3">
      <formula1>#REF!</formula1>
    </dataValidation>
    <dataValidation type="list" allowBlank="1" showInputMessage="1" showErrorMessage="1" sqref="E49 K61 I61 G61 K49 E61 M49 G49 I49 M61">
      <formula1>$E$110:$E$111</formula1>
    </dataValidation>
    <dataValidation type="list" allowBlank="1" showInputMessage="1" showErrorMessage="1" sqref="E54 G54 I54 K54 M54">
      <formula1>$E$113:$E$208</formula1>
    </dataValidation>
    <dataValidation type="list" allowBlank="1" showInputMessage="1" showErrorMessage="1" sqref="E67 G67 I67 K67 M67">
      <formula1>$G$128:$G$358</formula1>
    </dataValidation>
  </dataValidations>
  <printOptions/>
  <pageMargins left="0.7" right="0.7" top="0.75" bottom="0.75" header="0.3" footer="0.3"/>
  <pageSetup horizontalDpi="600" verticalDpi="600" orientation="landscape" scale="55" r:id="rId1"/>
</worksheet>
</file>

<file path=xl/worksheets/sheet11.xml><?xml version="1.0" encoding="utf-8"?>
<worksheet xmlns="http://schemas.openxmlformats.org/spreadsheetml/2006/main" xmlns:r="http://schemas.openxmlformats.org/officeDocument/2006/relationships">
  <dimension ref="A1:T202"/>
  <sheetViews>
    <sheetView zoomScale="55" zoomScaleNormal="55" zoomScalePageLayoutView="0" workbookViewId="0" topLeftCell="A134">
      <selection activeCell="R153" sqref="R153"/>
    </sheetView>
  </sheetViews>
  <sheetFormatPr defaultColWidth="9.140625" defaultRowHeight="12.75"/>
  <cols>
    <col min="1" max="1" width="76.00390625" style="0" customWidth="1"/>
    <col min="2" max="2" width="4.8515625" style="0" customWidth="1"/>
    <col min="3" max="6" width="17.140625" style="165"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250" customWidth="1"/>
    <col min="18" max="18" width="18.7109375" style="0" customWidth="1"/>
    <col min="19" max="19" width="3.421875" style="250" customWidth="1"/>
    <col min="20" max="20" width="18.7109375" style="0" customWidth="1"/>
  </cols>
  <sheetData>
    <row r="1" spans="1:19" ht="15.75" thickBot="1">
      <c r="A1" s="502" t="s">
        <v>253</v>
      </c>
      <c r="B1" s="12"/>
      <c r="C1" s="206"/>
      <c r="D1" s="206"/>
      <c r="E1" s="206"/>
      <c r="F1" s="206"/>
      <c r="G1" s="12"/>
      <c r="H1" s="12"/>
      <c r="I1" s="12"/>
      <c r="J1" s="13"/>
      <c r="K1" s="13"/>
      <c r="L1" s="13"/>
      <c r="M1" s="13"/>
      <c r="N1" s="13"/>
      <c r="O1" s="13"/>
      <c r="P1" s="13"/>
      <c r="Q1" s="236"/>
      <c r="R1" s="14"/>
      <c r="S1" s="254"/>
    </row>
    <row r="2" spans="1:19" ht="22.5" customHeight="1" thickBot="1">
      <c r="A2" s="585" t="s">
        <v>580</v>
      </c>
      <c r="B2" s="15"/>
      <c r="C2" s="207"/>
      <c r="D2" s="207"/>
      <c r="E2" s="207"/>
      <c r="F2" s="207"/>
      <c r="G2" s="15"/>
      <c r="H2" s="15"/>
      <c r="I2" s="15"/>
      <c r="J2" s="16"/>
      <c r="K2" s="16"/>
      <c r="L2" s="16"/>
      <c r="M2" s="16"/>
      <c r="N2" s="16"/>
      <c r="O2" s="16"/>
      <c r="P2" s="16"/>
      <c r="Q2" s="237"/>
      <c r="R2" s="14"/>
      <c r="S2" s="254"/>
    </row>
    <row r="3" spans="1:19" ht="15">
      <c r="A3" s="15"/>
      <c r="B3" s="15"/>
      <c r="C3" s="207"/>
      <c r="D3" s="207"/>
      <c r="E3" s="207"/>
      <c r="F3" s="207"/>
      <c r="G3" s="15"/>
      <c r="H3" s="15"/>
      <c r="I3" s="15"/>
      <c r="J3" s="17"/>
      <c r="K3" s="17"/>
      <c r="L3" s="17"/>
      <c r="M3" s="17"/>
      <c r="N3" s="17"/>
      <c r="O3" s="17"/>
      <c r="P3" s="17"/>
      <c r="Q3" s="238"/>
      <c r="R3" s="18"/>
      <c r="S3" s="255"/>
    </row>
    <row r="4" spans="1:19" ht="15.75">
      <c r="A4" s="239"/>
      <c r="B4" s="20"/>
      <c r="C4" s="20"/>
      <c r="D4" s="20"/>
      <c r="E4" s="20"/>
      <c r="F4" s="20"/>
      <c r="G4" s="20"/>
      <c r="H4" s="20"/>
      <c r="I4" s="20"/>
      <c r="J4" s="20"/>
      <c r="K4" s="20"/>
      <c r="L4" s="20"/>
      <c r="M4" s="20"/>
      <c r="N4" s="20"/>
      <c r="O4" s="19"/>
      <c r="P4" s="19"/>
      <c r="Q4" s="239"/>
      <c r="R4" s="19"/>
      <c r="S4" s="254"/>
    </row>
    <row r="5" spans="1:19" ht="23.25">
      <c r="A5" s="680"/>
      <c r="B5" s="9"/>
      <c r="C5" s="208"/>
      <c r="D5" s="208"/>
      <c r="E5" s="208"/>
      <c r="F5" s="208"/>
      <c r="G5" s="9"/>
      <c r="H5" s="9"/>
      <c r="I5" s="9"/>
      <c r="J5" s="10"/>
      <c r="K5" s="10"/>
      <c r="L5" s="10"/>
      <c r="M5" s="10"/>
      <c r="N5" s="10"/>
      <c r="O5" s="10"/>
      <c r="P5" s="728"/>
      <c r="Q5" s="240"/>
      <c r="R5" s="21"/>
      <c r="S5" s="241"/>
    </row>
    <row r="6" spans="1:20" ht="16.5" customHeight="1" thickBot="1">
      <c r="A6" s="21"/>
      <c r="B6" s="21"/>
      <c r="C6" s="209"/>
      <c r="D6" s="209"/>
      <c r="E6" s="209"/>
      <c r="F6" s="209"/>
      <c r="G6" s="21"/>
      <c r="H6" s="21"/>
      <c r="I6" s="21"/>
      <c r="R6" s="512"/>
      <c r="T6" s="512"/>
    </row>
    <row r="7" spans="1:10" ht="30" customHeight="1" thickBot="1">
      <c r="A7" s="72"/>
      <c r="B7" s="70"/>
      <c r="C7" s="1015" t="s">
        <v>162</v>
      </c>
      <c r="D7" s="1018" t="s">
        <v>164</v>
      </c>
      <c r="E7" s="1021" t="s">
        <v>180</v>
      </c>
      <c r="F7" s="1021" t="s">
        <v>179</v>
      </c>
      <c r="G7" s="70"/>
      <c r="H7" s="1024" t="s">
        <v>167</v>
      </c>
      <c r="I7" s="70"/>
      <c r="J7" s="1033" t="s">
        <v>504</v>
      </c>
    </row>
    <row r="8" spans="1:20" ht="31.5" customHeight="1" thickBot="1">
      <c r="A8" s="2"/>
      <c r="B8" s="70"/>
      <c r="C8" s="1016"/>
      <c r="D8" s="1019"/>
      <c r="E8" s="1022"/>
      <c r="F8" s="1022"/>
      <c r="G8" s="70"/>
      <c r="H8" s="1025"/>
      <c r="I8" s="70"/>
      <c r="J8" s="1034"/>
      <c r="K8" s="21"/>
      <c r="L8" s="1030" t="s">
        <v>355</v>
      </c>
      <c r="M8" s="1031"/>
      <c r="N8" s="1031"/>
      <c r="O8" s="1031"/>
      <c r="P8" s="1031"/>
      <c r="Q8" s="1031"/>
      <c r="R8" s="1031"/>
      <c r="S8" s="1031"/>
      <c r="T8" s="1032"/>
    </row>
    <row r="9" spans="1:20" ht="23.25" thickBot="1">
      <c r="A9" s="203" t="s">
        <v>132</v>
      </c>
      <c r="B9" s="2"/>
      <c r="C9" s="1017"/>
      <c r="D9" s="1020"/>
      <c r="E9" s="1023"/>
      <c r="F9" s="1023"/>
      <c r="G9" s="2"/>
      <c r="H9" s="1026"/>
      <c r="I9" s="2"/>
      <c r="J9" s="730">
        <v>2018</v>
      </c>
      <c r="K9" s="70"/>
      <c r="L9" s="277">
        <f>J9+1</f>
        <v>2019</v>
      </c>
      <c r="M9" s="242"/>
      <c r="N9" s="277">
        <f>L9+1</f>
        <v>2020</v>
      </c>
      <c r="O9" s="242"/>
      <c r="P9" s="277">
        <f>N9+1</f>
        <v>2021</v>
      </c>
      <c r="Q9" s="242"/>
      <c r="R9" s="277">
        <f>P9+1</f>
        <v>2022</v>
      </c>
      <c r="S9" s="256"/>
      <c r="T9" s="277">
        <f>R9+1</f>
        <v>2023</v>
      </c>
    </row>
    <row r="10" spans="1:20" ht="18.75" thickBot="1">
      <c r="A10" s="343" t="s">
        <v>381</v>
      </c>
      <c r="B10" s="24"/>
      <c r="C10" s="373" t="s">
        <v>163</v>
      </c>
      <c r="D10" s="373" t="s">
        <v>163</v>
      </c>
      <c r="E10" s="373" t="s">
        <v>163</v>
      </c>
      <c r="F10" s="373" t="s">
        <v>163</v>
      </c>
      <c r="G10" s="24"/>
      <c r="H10" s="261"/>
      <c r="I10" s="24"/>
      <c r="J10" s="278">
        <v>0</v>
      </c>
      <c r="K10" s="71"/>
      <c r="L10" s="278">
        <f>'Revenues-Per Capita '!B50</f>
        <v>1147440</v>
      </c>
      <c r="N10" s="278">
        <f>'Revenues-Per Capita '!H50</f>
        <v>1393320</v>
      </c>
      <c r="P10" s="278">
        <f>'Revenues-Per Capita '!M50</f>
        <v>1529920</v>
      </c>
      <c r="R10" s="278">
        <f>'Revenues-Per Capita '!S50</f>
        <v>1529920</v>
      </c>
      <c r="T10" s="278">
        <f>'Revenues-Per Capita '!Y50</f>
        <v>1529920</v>
      </c>
    </row>
    <row r="11" spans="1:20" ht="16.5" thickBot="1">
      <c r="A11" s="344" t="s">
        <v>382</v>
      </c>
      <c r="B11" s="24"/>
      <c r="C11" s="373" t="s">
        <v>163</v>
      </c>
      <c r="D11" s="373" t="s">
        <v>163</v>
      </c>
      <c r="E11" s="373" t="s">
        <v>163</v>
      </c>
      <c r="F11" s="373" t="s">
        <v>163</v>
      </c>
      <c r="G11" s="24"/>
      <c r="H11" s="261"/>
      <c r="I11" s="24"/>
      <c r="J11" s="278">
        <v>0</v>
      </c>
      <c r="K11" s="25"/>
      <c r="L11" s="278">
        <f>'Revenues-Per Capita '!B86</f>
        <v>357448</v>
      </c>
      <c r="M11" s="26"/>
      <c r="N11" s="278">
        <f>'Revenues-Per Capita '!H86</f>
        <v>689364</v>
      </c>
      <c r="O11" s="26"/>
      <c r="P11" s="278">
        <f>'Revenues-Per Capita '!M86</f>
        <v>1148940</v>
      </c>
      <c r="Q11" s="243"/>
      <c r="R11" s="278">
        <f>'Revenues-Per Capita '!S86</f>
        <v>1787240</v>
      </c>
      <c r="S11" s="257"/>
      <c r="T11" s="278">
        <f>'Revenues-Per Capita '!Y86</f>
        <v>1787240</v>
      </c>
    </row>
    <row r="12" spans="1:20" ht="32.25" thickBot="1">
      <c r="A12" s="345" t="s">
        <v>383</v>
      </c>
      <c r="B12" s="24"/>
      <c r="C12" s="373" t="s">
        <v>163</v>
      </c>
      <c r="D12" s="373" t="s">
        <v>163</v>
      </c>
      <c r="E12" s="373" t="s">
        <v>163</v>
      </c>
      <c r="F12" s="373" t="s">
        <v>163</v>
      </c>
      <c r="G12" s="24"/>
      <c r="H12" s="261"/>
      <c r="I12" s="24"/>
      <c r="J12" s="278">
        <v>0</v>
      </c>
      <c r="K12" s="25"/>
      <c r="L12" s="278">
        <f>'Revenues-Per Capita '!B118</f>
        <v>0</v>
      </c>
      <c r="M12" s="26"/>
      <c r="N12" s="278">
        <f>'Revenues-Per Capita '!H118</f>
        <v>0</v>
      </c>
      <c r="O12" s="26"/>
      <c r="P12" s="278">
        <f>'Revenues-Per Capita '!M118</f>
        <v>0</v>
      </c>
      <c r="Q12" s="243"/>
      <c r="R12" s="278">
        <f>'Revenues-Per Capita '!S118</f>
        <v>0</v>
      </c>
      <c r="S12" s="257"/>
      <c r="T12" s="278">
        <f>'Revenues-Per Capita '!Y118</f>
        <v>0</v>
      </c>
    </row>
    <row r="13" spans="1:20" ht="16.5" thickBot="1">
      <c r="A13" s="344" t="s">
        <v>384</v>
      </c>
      <c r="B13" s="24"/>
      <c r="C13" s="373" t="s">
        <v>163</v>
      </c>
      <c r="D13" s="373" t="s">
        <v>163</v>
      </c>
      <c r="E13" s="373" t="s">
        <v>163</v>
      </c>
      <c r="F13" s="373" t="s">
        <v>163</v>
      </c>
      <c r="G13" s="24"/>
      <c r="H13" s="261"/>
      <c r="I13" s="24"/>
      <c r="J13" s="278">
        <v>0</v>
      </c>
      <c r="K13" s="25"/>
      <c r="L13" s="278">
        <f>'Revenues-Per Capita '!B150</f>
        <v>0</v>
      </c>
      <c r="M13" s="26"/>
      <c r="N13" s="278">
        <f>'Revenues-Per Capita '!H150</f>
        <v>0</v>
      </c>
      <c r="O13" s="26"/>
      <c r="P13" s="278">
        <f>'Revenues-Per Capita '!M150</f>
        <v>0</v>
      </c>
      <c r="Q13" s="243"/>
      <c r="R13" s="278">
        <f>'Revenues-Per Capita '!S150</f>
        <v>0</v>
      </c>
      <c r="S13" s="257"/>
      <c r="T13" s="278">
        <f>'Revenues-Per Capita '!Y150</f>
        <v>0</v>
      </c>
    </row>
    <row r="14" spans="1:20" ht="16.5" customHeight="1" hidden="1" thickBot="1">
      <c r="A14" s="344" t="s">
        <v>23</v>
      </c>
      <c r="B14" s="24"/>
      <c r="C14" s="373" t="s">
        <v>163</v>
      </c>
      <c r="D14" s="373" t="s">
        <v>163</v>
      </c>
      <c r="E14" s="373" t="s">
        <v>163</v>
      </c>
      <c r="F14" s="373" t="s">
        <v>163</v>
      </c>
      <c r="G14" s="24"/>
      <c r="H14" s="261"/>
      <c r="I14" s="24"/>
      <c r="J14" s="278">
        <v>0</v>
      </c>
      <c r="K14" s="25"/>
      <c r="L14" s="278">
        <v>0</v>
      </c>
      <c r="M14" s="26"/>
      <c r="N14" s="278">
        <v>0</v>
      </c>
      <c r="O14" s="26"/>
      <c r="P14" s="278">
        <v>0</v>
      </c>
      <c r="Q14" s="243"/>
      <c r="R14" s="278">
        <v>0</v>
      </c>
      <c r="S14" s="257"/>
      <c r="T14" s="278">
        <v>0</v>
      </c>
    </row>
    <row r="15" spans="1:20" ht="16.5" customHeight="1" hidden="1" thickBot="1">
      <c r="A15" s="344" t="s">
        <v>24</v>
      </c>
      <c r="B15" s="24"/>
      <c r="C15" s="373" t="s">
        <v>163</v>
      </c>
      <c r="D15" s="373" t="s">
        <v>163</v>
      </c>
      <c r="E15" s="373" t="s">
        <v>163</v>
      </c>
      <c r="F15" s="373" t="s">
        <v>163</v>
      </c>
      <c r="G15" s="24"/>
      <c r="H15" s="261"/>
      <c r="I15" s="24"/>
      <c r="J15" s="278">
        <v>0</v>
      </c>
      <c r="K15" s="25"/>
      <c r="L15" s="311">
        <v>0</v>
      </c>
      <c r="M15" s="312"/>
      <c r="N15" s="311">
        <v>0</v>
      </c>
      <c r="O15" s="312"/>
      <c r="P15" s="311">
        <v>0</v>
      </c>
      <c r="Q15" s="313"/>
      <c r="R15" s="311">
        <v>0</v>
      </c>
      <c r="S15" s="314"/>
      <c r="T15" s="311">
        <v>0</v>
      </c>
    </row>
    <row r="16" spans="1:20" ht="16.5" thickBot="1">
      <c r="A16" s="344" t="s">
        <v>161</v>
      </c>
      <c r="B16" s="24"/>
      <c r="C16" s="373" t="s">
        <v>163</v>
      </c>
      <c r="D16" s="373" t="s">
        <v>163</v>
      </c>
      <c r="E16" s="373" t="s">
        <v>163</v>
      </c>
      <c r="F16" s="373" t="s">
        <v>163</v>
      </c>
      <c r="G16" s="24"/>
      <c r="H16" s="261"/>
      <c r="I16" s="24"/>
      <c r="J16" s="278">
        <v>0</v>
      </c>
      <c r="K16" s="25"/>
      <c r="L16" s="278">
        <f>'Revenues-Per Capita '!B170</f>
        <v>168000</v>
      </c>
      <c r="M16" s="26"/>
      <c r="N16" s="278">
        <f>'Revenues-Per Capita '!H170</f>
        <v>234000</v>
      </c>
      <c r="O16" s="26"/>
      <c r="P16" s="278">
        <f>'Revenues-Per Capita '!M170</f>
        <v>303000</v>
      </c>
      <c r="Q16" s="243"/>
      <c r="R16" s="278">
        <f>'Revenues-Per Capita '!S170</f>
        <v>378000</v>
      </c>
      <c r="S16" s="257"/>
      <c r="T16" s="278">
        <f>'Revenues-Per Capita '!Y170</f>
        <v>378000</v>
      </c>
    </row>
    <row r="17" spans="1:20" ht="16.5" thickBot="1">
      <c r="A17" s="344" t="s">
        <v>4</v>
      </c>
      <c r="B17" s="24"/>
      <c r="C17" s="373" t="s">
        <v>163</v>
      </c>
      <c r="D17" s="373" t="s">
        <v>163</v>
      </c>
      <c r="E17" s="373" t="s">
        <v>163</v>
      </c>
      <c r="F17" s="373" t="s">
        <v>163</v>
      </c>
      <c r="G17" s="24"/>
      <c r="H17" s="261"/>
      <c r="I17" s="24"/>
      <c r="J17" s="278">
        <v>0</v>
      </c>
      <c r="K17" s="25"/>
      <c r="L17" s="278">
        <f>'Revenues-Federal &amp; State '!E13</f>
        <v>111890</v>
      </c>
      <c r="M17" s="26"/>
      <c r="N17" s="278">
        <f>'Revenues-Federal &amp; State '!G13</f>
        <v>156980</v>
      </c>
      <c r="O17" s="26"/>
      <c r="P17" s="278">
        <f>'Revenues-Federal &amp; State '!I13</f>
        <v>202070</v>
      </c>
      <c r="Q17" s="243"/>
      <c r="R17" s="278">
        <f>'Revenues-Federal &amp; State '!K13</f>
        <v>252170</v>
      </c>
      <c r="S17" s="257"/>
      <c r="T17" s="278">
        <f>'Revenues-Federal &amp; State '!M13</f>
        <v>252170</v>
      </c>
    </row>
    <row r="18" spans="1:20" ht="16.5" thickBot="1">
      <c r="A18" s="344" t="s">
        <v>53</v>
      </c>
      <c r="B18" s="24"/>
      <c r="C18" s="373" t="s">
        <v>163</v>
      </c>
      <c r="D18" s="373" t="s">
        <v>163</v>
      </c>
      <c r="E18" s="373" t="s">
        <v>163</v>
      </c>
      <c r="F18" s="373" t="s">
        <v>163</v>
      </c>
      <c r="G18" s="24"/>
      <c r="H18" s="261"/>
      <c r="I18" s="24"/>
      <c r="J18" s="278">
        <v>0</v>
      </c>
      <c r="K18" s="25"/>
      <c r="L18" s="278">
        <f>'Revenues-Federal &amp; State '!E25</f>
        <v>81854.64</v>
      </c>
      <c r="M18" s="26"/>
      <c r="N18" s="278">
        <f>'Revenues-Federal &amp; State '!G25</f>
        <v>114816.23999999999</v>
      </c>
      <c r="O18" s="26"/>
      <c r="P18" s="278">
        <f>'Revenues-Federal &amp; State '!I25</f>
        <v>147686.28</v>
      </c>
      <c r="Q18" s="243"/>
      <c r="R18" s="278">
        <f>'Revenues-Federal &amp; State '!K25</f>
        <v>184401.84</v>
      </c>
      <c r="S18" s="257"/>
      <c r="T18" s="278">
        <f>'Revenues-Federal &amp; State '!M25</f>
        <v>184401.84</v>
      </c>
    </row>
    <row r="19" spans="1:20" ht="16.5" thickBot="1">
      <c r="A19" s="344" t="s">
        <v>385</v>
      </c>
      <c r="B19" s="24"/>
      <c r="C19" s="373" t="s">
        <v>163</v>
      </c>
      <c r="D19" s="373" t="s">
        <v>163</v>
      </c>
      <c r="E19" s="373" t="s">
        <v>163</v>
      </c>
      <c r="F19" s="373" t="s">
        <v>163</v>
      </c>
      <c r="G19" s="24"/>
      <c r="H19" s="261"/>
      <c r="I19" s="24"/>
      <c r="J19" s="278">
        <v>0</v>
      </c>
      <c r="K19" s="25"/>
      <c r="L19" s="278">
        <f>'Revenues-Federal &amp; State '!E31</f>
        <v>15680</v>
      </c>
      <c r="M19" s="26"/>
      <c r="N19" s="278">
        <f>'Revenues-Federal &amp; State '!G31</f>
        <v>21980</v>
      </c>
      <c r="O19" s="26"/>
      <c r="P19" s="278">
        <f>'Revenues-Federal &amp; State '!I31</f>
        <v>28210</v>
      </c>
      <c r="Q19" s="243"/>
      <c r="R19" s="278">
        <f>'Revenues-Federal &amp; State '!K31</f>
        <v>35280</v>
      </c>
      <c r="S19" s="257"/>
      <c r="T19" s="278">
        <f>'Revenues-Federal &amp; State '!M31</f>
        <v>35280</v>
      </c>
    </row>
    <row r="20" spans="1:20" ht="16.5" thickBot="1">
      <c r="A20" s="344" t="s">
        <v>5</v>
      </c>
      <c r="B20" s="24"/>
      <c r="C20" s="373" t="s">
        <v>163</v>
      </c>
      <c r="D20" s="373" t="s">
        <v>163</v>
      </c>
      <c r="E20" s="373" t="s">
        <v>163</v>
      </c>
      <c r="F20" s="373" t="s">
        <v>163</v>
      </c>
      <c r="G20" s="24"/>
      <c r="H20" s="261"/>
      <c r="I20" s="24"/>
      <c r="J20" s="278">
        <v>0</v>
      </c>
      <c r="K20" s="25"/>
      <c r="L20" s="278">
        <f>'Revenues-Federal &amp; State '!E75</f>
        <v>9849</v>
      </c>
      <c r="M20" s="26"/>
      <c r="N20" s="278">
        <f>'Revenues-Federal &amp; State '!G75</f>
        <v>14070</v>
      </c>
      <c r="O20" s="26"/>
      <c r="P20" s="278">
        <f>'Revenues-Federal &amp; State '!I75</f>
        <v>17822</v>
      </c>
      <c r="Q20" s="243"/>
      <c r="R20" s="278">
        <f>'Revenues-Federal &amp; State '!K75</f>
        <v>22512</v>
      </c>
      <c r="S20" s="257"/>
      <c r="T20" s="278">
        <f>'Revenues-Federal &amp; State '!M75</f>
        <v>22512</v>
      </c>
    </row>
    <row r="21" spans="1:20" ht="16.5" thickBot="1">
      <c r="A21" s="344" t="s">
        <v>54</v>
      </c>
      <c r="B21" s="24"/>
      <c r="C21" s="373" t="s">
        <v>163</v>
      </c>
      <c r="D21" s="373" t="s">
        <v>163</v>
      </c>
      <c r="E21" s="373" t="s">
        <v>163</v>
      </c>
      <c r="F21" s="373" t="s">
        <v>163</v>
      </c>
      <c r="G21" s="24"/>
      <c r="H21" s="261"/>
      <c r="I21" s="24"/>
      <c r="J21" s="278">
        <v>0</v>
      </c>
      <c r="K21" s="26"/>
      <c r="L21" s="278">
        <f>'Salaries - Year 1'!B100*0.96</f>
        <v>76800</v>
      </c>
      <c r="M21" s="26"/>
      <c r="N21" s="278">
        <f>'Salaries - Year 2'!B100*0.96</f>
        <v>78336</v>
      </c>
      <c r="O21" s="26"/>
      <c r="P21" s="278">
        <f>'Salaries - Year 3'!B100*0.96</f>
        <v>109866.23999999999</v>
      </c>
      <c r="Q21" s="243"/>
      <c r="R21" s="278">
        <f>'Salaries - Year 4'!B100*0.96</f>
        <v>112063.56480000001</v>
      </c>
      <c r="S21" s="257"/>
      <c r="T21" s="278">
        <f>'Salaries - Year 5'!B100*0.96</f>
        <v>114304.836096</v>
      </c>
    </row>
    <row r="22" spans="1:20" ht="16.5" customHeight="1" hidden="1" thickBot="1">
      <c r="A22" s="344" t="s">
        <v>254</v>
      </c>
      <c r="B22" s="24"/>
      <c r="C22" s="373" t="s">
        <v>163</v>
      </c>
      <c r="D22" s="373" t="s">
        <v>163</v>
      </c>
      <c r="E22" s="373" t="s">
        <v>163</v>
      </c>
      <c r="F22" s="373" t="s">
        <v>163</v>
      </c>
      <c r="G22" s="24"/>
      <c r="H22" s="261"/>
      <c r="I22" s="24"/>
      <c r="J22" s="278">
        <v>0</v>
      </c>
      <c r="K22" s="26"/>
      <c r="L22" s="278">
        <v>0</v>
      </c>
      <c r="M22" s="26"/>
      <c r="N22" s="278">
        <v>0</v>
      </c>
      <c r="O22" s="26"/>
      <c r="P22" s="278">
        <v>0</v>
      </c>
      <c r="Q22" s="243"/>
      <c r="R22" s="278">
        <v>0</v>
      </c>
      <c r="S22" s="257"/>
      <c r="T22" s="278">
        <v>0</v>
      </c>
    </row>
    <row r="23" spans="1:20" ht="16.5" thickBot="1">
      <c r="A23" s="344" t="s">
        <v>18</v>
      </c>
      <c r="B23" s="24"/>
      <c r="C23" s="373" t="s">
        <v>163</v>
      </c>
      <c r="D23" s="373" t="s">
        <v>163</v>
      </c>
      <c r="E23" s="373" t="s">
        <v>163</v>
      </c>
      <c r="F23" s="373" t="s">
        <v>163</v>
      </c>
      <c r="G23" s="24"/>
      <c r="H23" s="261"/>
      <c r="I23" s="24"/>
      <c r="J23" s="23"/>
      <c r="K23" s="26"/>
      <c r="L23" s="23"/>
      <c r="M23" s="26"/>
      <c r="N23" s="23"/>
      <c r="O23" s="26"/>
      <c r="P23" s="23"/>
      <c r="Q23" s="243"/>
      <c r="R23" s="23"/>
      <c r="S23" s="257"/>
      <c r="T23" s="23"/>
    </row>
    <row r="24" spans="1:20" ht="16.5" thickBot="1">
      <c r="A24" s="344" t="s">
        <v>2</v>
      </c>
      <c r="B24" s="24"/>
      <c r="C24" s="373" t="s">
        <v>163</v>
      </c>
      <c r="D24" s="373" t="s">
        <v>163</v>
      </c>
      <c r="E24" s="373" t="s">
        <v>163</v>
      </c>
      <c r="F24" s="373" t="s">
        <v>163</v>
      </c>
      <c r="G24" s="24"/>
      <c r="H24" s="261" t="s">
        <v>535</v>
      </c>
      <c r="I24" s="24"/>
      <c r="J24" s="23">
        <v>0</v>
      </c>
      <c r="K24" s="26"/>
      <c r="L24" s="23">
        <v>13440.000000000002</v>
      </c>
      <c r="M24" s="26"/>
      <c r="N24" s="23">
        <v>18840</v>
      </c>
      <c r="O24" s="26"/>
      <c r="P24" s="23">
        <v>24180.000000000004</v>
      </c>
      <c r="Q24" s="243"/>
      <c r="R24" s="23">
        <v>30240.000000000004</v>
      </c>
      <c r="S24" s="257"/>
      <c r="T24" s="23">
        <v>30240.000000000004</v>
      </c>
    </row>
    <row r="25" spans="1:20" ht="16.5" thickBot="1">
      <c r="A25" s="344" t="s">
        <v>40</v>
      </c>
      <c r="B25" s="24"/>
      <c r="C25" s="373" t="s">
        <v>163</v>
      </c>
      <c r="D25" s="373" t="s">
        <v>163</v>
      </c>
      <c r="E25" s="373" t="s">
        <v>163</v>
      </c>
      <c r="F25" s="373" t="s">
        <v>163</v>
      </c>
      <c r="G25" s="24"/>
      <c r="H25" s="261" t="s">
        <v>536</v>
      </c>
      <c r="I25" s="24"/>
      <c r="J25" s="23">
        <v>0</v>
      </c>
      <c r="K25" s="26"/>
      <c r="L25" s="23">
        <v>43980</v>
      </c>
      <c r="M25" s="26"/>
      <c r="N25" s="23">
        <v>15120</v>
      </c>
      <c r="O25" s="26"/>
      <c r="P25" s="23">
        <v>37942.5</v>
      </c>
      <c r="Q25" s="243"/>
      <c r="R25" s="23">
        <v>27997.5</v>
      </c>
      <c r="S25" s="257"/>
      <c r="T25" s="23">
        <v>15120</v>
      </c>
    </row>
    <row r="26" spans="1:20" ht="16.5" thickBot="1">
      <c r="A26" s="344" t="s">
        <v>19</v>
      </c>
      <c r="B26" s="24"/>
      <c r="C26" s="373" t="s">
        <v>163</v>
      </c>
      <c r="D26" s="373" t="s">
        <v>163</v>
      </c>
      <c r="E26" s="373" t="s">
        <v>163</v>
      </c>
      <c r="F26" s="373" t="s">
        <v>163</v>
      </c>
      <c r="G26" s="24"/>
      <c r="H26" s="261"/>
      <c r="I26" s="24"/>
      <c r="J26" s="23"/>
      <c r="K26" s="26"/>
      <c r="L26" s="23"/>
      <c r="M26" s="26"/>
      <c r="N26" s="23"/>
      <c r="O26" s="26"/>
      <c r="P26" s="23"/>
      <c r="Q26" s="243"/>
      <c r="R26" s="23"/>
      <c r="S26" s="257"/>
      <c r="T26" s="23"/>
    </row>
    <row r="27" spans="1:20" ht="16.5" thickBot="1">
      <c r="A27" s="344" t="s">
        <v>282</v>
      </c>
      <c r="B27" s="24"/>
      <c r="C27" s="373" t="s">
        <v>163</v>
      </c>
      <c r="D27" s="373" t="s">
        <v>163</v>
      </c>
      <c r="E27" s="373" t="s">
        <v>163</v>
      </c>
      <c r="F27" s="373" t="s">
        <v>163</v>
      </c>
      <c r="G27" s="24"/>
      <c r="H27" s="261"/>
      <c r="I27" s="24"/>
      <c r="J27" s="23"/>
      <c r="K27" s="26"/>
      <c r="L27" s="23"/>
      <c r="M27" s="26"/>
      <c r="N27" s="23"/>
      <c r="O27" s="26"/>
      <c r="P27" s="23"/>
      <c r="Q27" s="243"/>
      <c r="R27" s="23"/>
      <c r="S27" s="257"/>
      <c r="T27" s="23"/>
    </row>
    <row r="28" spans="1:20" ht="16.5" thickBot="1">
      <c r="A28" s="107" t="s">
        <v>537</v>
      </c>
      <c r="B28" s="24"/>
      <c r="C28" s="373" t="s">
        <v>163</v>
      </c>
      <c r="D28" s="373" t="s">
        <v>163</v>
      </c>
      <c r="E28" s="373" t="s">
        <v>163</v>
      </c>
      <c r="F28" s="373" t="s">
        <v>163</v>
      </c>
      <c r="G28" s="24"/>
      <c r="H28" s="261"/>
      <c r="I28" s="24"/>
      <c r="J28" s="23">
        <v>150000</v>
      </c>
      <c r="K28" s="26"/>
      <c r="L28" s="23">
        <v>400000</v>
      </c>
      <c r="M28" s="26"/>
      <c r="N28" s="23">
        <v>400000</v>
      </c>
      <c r="O28" s="26"/>
      <c r="P28" s="23"/>
      <c r="Q28" s="243"/>
      <c r="R28" s="23"/>
      <c r="S28" s="257"/>
      <c r="T28" s="23"/>
    </row>
    <row r="29" spans="1:20" ht="16.5" thickBot="1">
      <c r="A29" s="107" t="s">
        <v>538</v>
      </c>
      <c r="B29" s="24"/>
      <c r="C29" s="373" t="s">
        <v>163</v>
      </c>
      <c r="D29" s="373" t="s">
        <v>163</v>
      </c>
      <c r="E29" s="373" t="s">
        <v>163</v>
      </c>
      <c r="F29" s="373" t="s">
        <v>163</v>
      </c>
      <c r="G29" s="24"/>
      <c r="H29" s="261"/>
      <c r="I29" s="24"/>
      <c r="J29" s="23">
        <v>0</v>
      </c>
      <c r="K29" s="26"/>
      <c r="L29" s="23">
        <v>156119.03999999998</v>
      </c>
      <c r="M29" s="26"/>
      <c r="N29" s="23">
        <v>218845.44</v>
      </c>
      <c r="O29" s="26"/>
      <c r="P29" s="23">
        <v>280874.88</v>
      </c>
      <c r="Q29" s="243"/>
      <c r="R29" s="23">
        <v>351267.83999999997</v>
      </c>
      <c r="S29" s="257"/>
      <c r="T29" s="23">
        <v>351267.83999999997</v>
      </c>
    </row>
    <row r="30" spans="1:20" ht="16.5" thickBot="1">
      <c r="A30" s="107" t="s">
        <v>539</v>
      </c>
      <c r="B30" s="24"/>
      <c r="C30" s="373" t="s">
        <v>163</v>
      </c>
      <c r="D30" s="373" t="s">
        <v>163</v>
      </c>
      <c r="E30" s="373" t="s">
        <v>163</v>
      </c>
      <c r="F30" s="373" t="s">
        <v>163</v>
      </c>
      <c r="G30" s="24"/>
      <c r="H30" s="261" t="s">
        <v>541</v>
      </c>
      <c r="I30" s="24"/>
      <c r="J30" s="23">
        <v>0</v>
      </c>
      <c r="K30" s="26"/>
      <c r="L30" s="23">
        <v>52039.68</v>
      </c>
      <c r="M30" s="26"/>
      <c r="N30" s="23">
        <v>72948.48000000001</v>
      </c>
      <c r="O30" s="26"/>
      <c r="P30" s="23">
        <v>93624.96</v>
      </c>
      <c r="Q30" s="243"/>
      <c r="R30" s="23">
        <v>117089.28000000001</v>
      </c>
      <c r="S30" s="257"/>
      <c r="T30" s="23">
        <v>117089.28000000001</v>
      </c>
    </row>
    <row r="31" spans="1:20" ht="16.5" thickBot="1">
      <c r="A31" s="107" t="s">
        <v>540</v>
      </c>
      <c r="B31" s="28"/>
      <c r="C31" s="373" t="s">
        <v>163</v>
      </c>
      <c r="D31" s="373" t="s">
        <v>163</v>
      </c>
      <c r="E31" s="373" t="s">
        <v>163</v>
      </c>
      <c r="F31" s="373" t="s">
        <v>163</v>
      </c>
      <c r="G31" s="28"/>
      <c r="H31" s="261" t="s">
        <v>542</v>
      </c>
      <c r="I31" s="28"/>
      <c r="J31" s="23">
        <v>0</v>
      </c>
      <c r="K31" s="26"/>
      <c r="L31" s="23">
        <v>6000</v>
      </c>
      <c r="M31" s="26"/>
      <c r="N31" s="23">
        <v>6000</v>
      </c>
      <c r="O31" s="26"/>
      <c r="P31" s="23">
        <v>6000</v>
      </c>
      <c r="Q31" s="243"/>
      <c r="R31" s="23">
        <v>6000</v>
      </c>
      <c r="S31" s="258"/>
      <c r="T31" s="23">
        <v>6000</v>
      </c>
    </row>
    <row r="32" spans="1:20" ht="16.5" thickBot="1">
      <c r="A32" s="107" t="s">
        <v>723</v>
      </c>
      <c r="B32" s="28"/>
      <c r="C32" s="373" t="s">
        <v>163</v>
      </c>
      <c r="D32" s="373" t="s">
        <v>163</v>
      </c>
      <c r="E32" s="373" t="s">
        <v>163</v>
      </c>
      <c r="F32" s="373" t="s">
        <v>163</v>
      </c>
      <c r="G32" s="28"/>
      <c r="H32" s="261"/>
      <c r="I32" s="28"/>
      <c r="J32" s="23">
        <v>415000</v>
      </c>
      <c r="K32" s="26"/>
      <c r="L32" s="23">
        <v>285000</v>
      </c>
      <c r="M32" s="26"/>
      <c r="N32" s="23">
        <v>420000</v>
      </c>
      <c r="O32" s="26"/>
      <c r="P32" s="23">
        <v>585000</v>
      </c>
      <c r="Q32" s="243"/>
      <c r="R32" s="23">
        <v>695000</v>
      </c>
      <c r="S32" s="258"/>
      <c r="T32" s="23">
        <v>795000</v>
      </c>
    </row>
    <row r="33" spans="1:20" ht="16.5" thickBot="1">
      <c r="A33" s="107"/>
      <c r="B33" s="28"/>
      <c r="C33" s="373" t="s">
        <v>163</v>
      </c>
      <c r="D33" s="373" t="s">
        <v>163</v>
      </c>
      <c r="E33" s="373" t="s">
        <v>163</v>
      </c>
      <c r="F33" s="373" t="s">
        <v>163</v>
      </c>
      <c r="G33" s="28"/>
      <c r="H33" s="261"/>
      <c r="I33" s="28"/>
      <c r="J33" s="23"/>
      <c r="K33" s="26"/>
      <c r="L33" s="23"/>
      <c r="M33" s="26"/>
      <c r="N33" s="23"/>
      <c r="O33" s="26"/>
      <c r="P33" s="23"/>
      <c r="Q33" s="244"/>
      <c r="R33" s="23"/>
      <c r="S33" s="257"/>
      <c r="T33" s="23"/>
    </row>
    <row r="34" spans="1:20" ht="16.5" thickBot="1">
      <c r="A34" s="22"/>
      <c r="B34" s="24"/>
      <c r="C34" s="210"/>
      <c r="D34" s="210"/>
      <c r="E34" s="210"/>
      <c r="F34" s="210"/>
      <c r="G34" s="24"/>
      <c r="H34" s="200"/>
      <c r="I34" s="24"/>
      <c r="J34" s="30"/>
      <c r="K34" s="30"/>
      <c r="L34" s="30"/>
      <c r="M34" s="30"/>
      <c r="N34" s="30"/>
      <c r="O34" s="30"/>
      <c r="P34" s="31"/>
      <c r="Q34" s="245"/>
      <c r="R34" s="32"/>
      <c r="S34" s="257"/>
      <c r="T34" s="32"/>
    </row>
    <row r="35" spans="2:20" ht="16.5" thickBot="1">
      <c r="B35" s="33"/>
      <c r="C35" s="212"/>
      <c r="D35" s="212"/>
      <c r="E35" s="212"/>
      <c r="F35" s="212"/>
      <c r="G35" s="33"/>
      <c r="H35" s="283" t="s">
        <v>21</v>
      </c>
      <c r="I35" s="33"/>
      <c r="J35" s="366">
        <f>SUM(J10:J33)</f>
        <v>565000</v>
      </c>
      <c r="K35" s="269"/>
      <c r="L35" s="366">
        <f>SUM(L10:L33)</f>
        <v>2925540.36</v>
      </c>
      <c r="M35" s="269"/>
      <c r="N35" s="366">
        <f>SUM(N10:N33)</f>
        <v>3854620.16</v>
      </c>
      <c r="O35" s="269"/>
      <c r="P35" s="366">
        <f>SUM(P10:P33)</f>
        <v>4515136.859999999</v>
      </c>
      <c r="Q35" s="270"/>
      <c r="R35" s="366">
        <f>SUM(R10:R33)</f>
        <v>5529182.0248</v>
      </c>
      <c r="S35" s="271"/>
      <c r="T35" s="367">
        <f>SUM(T10:T33)</f>
        <v>5618545.796096</v>
      </c>
    </row>
    <row r="36" spans="1:20" ht="16.5" thickBot="1">
      <c r="A36" s="27"/>
      <c r="B36" s="28"/>
      <c r="C36" s="211"/>
      <c r="D36" s="211"/>
      <c r="E36" s="211"/>
      <c r="F36" s="211"/>
      <c r="G36" s="28"/>
      <c r="H36" s="200"/>
      <c r="I36" s="28"/>
      <c r="J36" s="26"/>
      <c r="K36" s="26"/>
      <c r="L36" s="26"/>
      <c r="M36" s="26"/>
      <c r="N36" s="26"/>
      <c r="O36" s="26"/>
      <c r="P36" s="26"/>
      <c r="Q36" s="246"/>
      <c r="R36" s="34"/>
      <c r="S36" s="258"/>
      <c r="T36" s="34"/>
    </row>
    <row r="37" spans="1:20" ht="18" customHeight="1">
      <c r="A37" s="204" t="s">
        <v>20</v>
      </c>
      <c r="B37" s="28"/>
      <c r="C37" s="1015" t="s">
        <v>162</v>
      </c>
      <c r="D37" s="1018" t="s">
        <v>164</v>
      </c>
      <c r="E37" s="1021" t="s">
        <v>180</v>
      </c>
      <c r="F37" s="1021" t="s">
        <v>179</v>
      </c>
      <c r="G37" s="28"/>
      <c r="H37" s="1024" t="s">
        <v>166</v>
      </c>
      <c r="I37" s="28"/>
      <c r="J37" s="26"/>
      <c r="K37" s="26"/>
      <c r="L37" s="26"/>
      <c r="M37" s="26"/>
      <c r="N37" s="26"/>
      <c r="O37" s="26"/>
      <c r="P37" s="26"/>
      <c r="Q37" s="246"/>
      <c r="R37" s="34"/>
      <c r="S37" s="257"/>
      <c r="T37" s="34"/>
    </row>
    <row r="38" spans="1:20" ht="32.25" customHeight="1" thickBot="1">
      <c r="A38" s="22"/>
      <c r="B38" s="24"/>
      <c r="C38" s="1016"/>
      <c r="D38" s="1019"/>
      <c r="E38" s="1022"/>
      <c r="F38" s="1022"/>
      <c r="G38" s="24"/>
      <c r="H38" s="1025"/>
      <c r="I38" s="24"/>
      <c r="J38" s="36"/>
      <c r="K38" s="36"/>
      <c r="L38" s="36"/>
      <c r="M38" s="36"/>
      <c r="N38" s="36"/>
      <c r="O38" s="36"/>
      <c r="P38" s="36"/>
      <c r="Q38" s="247"/>
      <c r="R38" s="36"/>
      <c r="S38" s="257"/>
      <c r="T38" s="36"/>
    </row>
    <row r="39" spans="1:20" ht="18.75" thickBot="1">
      <c r="A39" s="201" t="s">
        <v>3</v>
      </c>
      <c r="B39" s="38"/>
      <c r="C39" s="1017"/>
      <c r="D39" s="1020"/>
      <c r="E39" s="1023"/>
      <c r="F39" s="1023"/>
      <c r="G39" s="38"/>
      <c r="H39" s="1026"/>
      <c r="I39" s="38"/>
      <c r="J39" s="37"/>
      <c r="K39" s="39"/>
      <c r="L39" s="37"/>
      <c r="M39" s="39"/>
      <c r="N39" s="37"/>
      <c r="O39" s="39"/>
      <c r="P39" s="37"/>
      <c r="Q39" s="248"/>
      <c r="R39" s="32"/>
      <c r="S39" s="257"/>
      <c r="T39" s="32"/>
    </row>
    <row r="40" spans="1:20" ht="16.5" thickBot="1">
      <c r="A40" s="517" t="s">
        <v>226</v>
      </c>
      <c r="B40" s="42"/>
      <c r="C40" s="504" t="s">
        <v>137</v>
      </c>
      <c r="D40" s="308">
        <v>100</v>
      </c>
      <c r="E40" s="373" t="s">
        <v>163</v>
      </c>
      <c r="F40" s="263"/>
      <c r="G40" s="42"/>
      <c r="H40" s="261" t="s">
        <v>543</v>
      </c>
      <c r="I40" s="42"/>
      <c r="J40" s="41"/>
      <c r="K40" s="43"/>
      <c r="L40" s="51">
        <f>IF($C40="Per Employee",$L$175*$D40,IF($C40="Per Pupil",$D40*$L$177,IF($C40="Fixed Per Year",$D40,0)))</f>
        <v>22400</v>
      </c>
      <c r="M40" s="43"/>
      <c r="N40" s="51">
        <f>IF($C40="Per Employee",$N$175*$D40,IF($C40="Per Pupil",$D40*$N$177,IF($C40="Fixed Per Year",$D40)))*(1+$F40)^1</f>
        <v>31200</v>
      </c>
      <c r="O40" s="43"/>
      <c r="P40" s="51">
        <f>IF($C40="Per Employee",$P$175*$D40,IF($C40="Per Pupil",$D40*$P$177,IF($C40="Fixed Per Year",$D40)))*(1+$F40)^2</f>
        <v>40400</v>
      </c>
      <c r="Q40" s="249"/>
      <c r="R40" s="51">
        <f>IF($C40="Per Employee",$R$175*$D40,IF($C40="Per Pupil",$D40*$R$177,IF($C40="Fixed Per Year",$D40)))*(1+$F40)^3</f>
        <v>50400</v>
      </c>
      <c r="S40" s="257"/>
      <c r="T40" s="51">
        <f>IF($C40="Per Employee",$T$175*$D40,IF($C40="Per Pupil",$D40*$T$177,IF($C40="Fixed Per Year",$D40)))*(1+$F40)^4</f>
        <v>50400</v>
      </c>
    </row>
    <row r="41" spans="1:20" ht="16.5" thickBot="1">
      <c r="A41" s="516" t="s">
        <v>227</v>
      </c>
      <c r="B41" s="42"/>
      <c r="C41" s="504" t="s">
        <v>137</v>
      </c>
      <c r="D41" s="308">
        <v>80</v>
      </c>
      <c r="E41" s="373" t="s">
        <v>163</v>
      </c>
      <c r="F41" s="263"/>
      <c r="G41" s="42"/>
      <c r="H41" s="261" t="s">
        <v>544</v>
      </c>
      <c r="I41" s="42"/>
      <c r="J41" s="41"/>
      <c r="K41" s="43"/>
      <c r="L41" s="51">
        <f aca="true" t="shared" si="0" ref="L41:L62">IF($C41="Per Employee",$L$175*$D41,IF($C41="Per Pupil",$D41*$L$177,IF($C41="Fixed Per Year",$D41,0)))</f>
        <v>17920</v>
      </c>
      <c r="M41" s="43"/>
      <c r="N41" s="51">
        <f aca="true" t="shared" si="1" ref="N41:N62">IF($C41="Per Employee",$N$175*$D41,IF($C41="Per Pupil",$D41*$N$177,IF($C41="Fixed Per Year",$D41)))*(1+$F41)^1</f>
        <v>24960</v>
      </c>
      <c r="O41" s="43"/>
      <c r="P41" s="51">
        <f aca="true" t="shared" si="2" ref="P41:P62">IF($C41="Per Employee",$P$175*$D41,IF($C41="Per Pupil",$D41*$P$177,IF($C41="Fixed Per Year",$D41)))*(1+$F41)^2</f>
        <v>32320</v>
      </c>
      <c r="Q41" s="249"/>
      <c r="R41" s="51">
        <f aca="true" t="shared" si="3" ref="R41:R62">IF($C41="Per Employee",$R$175*$D41,IF($C41="Per Pupil",$D41*$R$177,IF($C41="Fixed Per Year",$D41)))*(1+$F41)^3</f>
        <v>40320</v>
      </c>
      <c r="S41" s="257"/>
      <c r="T41" s="51">
        <f aca="true" t="shared" si="4" ref="T41:T62">IF($C41="Per Employee",$T$175*$D41,IF($C41="Per Pupil",$D41*$T$177,IF($C41="Fixed Per Year",$D41)))*(1+$F41)^4</f>
        <v>40320</v>
      </c>
    </row>
    <row r="42" spans="1:20" ht="16.5" thickBot="1">
      <c r="A42" s="516" t="s">
        <v>174</v>
      </c>
      <c r="B42" s="42"/>
      <c r="C42" s="504" t="s">
        <v>137</v>
      </c>
      <c r="D42" s="308">
        <v>20</v>
      </c>
      <c r="E42" s="373" t="s">
        <v>163</v>
      </c>
      <c r="F42" s="263"/>
      <c r="G42" s="42"/>
      <c r="H42" s="261" t="s">
        <v>545</v>
      </c>
      <c r="I42" s="42"/>
      <c r="J42" s="41"/>
      <c r="K42" s="43"/>
      <c r="L42" s="51">
        <f t="shared" si="0"/>
        <v>4480</v>
      </c>
      <c r="M42" s="43"/>
      <c r="N42" s="51">
        <f t="shared" si="1"/>
        <v>6240</v>
      </c>
      <c r="O42" s="43"/>
      <c r="P42" s="51">
        <f t="shared" si="2"/>
        <v>8080</v>
      </c>
      <c r="Q42" s="249"/>
      <c r="R42" s="51">
        <f t="shared" si="3"/>
        <v>10080</v>
      </c>
      <c r="S42" s="257"/>
      <c r="T42" s="51">
        <f t="shared" si="4"/>
        <v>10080</v>
      </c>
    </row>
    <row r="43" spans="1:20" ht="16.5" thickBot="1">
      <c r="A43" s="516" t="s">
        <v>6</v>
      </c>
      <c r="B43" s="42"/>
      <c r="C43" s="504" t="s">
        <v>165</v>
      </c>
      <c r="D43" s="308">
        <v>2000</v>
      </c>
      <c r="E43" s="373" t="s">
        <v>163</v>
      </c>
      <c r="F43" s="263"/>
      <c r="G43" s="42"/>
      <c r="H43" s="261" t="s">
        <v>579</v>
      </c>
      <c r="I43" s="42"/>
      <c r="J43" s="41">
        <v>10000</v>
      </c>
      <c r="K43" s="43"/>
      <c r="L43" s="51">
        <f t="shared" si="0"/>
        <v>2000</v>
      </c>
      <c r="M43" s="43"/>
      <c r="N43" s="51">
        <f t="shared" si="1"/>
        <v>2000</v>
      </c>
      <c r="O43" s="43"/>
      <c r="P43" s="51">
        <f t="shared" si="2"/>
        <v>2000</v>
      </c>
      <c r="Q43" s="249"/>
      <c r="R43" s="51">
        <f t="shared" si="3"/>
        <v>2000</v>
      </c>
      <c r="S43" s="257"/>
      <c r="T43" s="51">
        <f t="shared" si="4"/>
        <v>2000</v>
      </c>
    </row>
    <row r="44" spans="1:20" ht="16.5" thickBot="1">
      <c r="A44" s="516" t="s">
        <v>175</v>
      </c>
      <c r="B44" s="42"/>
      <c r="C44" s="504" t="s">
        <v>137</v>
      </c>
      <c r="D44" s="308">
        <v>0</v>
      </c>
      <c r="E44" s="373" t="s">
        <v>163</v>
      </c>
      <c r="F44" s="263"/>
      <c r="G44" s="42"/>
      <c r="H44" s="261" t="s">
        <v>546</v>
      </c>
      <c r="I44" s="42"/>
      <c r="J44" s="41"/>
      <c r="K44" s="43"/>
      <c r="L44" s="51">
        <f t="shared" si="0"/>
        <v>0</v>
      </c>
      <c r="M44" s="43"/>
      <c r="N44" s="51">
        <f t="shared" si="1"/>
        <v>0</v>
      </c>
      <c r="O44" s="43"/>
      <c r="P44" s="51">
        <f t="shared" si="2"/>
        <v>0</v>
      </c>
      <c r="Q44" s="249"/>
      <c r="R44" s="51">
        <f t="shared" si="3"/>
        <v>0</v>
      </c>
      <c r="S44" s="257"/>
      <c r="T44" s="51">
        <f t="shared" si="4"/>
        <v>0</v>
      </c>
    </row>
    <row r="45" spans="1:20" ht="16.5" thickBot="1">
      <c r="A45" s="516" t="s">
        <v>176</v>
      </c>
      <c r="B45" s="42"/>
      <c r="C45" s="504"/>
      <c r="D45" s="308"/>
      <c r="E45" s="373" t="s">
        <v>163</v>
      </c>
      <c r="F45" s="263"/>
      <c r="G45" s="42"/>
      <c r="H45" s="261" t="s">
        <v>547</v>
      </c>
      <c r="I45" s="42"/>
      <c r="J45" s="41"/>
      <c r="K45" s="43"/>
      <c r="L45" s="51">
        <v>15000</v>
      </c>
      <c r="M45" s="43"/>
      <c r="N45" s="51">
        <f t="shared" si="1"/>
        <v>0</v>
      </c>
      <c r="O45" s="43"/>
      <c r="P45" s="51">
        <f t="shared" si="2"/>
        <v>0</v>
      </c>
      <c r="Q45" s="249"/>
      <c r="R45" s="51">
        <f t="shared" si="3"/>
        <v>0</v>
      </c>
      <c r="S45" s="257"/>
      <c r="T45" s="51">
        <f t="shared" si="4"/>
        <v>0</v>
      </c>
    </row>
    <row r="46" spans="1:20" ht="16.5" thickBot="1">
      <c r="A46" s="516" t="s">
        <v>177</v>
      </c>
      <c r="B46" s="42"/>
      <c r="C46" s="504"/>
      <c r="D46" s="308"/>
      <c r="E46" s="373" t="s">
        <v>163</v>
      </c>
      <c r="F46" s="263"/>
      <c r="G46" s="42"/>
      <c r="H46" s="261" t="s">
        <v>548</v>
      </c>
      <c r="I46" s="42"/>
      <c r="J46" s="41"/>
      <c r="K46" s="43"/>
      <c r="L46" s="51">
        <v>22800</v>
      </c>
      <c r="M46" s="43"/>
      <c r="N46" s="51">
        <v>18300</v>
      </c>
      <c r="O46" s="43"/>
      <c r="P46" s="51">
        <v>7800</v>
      </c>
      <c r="Q46" s="249"/>
      <c r="R46" s="51">
        <v>8100</v>
      </c>
      <c r="S46" s="257"/>
      <c r="T46" s="51">
        <v>5550</v>
      </c>
    </row>
    <row r="47" spans="1:20" ht="16.5" thickBot="1">
      <c r="A47" s="516" t="s">
        <v>182</v>
      </c>
      <c r="B47" s="42"/>
      <c r="C47" s="504"/>
      <c r="D47" s="308"/>
      <c r="E47" s="373" t="s">
        <v>163</v>
      </c>
      <c r="F47" s="263"/>
      <c r="G47" s="42"/>
      <c r="H47" s="261"/>
      <c r="I47" s="42"/>
      <c r="J47" s="41"/>
      <c r="K47" s="43"/>
      <c r="L47" s="51">
        <f t="shared" si="0"/>
        <v>0</v>
      </c>
      <c r="M47" s="43"/>
      <c r="N47" s="51">
        <f t="shared" si="1"/>
        <v>0</v>
      </c>
      <c r="O47" s="43"/>
      <c r="P47" s="51">
        <f t="shared" si="2"/>
        <v>0</v>
      </c>
      <c r="Q47" s="249"/>
      <c r="R47" s="51">
        <f t="shared" si="3"/>
        <v>0</v>
      </c>
      <c r="S47" s="257"/>
      <c r="T47" s="51">
        <f t="shared" si="4"/>
        <v>0</v>
      </c>
    </row>
    <row r="48" spans="1:20" ht="16.5" thickBot="1">
      <c r="A48" s="516" t="s">
        <v>178</v>
      </c>
      <c r="B48" s="42"/>
      <c r="C48" s="504"/>
      <c r="D48" s="308"/>
      <c r="E48" s="373" t="s">
        <v>163</v>
      </c>
      <c r="F48" s="263"/>
      <c r="G48" s="42"/>
      <c r="H48" s="261"/>
      <c r="I48" s="42"/>
      <c r="J48" s="41"/>
      <c r="K48" s="43"/>
      <c r="L48" s="51">
        <f t="shared" si="0"/>
        <v>0</v>
      </c>
      <c r="M48" s="43"/>
      <c r="N48" s="51">
        <f t="shared" si="1"/>
        <v>0</v>
      </c>
      <c r="O48" s="43"/>
      <c r="P48" s="51">
        <f t="shared" si="2"/>
        <v>0</v>
      </c>
      <c r="Q48" s="249"/>
      <c r="R48" s="51">
        <f t="shared" si="3"/>
        <v>0</v>
      </c>
      <c r="S48" s="257"/>
      <c r="T48" s="51">
        <f t="shared" si="4"/>
        <v>0</v>
      </c>
    </row>
    <row r="49" spans="1:20" ht="16.5" thickBot="1">
      <c r="A49" s="516" t="s">
        <v>228</v>
      </c>
      <c r="B49" s="42"/>
      <c r="C49" s="504"/>
      <c r="D49" s="308"/>
      <c r="E49" s="373" t="s">
        <v>163</v>
      </c>
      <c r="F49" s="263"/>
      <c r="G49" s="42"/>
      <c r="H49" s="261"/>
      <c r="I49" s="42"/>
      <c r="J49" s="41"/>
      <c r="K49" s="43"/>
      <c r="L49" s="51">
        <f t="shared" si="0"/>
        <v>0</v>
      </c>
      <c r="M49" s="43"/>
      <c r="N49" s="51">
        <f t="shared" si="1"/>
        <v>0</v>
      </c>
      <c r="O49" s="43"/>
      <c r="P49" s="51">
        <f t="shared" si="2"/>
        <v>0</v>
      </c>
      <c r="Q49" s="249"/>
      <c r="R49" s="51">
        <f t="shared" si="3"/>
        <v>0</v>
      </c>
      <c r="S49" s="257"/>
      <c r="T49" s="51">
        <f t="shared" si="4"/>
        <v>0</v>
      </c>
    </row>
    <row r="50" spans="1:20" ht="16.5" thickBot="1">
      <c r="A50" s="516" t="s">
        <v>181</v>
      </c>
      <c r="B50" s="42"/>
      <c r="C50" s="504"/>
      <c r="D50" s="308"/>
      <c r="E50" s="373" t="s">
        <v>163</v>
      </c>
      <c r="F50" s="263"/>
      <c r="G50" s="42"/>
      <c r="H50" s="261"/>
      <c r="I50" s="42"/>
      <c r="J50" s="41"/>
      <c r="K50" s="43"/>
      <c r="L50" s="51">
        <f t="shared" si="0"/>
        <v>0</v>
      </c>
      <c r="M50" s="43"/>
      <c r="N50" s="51">
        <f t="shared" si="1"/>
        <v>0</v>
      </c>
      <c r="O50" s="43"/>
      <c r="P50" s="51">
        <f t="shared" si="2"/>
        <v>0</v>
      </c>
      <c r="Q50" s="249"/>
      <c r="R50" s="51">
        <f t="shared" si="3"/>
        <v>0</v>
      </c>
      <c r="S50" s="257"/>
      <c r="T50" s="51">
        <f t="shared" si="4"/>
        <v>0</v>
      </c>
    </row>
    <row r="51" spans="1:20" ht="34.5" customHeight="1" hidden="1" thickBot="1">
      <c r="A51" s="518" t="s">
        <v>346</v>
      </c>
      <c r="B51" s="42"/>
      <c r="C51" s="375" t="s">
        <v>163</v>
      </c>
      <c r="D51" s="459" t="s">
        <v>163</v>
      </c>
      <c r="E51" s="373" t="s">
        <v>163</v>
      </c>
      <c r="F51" s="468" t="s">
        <v>163</v>
      </c>
      <c r="G51" s="42"/>
      <c r="H51" s="261"/>
      <c r="I51" s="42"/>
      <c r="J51" s="590">
        <v>0</v>
      </c>
      <c r="K51" s="43"/>
      <c r="L51" s="233">
        <f>'Contractual Clinicians'!C31</f>
        <v>0</v>
      </c>
      <c r="M51" s="43"/>
      <c r="N51" s="233">
        <f>'Contractual Clinicians'!D31</f>
        <v>0</v>
      </c>
      <c r="O51" s="43"/>
      <c r="P51" s="233">
        <f>'Contractual Clinicians'!E31</f>
        <v>0</v>
      </c>
      <c r="Q51" s="249"/>
      <c r="R51" s="233">
        <f>'Contractual Clinicians'!F31</f>
        <v>0</v>
      </c>
      <c r="S51" s="257"/>
      <c r="T51" s="233">
        <f>'Contractual Clinicians'!G31</f>
        <v>0</v>
      </c>
    </row>
    <row r="52" spans="1:20" ht="16.5" thickBot="1">
      <c r="A52" s="518" t="s">
        <v>118</v>
      </c>
      <c r="B52" s="42"/>
      <c r="C52" s="504"/>
      <c r="D52" s="308"/>
      <c r="E52" s="373" t="s">
        <v>163</v>
      </c>
      <c r="F52" s="263"/>
      <c r="G52" s="42"/>
      <c r="H52" s="261"/>
      <c r="I52" s="42"/>
      <c r="J52" s="41"/>
      <c r="K52" s="43"/>
      <c r="L52" s="51">
        <f t="shared" si="0"/>
        <v>0</v>
      </c>
      <c r="M52" s="43"/>
      <c r="N52" s="51">
        <f t="shared" si="1"/>
        <v>0</v>
      </c>
      <c r="O52" s="43"/>
      <c r="P52" s="51">
        <f t="shared" si="2"/>
        <v>0</v>
      </c>
      <c r="Q52" s="249"/>
      <c r="R52" s="51">
        <f t="shared" si="3"/>
        <v>0</v>
      </c>
      <c r="S52" s="257"/>
      <c r="T52" s="51">
        <f t="shared" si="4"/>
        <v>0</v>
      </c>
    </row>
    <row r="53" spans="1:20" ht="16.5" thickBot="1">
      <c r="A53" s="516" t="s">
        <v>319</v>
      </c>
      <c r="B53" s="42"/>
      <c r="C53" s="504"/>
      <c r="D53" s="309"/>
      <c r="E53" s="373" t="s">
        <v>163</v>
      </c>
      <c r="F53" s="263"/>
      <c r="G53" s="42"/>
      <c r="H53" s="261"/>
      <c r="I53" s="42"/>
      <c r="J53" s="41"/>
      <c r="K53" s="43"/>
      <c r="L53" s="51">
        <f t="shared" si="0"/>
        <v>0</v>
      </c>
      <c r="M53" s="43"/>
      <c r="N53" s="51">
        <f t="shared" si="1"/>
        <v>0</v>
      </c>
      <c r="O53" s="43"/>
      <c r="P53" s="51">
        <f t="shared" si="2"/>
        <v>0</v>
      </c>
      <c r="Q53" s="249"/>
      <c r="R53" s="51">
        <f t="shared" si="3"/>
        <v>0</v>
      </c>
      <c r="S53" s="257"/>
      <c r="T53" s="51">
        <f t="shared" si="4"/>
        <v>0</v>
      </c>
    </row>
    <row r="54" spans="1:20" ht="16.5" thickBot="1">
      <c r="A54" s="889" t="s">
        <v>505</v>
      </c>
      <c r="B54" s="42"/>
      <c r="C54" s="504"/>
      <c r="D54" s="309"/>
      <c r="E54" s="373" t="s">
        <v>163</v>
      </c>
      <c r="F54" s="263"/>
      <c r="G54" s="42"/>
      <c r="H54" s="261"/>
      <c r="I54" s="42"/>
      <c r="J54" s="41"/>
      <c r="K54" s="43"/>
      <c r="L54" s="51">
        <f t="shared" si="0"/>
        <v>0</v>
      </c>
      <c r="M54" s="43"/>
      <c r="N54" s="51">
        <f t="shared" si="1"/>
        <v>0</v>
      </c>
      <c r="O54" s="43"/>
      <c r="P54" s="51">
        <f t="shared" si="2"/>
        <v>0</v>
      </c>
      <c r="Q54" s="249"/>
      <c r="R54" s="51">
        <f t="shared" si="3"/>
        <v>0</v>
      </c>
      <c r="S54" s="257"/>
      <c r="T54" s="51">
        <f t="shared" si="4"/>
        <v>0</v>
      </c>
    </row>
    <row r="55" spans="1:20" ht="16.5" thickBot="1">
      <c r="A55" s="193" t="s">
        <v>549</v>
      </c>
      <c r="B55" s="42"/>
      <c r="C55" s="504" t="s">
        <v>137</v>
      </c>
      <c r="D55" s="309">
        <v>100</v>
      </c>
      <c r="E55" s="373" t="s">
        <v>163</v>
      </c>
      <c r="F55" s="263"/>
      <c r="G55" s="42"/>
      <c r="H55" s="261" t="s">
        <v>552</v>
      </c>
      <c r="I55" s="42"/>
      <c r="J55" s="41"/>
      <c r="K55" s="43"/>
      <c r="L55" s="51">
        <f t="shared" si="0"/>
        <v>22400</v>
      </c>
      <c r="M55" s="43"/>
      <c r="N55" s="51">
        <f t="shared" si="1"/>
        <v>31200</v>
      </c>
      <c r="O55" s="43"/>
      <c r="P55" s="51">
        <f t="shared" si="2"/>
        <v>40400</v>
      </c>
      <c r="Q55" s="249"/>
      <c r="R55" s="51">
        <f t="shared" si="3"/>
        <v>50400</v>
      </c>
      <c r="S55" s="257"/>
      <c r="T55" s="51">
        <f t="shared" si="4"/>
        <v>50400</v>
      </c>
    </row>
    <row r="56" spans="1:20" ht="16.5" thickBot="1">
      <c r="A56" s="193" t="s">
        <v>550</v>
      </c>
      <c r="B56" s="42"/>
      <c r="C56" s="504"/>
      <c r="D56" s="309"/>
      <c r="E56" s="373" t="s">
        <v>163</v>
      </c>
      <c r="F56" s="263"/>
      <c r="G56" s="42"/>
      <c r="H56" s="261" t="s">
        <v>553</v>
      </c>
      <c r="I56" s="42"/>
      <c r="J56" s="41"/>
      <c r="K56" s="43"/>
      <c r="L56" s="51">
        <v>208854.71999999997</v>
      </c>
      <c r="M56" s="43"/>
      <c r="N56" s="51">
        <v>292489.92000000004</v>
      </c>
      <c r="O56" s="43"/>
      <c r="P56" s="51">
        <v>375195.84</v>
      </c>
      <c r="Q56" s="249"/>
      <c r="R56" s="51">
        <v>469053.12</v>
      </c>
      <c r="S56" s="257"/>
      <c r="T56" s="51">
        <v>469053.12</v>
      </c>
    </row>
    <row r="57" spans="1:20" ht="16.5" thickBot="1">
      <c r="A57" s="193" t="s">
        <v>551</v>
      </c>
      <c r="B57" s="42"/>
      <c r="C57" s="504"/>
      <c r="D57" s="309"/>
      <c r="E57" s="373" t="s">
        <v>163</v>
      </c>
      <c r="F57" s="263"/>
      <c r="G57" s="42"/>
      <c r="H57" s="261" t="s">
        <v>554</v>
      </c>
      <c r="I57" s="42"/>
      <c r="J57" s="41"/>
      <c r="K57" s="43"/>
      <c r="L57" s="51">
        <v>5360</v>
      </c>
      <c r="M57" s="43"/>
      <c r="N57" s="51">
        <v>8960</v>
      </c>
      <c r="O57" s="43"/>
      <c r="P57" s="51">
        <v>10160</v>
      </c>
      <c r="Q57" s="249"/>
      <c r="R57" s="51">
        <v>11360</v>
      </c>
      <c r="S57" s="257"/>
      <c r="T57" s="51">
        <v>11960</v>
      </c>
    </row>
    <row r="58" spans="1:20" ht="16.5" thickBot="1">
      <c r="A58" s="193" t="s">
        <v>540</v>
      </c>
      <c r="B58" s="42"/>
      <c r="C58" s="504" t="s">
        <v>165</v>
      </c>
      <c r="D58" s="309">
        <v>2000</v>
      </c>
      <c r="E58" s="373" t="s">
        <v>163</v>
      </c>
      <c r="F58" s="263"/>
      <c r="G58" s="42"/>
      <c r="H58" s="261" t="s">
        <v>555</v>
      </c>
      <c r="I58" s="42"/>
      <c r="J58" s="41"/>
      <c r="K58" s="43"/>
      <c r="L58" s="51">
        <f t="shared" si="0"/>
        <v>2000</v>
      </c>
      <c r="M58" s="43"/>
      <c r="N58" s="51">
        <f t="shared" si="1"/>
        <v>2000</v>
      </c>
      <c r="O58" s="43"/>
      <c r="P58" s="51">
        <f t="shared" si="2"/>
        <v>2000</v>
      </c>
      <c r="Q58" s="249"/>
      <c r="R58" s="51">
        <f t="shared" si="3"/>
        <v>2000</v>
      </c>
      <c r="S58" s="257"/>
      <c r="T58" s="51">
        <f t="shared" si="4"/>
        <v>2000</v>
      </c>
    </row>
    <row r="59" spans="1:20" ht="16.5" thickBot="1">
      <c r="A59" s="193" t="s">
        <v>724</v>
      </c>
      <c r="B59" s="42"/>
      <c r="C59" s="504"/>
      <c r="D59" s="309"/>
      <c r="E59" s="373" t="s">
        <v>163</v>
      </c>
      <c r="F59" s="263"/>
      <c r="G59" s="42"/>
      <c r="H59" s="261"/>
      <c r="I59" s="42"/>
      <c r="J59" s="41">
        <v>50000</v>
      </c>
      <c r="K59" s="43"/>
      <c r="L59" s="51">
        <f t="shared" si="0"/>
        <v>0</v>
      </c>
      <c r="M59" s="43"/>
      <c r="N59" s="51">
        <f t="shared" si="1"/>
        <v>0</v>
      </c>
      <c r="O59" s="43"/>
      <c r="P59" s="51">
        <f t="shared" si="2"/>
        <v>0</v>
      </c>
      <c r="Q59" s="249"/>
      <c r="R59" s="51">
        <f t="shared" si="3"/>
        <v>0</v>
      </c>
      <c r="S59" s="257"/>
      <c r="T59" s="51">
        <f t="shared" si="4"/>
        <v>0</v>
      </c>
    </row>
    <row r="60" spans="1:20" ht="16.5" thickBot="1">
      <c r="A60" s="193" t="s">
        <v>726</v>
      </c>
      <c r="B60" s="42"/>
      <c r="C60" s="504"/>
      <c r="D60" s="309"/>
      <c r="E60" s="373" t="s">
        <v>163</v>
      </c>
      <c r="F60" s="263"/>
      <c r="G60" s="42"/>
      <c r="H60" s="261"/>
      <c r="I60" s="42"/>
      <c r="J60" s="41">
        <v>0</v>
      </c>
      <c r="K60" s="43"/>
      <c r="L60" s="51">
        <v>24640</v>
      </c>
      <c r="M60" s="43"/>
      <c r="N60" s="51">
        <v>9900</v>
      </c>
      <c r="O60" s="43"/>
      <c r="P60" s="51">
        <v>9790</v>
      </c>
      <c r="Q60" s="249"/>
      <c r="R60" s="51">
        <v>11100</v>
      </c>
      <c r="S60" s="257"/>
      <c r="T60" s="51">
        <f t="shared" si="4"/>
        <v>0</v>
      </c>
    </row>
    <row r="61" spans="1:20" ht="16.5" thickBot="1">
      <c r="A61" s="193" t="s">
        <v>725</v>
      </c>
      <c r="B61" s="42"/>
      <c r="C61" s="504"/>
      <c r="D61" s="309"/>
      <c r="E61" s="373" t="s">
        <v>163</v>
      </c>
      <c r="F61" s="263"/>
      <c r="G61" s="42"/>
      <c r="H61" s="261"/>
      <c r="I61" s="42"/>
      <c r="J61" s="41">
        <v>2240</v>
      </c>
      <c r="K61" s="43"/>
      <c r="L61" s="51">
        <v>900</v>
      </c>
      <c r="M61" s="43"/>
      <c r="N61" s="51">
        <v>890</v>
      </c>
      <c r="O61" s="43"/>
      <c r="P61" s="51">
        <v>1010</v>
      </c>
      <c r="Q61" s="249"/>
      <c r="R61" s="51">
        <f t="shared" si="3"/>
        <v>0</v>
      </c>
      <c r="S61" s="257"/>
      <c r="T61" s="51">
        <f t="shared" si="4"/>
        <v>0</v>
      </c>
    </row>
    <row r="62" spans="1:20" ht="16.5" thickBot="1">
      <c r="A62" s="193"/>
      <c r="B62" s="42"/>
      <c r="C62" s="504"/>
      <c r="D62" s="309"/>
      <c r="E62" s="373" t="s">
        <v>163</v>
      </c>
      <c r="F62" s="263"/>
      <c r="G62" s="42"/>
      <c r="H62" s="261"/>
      <c r="I62" s="42"/>
      <c r="J62" s="41"/>
      <c r="K62" s="43"/>
      <c r="L62" s="51">
        <f t="shared" si="0"/>
        <v>0</v>
      </c>
      <c r="M62" s="43"/>
      <c r="N62" s="51">
        <f t="shared" si="1"/>
        <v>0</v>
      </c>
      <c r="O62" s="43"/>
      <c r="P62" s="51">
        <f t="shared" si="2"/>
        <v>0</v>
      </c>
      <c r="Q62" s="249"/>
      <c r="R62" s="51">
        <f t="shared" si="3"/>
        <v>0</v>
      </c>
      <c r="S62" s="257"/>
      <c r="T62" s="51">
        <f t="shared" si="4"/>
        <v>0</v>
      </c>
    </row>
    <row r="63" spans="1:20" ht="16.5" thickBot="1">
      <c r="A63" s="40"/>
      <c r="B63" s="42"/>
      <c r="C63" s="214"/>
      <c r="D63" s="214"/>
      <c r="E63" s="214"/>
      <c r="F63" s="214"/>
      <c r="G63" s="42"/>
      <c r="H63" s="200"/>
      <c r="I63" s="42"/>
      <c r="J63" s="47"/>
      <c r="K63" s="39"/>
      <c r="L63" s="47"/>
      <c r="M63" s="39"/>
      <c r="N63" s="47"/>
      <c r="O63" s="39"/>
      <c r="P63" s="47"/>
      <c r="Q63" s="248"/>
      <c r="R63" s="48"/>
      <c r="S63" s="257"/>
      <c r="T63" s="48"/>
    </row>
    <row r="64" spans="2:20" ht="16.5" thickBot="1">
      <c r="B64" s="38"/>
      <c r="C64" s="213"/>
      <c r="D64" s="213"/>
      <c r="E64" s="213"/>
      <c r="F64" s="213"/>
      <c r="G64" s="38"/>
      <c r="H64" s="202" t="s">
        <v>128</v>
      </c>
      <c r="I64" s="38"/>
      <c r="J64" s="368">
        <f>SUM(J40:J62)</f>
        <v>62240</v>
      </c>
      <c r="K64" s="272"/>
      <c r="L64" s="368">
        <f>SUM(L40:L62)</f>
        <v>348754.72</v>
      </c>
      <c r="M64" s="272"/>
      <c r="N64" s="368">
        <f>SUM(N40:N62)</f>
        <v>428139.92000000004</v>
      </c>
      <c r="O64" s="272"/>
      <c r="P64" s="368">
        <f>SUM(P40:P62)</f>
        <v>529155.8400000001</v>
      </c>
      <c r="Q64" s="273"/>
      <c r="R64" s="368">
        <f>SUM(R40:R62)</f>
        <v>654813.12</v>
      </c>
      <c r="S64" s="271"/>
      <c r="T64" s="368">
        <f>SUM(T40:T62)</f>
        <v>641763.12</v>
      </c>
    </row>
    <row r="65" spans="1:20" ht="15.75">
      <c r="A65" s="49"/>
      <c r="B65" s="50"/>
      <c r="C65" s="215"/>
      <c r="D65" s="215"/>
      <c r="E65" s="215"/>
      <c r="F65" s="215"/>
      <c r="G65" s="50"/>
      <c r="H65" s="200"/>
      <c r="I65" s="50"/>
      <c r="J65" s="44"/>
      <c r="K65" s="43"/>
      <c r="L65" s="44"/>
      <c r="M65" s="43"/>
      <c r="N65" s="44"/>
      <c r="O65" s="43"/>
      <c r="P65" s="44"/>
      <c r="Q65" s="249"/>
      <c r="R65" s="34"/>
      <c r="S65" s="258"/>
      <c r="T65" s="34"/>
    </row>
    <row r="66" spans="1:20" ht="15.75">
      <c r="A66" s="49"/>
      <c r="B66" s="50"/>
      <c r="C66" s="215"/>
      <c r="D66" s="215"/>
      <c r="E66" s="215"/>
      <c r="F66" s="215"/>
      <c r="G66" s="50"/>
      <c r="H66" s="200"/>
      <c r="I66" s="50"/>
      <c r="J66" s="44"/>
      <c r="K66" s="43"/>
      <c r="L66" s="44"/>
      <c r="M66" s="43"/>
      <c r="N66" s="44"/>
      <c r="O66" s="43"/>
      <c r="P66" s="44"/>
      <c r="Q66" s="249"/>
      <c r="R66" s="34"/>
      <c r="S66" s="258"/>
      <c r="T66" s="34"/>
    </row>
    <row r="67" spans="1:20" ht="16.5" thickBot="1">
      <c r="A67" s="49"/>
      <c r="B67" s="50"/>
      <c r="C67" s="215"/>
      <c r="D67" s="215"/>
      <c r="E67" s="215"/>
      <c r="F67" s="215"/>
      <c r="G67" s="50"/>
      <c r="H67" s="200"/>
      <c r="I67" s="50"/>
      <c r="J67" s="44"/>
      <c r="K67" s="43"/>
      <c r="L67" s="44"/>
      <c r="M67" s="43"/>
      <c r="N67" s="44"/>
      <c r="O67" s="43"/>
      <c r="P67" s="44"/>
      <c r="Q67" s="249"/>
      <c r="R67" s="34"/>
      <c r="S67" s="258"/>
      <c r="T67" s="34"/>
    </row>
    <row r="68" spans="1:20" ht="18.75" thickBot="1">
      <c r="A68" s="201" t="s">
        <v>131</v>
      </c>
      <c r="B68" s="38"/>
      <c r="C68" s="213"/>
      <c r="D68" s="213"/>
      <c r="E68" s="213"/>
      <c r="F68" s="213"/>
      <c r="G68" s="38"/>
      <c r="H68" s="200"/>
      <c r="I68" s="38"/>
      <c r="J68" s="37"/>
      <c r="K68" s="39"/>
      <c r="L68" s="37"/>
      <c r="M68" s="39"/>
      <c r="N68" s="37"/>
      <c r="O68" s="235"/>
      <c r="P68" s="37"/>
      <c r="Q68" s="248"/>
      <c r="R68" s="32"/>
      <c r="S68" s="257"/>
      <c r="T68" s="32"/>
    </row>
    <row r="69" spans="1:20" ht="16.5" thickBot="1">
      <c r="A69" s="519" t="s">
        <v>7</v>
      </c>
      <c r="B69" s="52"/>
      <c r="C69" s="374" t="s">
        <v>163</v>
      </c>
      <c r="D69" s="375" t="s">
        <v>163</v>
      </c>
      <c r="E69" s="375" t="s">
        <v>163</v>
      </c>
      <c r="F69" s="375" t="s">
        <v>163</v>
      </c>
      <c r="G69" s="52"/>
      <c r="H69" s="262"/>
      <c r="I69" s="52"/>
      <c r="J69" s="233">
        <f>'Salaries - Year O'!D26</f>
        <v>77500</v>
      </c>
      <c r="K69" s="43"/>
      <c r="L69" s="233">
        <f>'Salaries - Year 1'!B68</f>
        <v>1095104</v>
      </c>
      <c r="M69" s="234"/>
      <c r="N69" s="233">
        <f>'Salaries - Year 2'!B68</f>
        <v>1436998</v>
      </c>
      <c r="O69" s="234"/>
      <c r="P69" s="233">
        <f>'Salaries - Year 3'!B68</f>
        <v>1719955.24</v>
      </c>
      <c r="Q69" s="249"/>
      <c r="R69" s="233">
        <f>'Salaries - Year 4'!B68</f>
        <v>1931343.1208000004</v>
      </c>
      <c r="S69" s="257"/>
      <c r="T69" s="233">
        <f>'Salaries - Year 5'!B68</f>
        <v>1969969.9832159998</v>
      </c>
    </row>
    <row r="70" spans="1:20" ht="16.5" thickBot="1">
      <c r="A70" s="521" t="s">
        <v>204</v>
      </c>
      <c r="B70" s="52"/>
      <c r="C70" s="374" t="s">
        <v>163</v>
      </c>
      <c r="D70" s="375" t="s">
        <v>163</v>
      </c>
      <c r="E70" s="375" t="s">
        <v>163</v>
      </c>
      <c r="F70" s="375" t="s">
        <v>163</v>
      </c>
      <c r="G70" s="52"/>
      <c r="H70" s="262"/>
      <c r="I70" s="52"/>
      <c r="J70" s="233">
        <v>0</v>
      </c>
      <c r="K70" s="43"/>
      <c r="L70" s="233">
        <f>'Salaries - Year 1'!F35</f>
        <v>75754.5264</v>
      </c>
      <c r="M70" s="234"/>
      <c r="N70" s="233">
        <f>'Salaries - Year 2'!F35</f>
        <v>110190.7152</v>
      </c>
      <c r="O70" s="234"/>
      <c r="P70" s="233">
        <f>'Salaries - Year 3'!F35</f>
        <v>137281.918752</v>
      </c>
      <c r="Q70" s="249"/>
      <c r="R70" s="233">
        <f>'Salaries - Year 4'!F35</f>
        <v>162682.22052864003</v>
      </c>
      <c r="S70" s="257"/>
      <c r="T70" s="233">
        <f>'Salaries - Year 5'!F35</f>
        <v>165935.86493921283</v>
      </c>
    </row>
    <row r="71" spans="1:20" ht="16.5" thickBot="1">
      <c r="A71" s="520" t="s">
        <v>205</v>
      </c>
      <c r="B71" s="52"/>
      <c r="C71" s="374" t="s">
        <v>163</v>
      </c>
      <c r="D71" s="375" t="s">
        <v>163</v>
      </c>
      <c r="E71" s="375" t="s">
        <v>163</v>
      </c>
      <c r="F71" s="375" t="s">
        <v>163</v>
      </c>
      <c r="G71" s="52"/>
      <c r="H71" s="262"/>
      <c r="I71" s="52"/>
      <c r="J71" s="233">
        <v>0</v>
      </c>
      <c r="K71" s="43"/>
      <c r="L71" s="233">
        <f>'Salaries - Year 1'!E35</f>
        <v>37940.2</v>
      </c>
      <c r="M71" s="234"/>
      <c r="N71" s="233">
        <f>'Salaries - Year 2'!E35</f>
        <v>53448.600000000006</v>
      </c>
      <c r="O71" s="234"/>
      <c r="P71" s="233">
        <f>'Salaries - Year 3'!E35</f>
        <v>67228.436</v>
      </c>
      <c r="Q71" s="249"/>
      <c r="R71" s="233">
        <f>'Salaries - Year 4'!E35</f>
        <v>78722.94352000003</v>
      </c>
      <c r="S71" s="257"/>
      <c r="T71" s="233">
        <f>'Salaries - Year 5'!E35</f>
        <v>80297.4023904</v>
      </c>
    </row>
    <row r="72" spans="1:20" ht="16.5" thickBot="1">
      <c r="A72" s="347" t="s">
        <v>120</v>
      </c>
      <c r="B72" s="52"/>
      <c r="C72" s="374" t="s">
        <v>163</v>
      </c>
      <c r="D72" s="375" t="s">
        <v>163</v>
      </c>
      <c r="E72" s="375" t="s">
        <v>163</v>
      </c>
      <c r="F72" s="375" t="s">
        <v>163</v>
      </c>
      <c r="G72" s="52"/>
      <c r="H72" s="262" t="s">
        <v>556</v>
      </c>
      <c r="I72" s="52"/>
      <c r="J72" s="51">
        <v>6038.8125</v>
      </c>
      <c r="K72" s="43"/>
      <c r="L72" s="460">
        <v>19571.739999999998</v>
      </c>
      <c r="M72" s="234"/>
      <c r="N72" s="460">
        <v>21314.45105</v>
      </c>
      <c r="O72" s="234"/>
      <c r="P72" s="460">
        <v>21842.016321000003</v>
      </c>
      <c r="Q72" s="249"/>
      <c r="R72" s="460">
        <v>21068.57864742</v>
      </c>
      <c r="S72" s="258"/>
      <c r="T72" s="460">
        <v>23092.922220368397</v>
      </c>
    </row>
    <row r="73" spans="1:20" ht="16.5" thickBot="1">
      <c r="A73" s="346" t="s">
        <v>121</v>
      </c>
      <c r="B73" s="52"/>
      <c r="C73" s="374" t="s">
        <v>163</v>
      </c>
      <c r="D73" s="375" t="s">
        <v>163</v>
      </c>
      <c r="E73" s="375" t="s">
        <v>163</v>
      </c>
      <c r="F73" s="375" t="s">
        <v>163</v>
      </c>
      <c r="G73" s="52"/>
      <c r="H73" s="262"/>
      <c r="I73" s="52"/>
      <c r="J73" s="233">
        <f>'Salaries - Year O'!D28</f>
        <v>4805</v>
      </c>
      <c r="K73" s="43"/>
      <c r="L73" s="233">
        <f>'Salaries - Year 1'!E63</f>
        <v>20850.6</v>
      </c>
      <c r="M73" s="234"/>
      <c r="N73" s="233">
        <f>'Salaries - Year 2'!E63</f>
        <v>22817.611999999997</v>
      </c>
      <c r="O73" s="234"/>
      <c r="P73" s="233">
        <f>'Salaries - Year 3'!E63</f>
        <v>23273.964239999998</v>
      </c>
      <c r="Q73" s="249"/>
      <c r="R73" s="233">
        <f>'Salaries - Year 4'!E63</f>
        <v>22126.8235248</v>
      </c>
      <c r="S73" s="257"/>
      <c r="T73" s="233">
        <f>'Salaries - Year 5'!E63</f>
        <v>22569.359995296</v>
      </c>
    </row>
    <row r="74" spans="1:20" ht="16.5" thickBot="1">
      <c r="A74" s="516" t="s">
        <v>122</v>
      </c>
      <c r="B74" s="52"/>
      <c r="C74" s="374" t="s">
        <v>163</v>
      </c>
      <c r="D74" s="375" t="s">
        <v>163</v>
      </c>
      <c r="E74" s="375" t="s">
        <v>163</v>
      </c>
      <c r="F74" s="375" t="s">
        <v>163</v>
      </c>
      <c r="G74" s="52"/>
      <c r="H74" s="262"/>
      <c r="I74" s="52"/>
      <c r="J74" s="233">
        <f>'Salaries - Year O'!D29</f>
        <v>1123.75</v>
      </c>
      <c r="K74" s="43"/>
      <c r="L74" s="233">
        <f>'Salaries - Year 1'!B74</f>
        <v>15879.008000000002</v>
      </c>
      <c r="M74" s="234"/>
      <c r="N74" s="233">
        <f>'Salaries - Year 2'!B74</f>
        <v>20836.471</v>
      </c>
      <c r="O74" s="234"/>
      <c r="P74" s="233">
        <f>'Salaries - Year 3'!B74</f>
        <v>24939.350980000003</v>
      </c>
      <c r="Q74" s="249"/>
      <c r="R74" s="233">
        <f>'Salaries - Year 4'!B74</f>
        <v>28004.475251600008</v>
      </c>
      <c r="S74" s="257"/>
      <c r="T74" s="233">
        <f>'Salaries - Year 5'!B74</f>
        <v>28564.564756632004</v>
      </c>
    </row>
    <row r="75" spans="1:20" ht="16.5" thickBot="1">
      <c r="A75" s="520" t="s">
        <v>119</v>
      </c>
      <c r="B75" s="52"/>
      <c r="C75" s="505"/>
      <c r="D75" s="260"/>
      <c r="E75" s="263"/>
      <c r="F75" s="584"/>
      <c r="G75" s="52"/>
      <c r="H75" s="262" t="s">
        <v>557</v>
      </c>
      <c r="I75" s="52"/>
      <c r="J75" s="51">
        <v>6000</v>
      </c>
      <c r="K75" s="43"/>
      <c r="L75" s="51">
        <v>120000</v>
      </c>
      <c r="M75" s="234"/>
      <c r="N75" s="51">
        <v>156000</v>
      </c>
      <c r="O75" s="234"/>
      <c r="P75" s="51">
        <v>186000</v>
      </c>
      <c r="Q75" s="249"/>
      <c r="R75" s="51">
        <v>210000</v>
      </c>
      <c r="S75" s="258"/>
      <c r="T75" s="51">
        <v>210000</v>
      </c>
    </row>
    <row r="76" spans="1:20" ht="16.5" thickBot="1">
      <c r="A76" s="346" t="s">
        <v>123</v>
      </c>
      <c r="B76" s="52"/>
      <c r="C76" s="505" t="s">
        <v>136</v>
      </c>
      <c r="D76" s="260">
        <v>0.01</v>
      </c>
      <c r="E76" s="263"/>
      <c r="F76" s="584"/>
      <c r="G76" s="52"/>
      <c r="H76" s="262" t="s">
        <v>558</v>
      </c>
      <c r="I76" s="52"/>
      <c r="J76" s="51">
        <v>750</v>
      </c>
      <c r="K76" s="43"/>
      <c r="L76" s="51">
        <v>10900</v>
      </c>
      <c r="M76" s="43"/>
      <c r="N76" s="51">
        <v>14318</v>
      </c>
      <c r="O76" s="234"/>
      <c r="P76" s="51">
        <v>17134.36</v>
      </c>
      <c r="Q76" s="249"/>
      <c r="R76" s="51">
        <v>19246.947200000006</v>
      </c>
      <c r="S76" s="258"/>
      <c r="T76" s="51">
        <v>19931.886144000007</v>
      </c>
    </row>
    <row r="77" spans="1:20" ht="16.5" thickBot="1">
      <c r="A77" s="346" t="s">
        <v>133</v>
      </c>
      <c r="B77" s="52"/>
      <c r="C77" s="505" t="s">
        <v>136</v>
      </c>
      <c r="D77" s="260">
        <v>0.05</v>
      </c>
      <c r="E77" s="263"/>
      <c r="F77" s="584"/>
      <c r="G77" s="52"/>
      <c r="H77" s="262" t="s">
        <v>559</v>
      </c>
      <c r="I77" s="52"/>
      <c r="J77" s="51">
        <v>1625</v>
      </c>
      <c r="K77" s="43"/>
      <c r="L77" s="51">
        <v>16815</v>
      </c>
      <c r="M77" s="43"/>
      <c r="N77" s="51">
        <v>18401.3</v>
      </c>
      <c r="O77" s="43"/>
      <c r="P77" s="51">
        <v>18769.326</v>
      </c>
      <c r="Q77" s="249"/>
      <c r="R77" s="51">
        <v>17844.21252</v>
      </c>
      <c r="S77" s="257"/>
      <c r="T77" s="51">
        <v>19701.096770399996</v>
      </c>
    </row>
    <row r="78" spans="1:20" ht="16.5" thickBot="1">
      <c r="A78" s="279"/>
      <c r="B78" s="52"/>
      <c r="C78" s="505"/>
      <c r="D78" s="260"/>
      <c r="E78" s="263"/>
      <c r="F78" s="584"/>
      <c r="G78" s="52"/>
      <c r="H78" s="262"/>
      <c r="I78" s="52"/>
      <c r="J78" s="51"/>
      <c r="K78" s="43"/>
      <c r="L78" s="51">
        <f>IF($C78="Per Employee",$L$175*$D78,IF($C78="% of Salaries",$E78*$L$176,IF($C78="Fixed Per Year",$D78,0)))</f>
        <v>0</v>
      </c>
      <c r="M78" s="43"/>
      <c r="N78" s="51">
        <f aca="true" t="shared" si="5" ref="N78:N90">IF($C78="Per Employee",$N$175*$D78,IF($C78="% of Salaries",$E78*$N$176,IF($C78="Fixed Per Year",$D78)))*(1+$F78)^1</f>
        <v>0</v>
      </c>
      <c r="O78" s="43"/>
      <c r="P78" s="51">
        <f aca="true" t="shared" si="6" ref="P78:P90">IF($C78="Per Employee",$P$175*$D78,IF($C78="% of Salaries",$E78*$P$176,IF($C78="Fixed Per Year",$D78)))*(1+$F78)^2</f>
        <v>0</v>
      </c>
      <c r="Q78" s="249"/>
      <c r="R78" s="51">
        <f aca="true" t="shared" si="7" ref="R78:R90">IF($C78="Per Employee",$R$175*$D78,IF($C78="% of Salaries",$E78*$R$176,IF($C78="Fixed Per Year",$D78)))*(1+$F78)^3</f>
        <v>0</v>
      </c>
      <c r="S78" s="257"/>
      <c r="T78" s="51">
        <f aca="true" t="shared" si="8" ref="T78:T90">IF($C78="Per Employee",$T$175*$D78,IF($C78="% of Salaries",$E78*$T$176,IF($C78="Fixed Per Year",$D78)))*(1+$F78)^4</f>
        <v>0</v>
      </c>
    </row>
    <row r="79" spans="1:20" ht="16.5" thickBot="1">
      <c r="A79" s="279"/>
      <c r="B79" s="52"/>
      <c r="C79" s="505"/>
      <c r="D79" s="260"/>
      <c r="E79" s="263"/>
      <c r="F79" s="584"/>
      <c r="G79" s="52"/>
      <c r="H79" s="262"/>
      <c r="I79" s="52"/>
      <c r="J79" s="51"/>
      <c r="K79" s="43"/>
      <c r="L79" s="51">
        <f>IF($C79="Per Employee",$L$175*$D79,IF($C79="% of Salaries",$E79*$L$176,IF($C79="Fixed Per Year",$D79,0)))</f>
        <v>0</v>
      </c>
      <c r="M79" s="43"/>
      <c r="N79" s="51">
        <f t="shared" si="5"/>
        <v>0</v>
      </c>
      <c r="O79" s="43"/>
      <c r="P79" s="51">
        <f t="shared" si="6"/>
        <v>0</v>
      </c>
      <c r="Q79" s="249"/>
      <c r="R79" s="51">
        <f t="shared" si="7"/>
        <v>0</v>
      </c>
      <c r="S79" s="257"/>
      <c r="T79" s="51">
        <f t="shared" si="8"/>
        <v>0</v>
      </c>
    </row>
    <row r="80" spans="1:20" ht="16.5" thickBot="1">
      <c r="A80" s="279"/>
      <c r="B80" s="52"/>
      <c r="C80" s="505"/>
      <c r="D80" s="260"/>
      <c r="E80" s="263"/>
      <c r="F80" s="584"/>
      <c r="G80" s="52"/>
      <c r="H80" s="262"/>
      <c r="I80" s="52"/>
      <c r="J80" s="51"/>
      <c r="K80" s="43"/>
      <c r="L80" s="51">
        <f>IF($C80="Per Employee",$L$175*$D80,IF($C80="% of Salaries",$E80*$L$176,IF($C80="Fixed Per Year",$D80,0)))</f>
        <v>0</v>
      </c>
      <c r="M80" s="43"/>
      <c r="N80" s="51">
        <f t="shared" si="5"/>
        <v>0</v>
      </c>
      <c r="O80" s="43"/>
      <c r="P80" s="51">
        <f t="shared" si="6"/>
        <v>0</v>
      </c>
      <c r="Q80" s="249"/>
      <c r="R80" s="51">
        <f t="shared" si="7"/>
        <v>0</v>
      </c>
      <c r="S80" s="257"/>
      <c r="T80" s="51">
        <f t="shared" si="8"/>
        <v>0</v>
      </c>
    </row>
    <row r="81" spans="1:20" ht="16.5" thickBot="1">
      <c r="A81" s="193"/>
      <c r="C81" s="505"/>
      <c r="D81" s="260"/>
      <c r="E81" s="263"/>
      <c r="F81" s="584"/>
      <c r="H81" s="262"/>
      <c r="J81" s="51"/>
      <c r="L81" s="51">
        <f>IF($C81="Per Employee",$L$175*$D81,IF($C81="% of Salaries",$E81*$L$176,IF($C81="Fixed Per Year",$D81,0)))</f>
        <v>0</v>
      </c>
      <c r="N81" s="51">
        <f t="shared" si="5"/>
        <v>0</v>
      </c>
      <c r="P81" s="51">
        <f t="shared" si="6"/>
        <v>0</v>
      </c>
      <c r="R81" s="51">
        <f t="shared" si="7"/>
        <v>0</v>
      </c>
      <c r="T81" s="51">
        <f t="shared" si="8"/>
        <v>0</v>
      </c>
    </row>
    <row r="82" spans="1:20" ht="16.5" thickBot="1">
      <c r="A82" s="619" t="s">
        <v>171</v>
      </c>
      <c r="B82" s="52"/>
      <c r="C82" s="374" t="s">
        <v>163</v>
      </c>
      <c r="D82" s="375" t="s">
        <v>163</v>
      </c>
      <c r="E82" s="375" t="s">
        <v>163</v>
      </c>
      <c r="F82" s="375" t="s">
        <v>163</v>
      </c>
      <c r="G82" s="52"/>
      <c r="H82" s="262"/>
      <c r="I82" s="52"/>
      <c r="J82" s="233">
        <v>0</v>
      </c>
      <c r="K82" s="43"/>
      <c r="L82" s="233">
        <v>0</v>
      </c>
      <c r="M82" s="43"/>
      <c r="N82" s="233">
        <v>0</v>
      </c>
      <c r="O82" s="43"/>
      <c r="P82" s="233">
        <v>0</v>
      </c>
      <c r="Q82" s="249"/>
      <c r="R82" s="233">
        <v>0</v>
      </c>
      <c r="S82" s="257"/>
      <c r="T82" s="233">
        <v>0</v>
      </c>
    </row>
    <row r="83" spans="1:20" ht="16.5" thickBot="1">
      <c r="A83" s="517" t="s">
        <v>8</v>
      </c>
      <c r="B83" s="52"/>
      <c r="C83" s="505"/>
      <c r="D83" s="260"/>
      <c r="E83" s="263"/>
      <c r="F83" s="584"/>
      <c r="G83" s="52"/>
      <c r="H83" s="262" t="s">
        <v>560</v>
      </c>
      <c r="I83" s="52"/>
      <c r="J83" s="51">
        <v>500</v>
      </c>
      <c r="K83" s="43"/>
      <c r="L83" s="51">
        <v>12000</v>
      </c>
      <c r="M83" s="43"/>
      <c r="N83" s="51">
        <v>3500</v>
      </c>
      <c r="O83" s="43"/>
      <c r="P83" s="51">
        <v>2500</v>
      </c>
      <c r="Q83" s="249"/>
      <c r="R83" s="51">
        <v>1500</v>
      </c>
      <c r="S83" s="257"/>
      <c r="T83" s="51">
        <f t="shared" si="8"/>
        <v>0</v>
      </c>
    </row>
    <row r="84" spans="1:20" ht="16.5" thickBot="1">
      <c r="A84" s="516" t="s">
        <v>9</v>
      </c>
      <c r="B84" s="52"/>
      <c r="C84" s="505"/>
      <c r="D84" s="260"/>
      <c r="E84" s="263"/>
      <c r="F84" s="584"/>
      <c r="G84" s="52"/>
      <c r="H84" s="262" t="s">
        <v>561</v>
      </c>
      <c r="I84" s="52"/>
      <c r="J84" s="51"/>
      <c r="K84" s="43"/>
      <c r="L84" s="51">
        <v>14000</v>
      </c>
      <c r="M84" s="43"/>
      <c r="N84" s="51">
        <v>20000</v>
      </c>
      <c r="O84" s="43"/>
      <c r="P84" s="51">
        <v>24000</v>
      </c>
      <c r="Q84" s="249"/>
      <c r="R84" s="51">
        <v>28000</v>
      </c>
      <c r="S84" s="257"/>
      <c r="T84" s="51">
        <v>28000</v>
      </c>
    </row>
    <row r="85" spans="1:20" ht="16.5" thickBot="1">
      <c r="A85" s="516" t="s">
        <v>172</v>
      </c>
      <c r="B85" s="52"/>
      <c r="C85" s="505" t="s">
        <v>165</v>
      </c>
      <c r="D85" s="260">
        <v>8000</v>
      </c>
      <c r="E85" s="263"/>
      <c r="F85" s="584"/>
      <c r="G85" s="52"/>
      <c r="H85" s="262" t="s">
        <v>562</v>
      </c>
      <c r="I85" s="52"/>
      <c r="J85" s="51"/>
      <c r="K85" s="43"/>
      <c r="L85" s="51">
        <f aca="true" t="shared" si="9" ref="L85:L90">IF($C85="Per Employee",$L$175*$D85,IF($C85="% of Salaries",$E85*$L$176,IF($C85="Fixed Per Year",$D85,0)))</f>
        <v>8000</v>
      </c>
      <c r="M85" s="43"/>
      <c r="N85" s="51">
        <f t="shared" si="5"/>
        <v>8000</v>
      </c>
      <c r="O85" s="43"/>
      <c r="P85" s="51">
        <f t="shared" si="6"/>
        <v>8000</v>
      </c>
      <c r="Q85" s="249"/>
      <c r="R85" s="51">
        <f t="shared" si="7"/>
        <v>8000</v>
      </c>
      <c r="S85" s="257"/>
      <c r="T85" s="51">
        <f t="shared" si="8"/>
        <v>8000</v>
      </c>
    </row>
    <row r="86" spans="1:20" ht="16.5" thickBot="1">
      <c r="A86" s="516" t="s">
        <v>173</v>
      </c>
      <c r="B86" s="52"/>
      <c r="C86" s="505"/>
      <c r="D86" s="260"/>
      <c r="E86" s="263"/>
      <c r="F86" s="584"/>
      <c r="G86" s="52"/>
      <c r="H86" s="262" t="s">
        <v>563</v>
      </c>
      <c r="I86" s="52"/>
      <c r="J86" s="51"/>
      <c r="K86" s="43"/>
      <c r="L86" s="51">
        <v>13300</v>
      </c>
      <c r="M86" s="43"/>
      <c r="N86" s="51">
        <v>19000</v>
      </c>
      <c r="O86" s="43"/>
      <c r="P86" s="51">
        <v>22800</v>
      </c>
      <c r="Q86" s="249"/>
      <c r="R86" s="51">
        <v>26600</v>
      </c>
      <c r="S86" s="257"/>
      <c r="T86" s="51">
        <v>26600</v>
      </c>
    </row>
    <row r="87" spans="1:20" ht="16.5" thickBot="1">
      <c r="A87" s="193"/>
      <c r="B87" s="52"/>
      <c r="C87" s="505"/>
      <c r="D87" s="260"/>
      <c r="E87" s="263"/>
      <c r="F87" s="584"/>
      <c r="G87" s="52"/>
      <c r="H87" s="262"/>
      <c r="I87" s="52"/>
      <c r="J87" s="51"/>
      <c r="K87" s="43"/>
      <c r="L87" s="51">
        <f t="shared" si="9"/>
        <v>0</v>
      </c>
      <c r="M87" s="43"/>
      <c r="N87" s="51">
        <f t="shared" si="5"/>
        <v>0</v>
      </c>
      <c r="O87" s="43"/>
      <c r="P87" s="51">
        <f t="shared" si="6"/>
        <v>0</v>
      </c>
      <c r="Q87" s="249"/>
      <c r="R87" s="51">
        <f t="shared" si="7"/>
        <v>0</v>
      </c>
      <c r="S87" s="257"/>
      <c r="T87" s="51">
        <f t="shared" si="8"/>
        <v>0</v>
      </c>
    </row>
    <row r="88" spans="1:20" ht="16.5" thickBot="1">
      <c r="A88" s="193"/>
      <c r="B88" s="52"/>
      <c r="C88" s="505"/>
      <c r="D88" s="260"/>
      <c r="E88" s="263"/>
      <c r="F88" s="584"/>
      <c r="G88" s="52"/>
      <c r="H88" s="262"/>
      <c r="I88" s="52"/>
      <c r="J88" s="51"/>
      <c r="K88" s="43"/>
      <c r="L88" s="51">
        <f t="shared" si="9"/>
        <v>0</v>
      </c>
      <c r="M88" s="43"/>
      <c r="N88" s="51">
        <f t="shared" si="5"/>
        <v>0</v>
      </c>
      <c r="O88" s="43"/>
      <c r="P88" s="51">
        <f t="shared" si="6"/>
        <v>0</v>
      </c>
      <c r="Q88" s="249"/>
      <c r="R88" s="51">
        <f t="shared" si="7"/>
        <v>0</v>
      </c>
      <c r="S88" s="257"/>
      <c r="T88" s="51">
        <f t="shared" si="8"/>
        <v>0</v>
      </c>
    </row>
    <row r="89" spans="1:20" ht="16.5" thickBot="1">
      <c r="A89" s="193"/>
      <c r="B89" s="52"/>
      <c r="C89" s="505"/>
      <c r="D89" s="260"/>
      <c r="E89" s="263"/>
      <c r="F89" s="584"/>
      <c r="G89" s="52"/>
      <c r="H89" s="262"/>
      <c r="I89" s="52"/>
      <c r="J89" s="51"/>
      <c r="K89" s="43"/>
      <c r="L89" s="51">
        <f t="shared" si="9"/>
        <v>0</v>
      </c>
      <c r="M89" s="43"/>
      <c r="N89" s="51">
        <f t="shared" si="5"/>
        <v>0</v>
      </c>
      <c r="O89" s="43"/>
      <c r="P89" s="51">
        <f t="shared" si="6"/>
        <v>0</v>
      </c>
      <c r="Q89" s="249"/>
      <c r="R89" s="51">
        <f t="shared" si="7"/>
        <v>0</v>
      </c>
      <c r="S89" s="257"/>
      <c r="T89" s="51">
        <f t="shared" si="8"/>
        <v>0</v>
      </c>
    </row>
    <row r="90" spans="1:20" ht="16.5" thickBot="1">
      <c r="A90" s="193"/>
      <c r="B90" s="52"/>
      <c r="C90" s="505"/>
      <c r="D90" s="260"/>
      <c r="E90" s="263"/>
      <c r="F90" s="584"/>
      <c r="G90" s="52"/>
      <c r="H90" s="262"/>
      <c r="I90" s="52"/>
      <c r="J90" s="51"/>
      <c r="K90" s="43"/>
      <c r="L90" s="51">
        <f t="shared" si="9"/>
        <v>0</v>
      </c>
      <c r="M90" s="43"/>
      <c r="N90" s="51">
        <f t="shared" si="5"/>
        <v>0</v>
      </c>
      <c r="O90" s="43"/>
      <c r="P90" s="51">
        <f t="shared" si="6"/>
        <v>0</v>
      </c>
      <c r="Q90" s="249"/>
      <c r="R90" s="51">
        <f t="shared" si="7"/>
        <v>0</v>
      </c>
      <c r="S90" s="257"/>
      <c r="T90" s="51">
        <f t="shared" si="8"/>
        <v>0</v>
      </c>
    </row>
    <row r="91" spans="1:20" ht="16.5" thickBot="1">
      <c r="A91" s="40"/>
      <c r="B91" s="42"/>
      <c r="C91" s="214"/>
      <c r="D91" s="214"/>
      <c r="E91" s="214"/>
      <c r="F91" s="214"/>
      <c r="G91" s="42"/>
      <c r="H91" s="200"/>
      <c r="I91" s="42"/>
      <c r="J91" s="47"/>
      <c r="K91" s="39"/>
      <c r="L91" s="47"/>
      <c r="M91" s="39"/>
      <c r="N91" s="47"/>
      <c r="O91" s="39"/>
      <c r="P91" s="47"/>
      <c r="Q91" s="248"/>
      <c r="R91" s="48"/>
      <c r="S91" s="257"/>
      <c r="T91" s="48"/>
    </row>
    <row r="92" spans="2:20" ht="16.5" thickBot="1">
      <c r="B92" s="38"/>
      <c r="C92" s="213"/>
      <c r="D92" s="213"/>
      <c r="E92" s="213"/>
      <c r="F92" s="213"/>
      <c r="G92" s="38"/>
      <c r="H92" s="202" t="s">
        <v>129</v>
      </c>
      <c r="I92" s="38"/>
      <c r="J92" s="369">
        <f>SUM(J69:J90)</f>
        <v>98342.5625</v>
      </c>
      <c r="K92" s="274"/>
      <c r="L92" s="369">
        <f>SUM(L69:L90)</f>
        <v>1460115.0744</v>
      </c>
      <c r="M92" s="274"/>
      <c r="N92" s="369">
        <f>SUM(N69:N90)</f>
        <v>1904825.14925</v>
      </c>
      <c r="O92" s="274"/>
      <c r="P92" s="369">
        <f>SUM(P69:P90)</f>
        <v>2273724.6122929994</v>
      </c>
      <c r="Q92" s="275"/>
      <c r="R92" s="369">
        <f>SUM(R69:R90)</f>
        <v>2555139.3219924606</v>
      </c>
      <c r="S92" s="271"/>
      <c r="T92" s="369">
        <f>SUM(T69:T90)</f>
        <v>2602663.0804323093</v>
      </c>
    </row>
    <row r="93" spans="1:20" ht="16.5" thickBot="1">
      <c r="A93" s="49"/>
      <c r="B93" s="50"/>
      <c r="C93" s="215"/>
      <c r="D93" s="215"/>
      <c r="E93" s="215"/>
      <c r="F93" s="215"/>
      <c r="G93" s="50"/>
      <c r="H93" s="200"/>
      <c r="I93" s="50"/>
      <c r="J93" s="44"/>
      <c r="K93" s="43"/>
      <c r="L93" s="44"/>
      <c r="M93" s="43"/>
      <c r="N93" s="44"/>
      <c r="O93" s="43"/>
      <c r="P93" s="44"/>
      <c r="Q93" s="249"/>
      <c r="R93" s="34"/>
      <c r="S93" s="258"/>
      <c r="T93" s="34"/>
    </row>
    <row r="94" spans="1:20" ht="18.75" thickBot="1">
      <c r="A94" s="201" t="s">
        <v>130</v>
      </c>
      <c r="B94" s="38"/>
      <c r="C94" s="213"/>
      <c r="D94" s="213"/>
      <c r="E94" s="213"/>
      <c r="F94" s="213"/>
      <c r="G94" s="38"/>
      <c r="H94" s="200"/>
      <c r="I94" s="38"/>
      <c r="J94" s="37"/>
      <c r="K94" s="39"/>
      <c r="L94" s="37"/>
      <c r="M94" s="39"/>
      <c r="N94" s="37"/>
      <c r="O94" s="39"/>
      <c r="P94" s="37"/>
      <c r="Q94" s="248"/>
      <c r="R94" s="32"/>
      <c r="S94" s="257"/>
      <c r="T94" s="32"/>
    </row>
    <row r="95" spans="1:20" ht="16.5" thickBot="1">
      <c r="A95" s="522" t="s">
        <v>185</v>
      </c>
      <c r="B95" s="42"/>
      <c r="C95" s="504" t="s">
        <v>137</v>
      </c>
      <c r="D95" s="260">
        <v>22</v>
      </c>
      <c r="E95" s="373" t="s">
        <v>163</v>
      </c>
      <c r="F95" s="263"/>
      <c r="G95" s="42"/>
      <c r="H95" s="262" t="s">
        <v>564</v>
      </c>
      <c r="I95" s="42"/>
      <c r="J95" s="51">
        <v>0</v>
      </c>
      <c r="K95" s="43"/>
      <c r="L95" s="51">
        <f>IF($C95="Per Employee",$L$175*$D95,IF($C95="Per Pupil",$D95*$L$177,IF($C95="Fixed Per Year",$D95,0)))</f>
        <v>4928</v>
      </c>
      <c r="M95" s="43"/>
      <c r="N95" s="51">
        <f>IF($C95="Per Employee",$N$175*$D95,IF($C95="Per Pupil",$D95*$N$177,IF($C95="Fixed Per Year",$D95)))*(1+$F95)^1</f>
        <v>6864</v>
      </c>
      <c r="O95" s="43"/>
      <c r="P95" s="51">
        <f>IF($C95="Per Employee",$P$175*$D95,IF($C95="Per Pupil",$D95*$P$177,IF($C95="Fixed Per Year",$D95)))*(1+$F95)^2</f>
        <v>8888</v>
      </c>
      <c r="Q95" s="249"/>
      <c r="R95" s="51">
        <f>IF($C95="Per Employee",$R$175*$D95,IF($C95="Per Pupil",$D95*$R$177,IF($C95="Fixed Per Year",$D95)))*(1+$F95)^3</f>
        <v>11088</v>
      </c>
      <c r="S95" s="257"/>
      <c r="T95" s="51">
        <f>IF($C95="Per Employee",$T$175*$D95,IF($C95="Per Pupil",$D95*$T$177,IF($C95="Fixed Per Year",$D95)))*(1+$F95)^4</f>
        <v>11088</v>
      </c>
    </row>
    <row r="96" spans="1:20" ht="16.5" thickBot="1">
      <c r="A96" s="523" t="s">
        <v>177</v>
      </c>
      <c r="B96" s="42"/>
      <c r="C96" s="504"/>
      <c r="D96" s="260"/>
      <c r="E96" s="373" t="s">
        <v>163</v>
      </c>
      <c r="F96" s="263"/>
      <c r="G96" s="42"/>
      <c r="H96" s="262" t="s">
        <v>565</v>
      </c>
      <c r="I96" s="42"/>
      <c r="J96" s="51">
        <v>0</v>
      </c>
      <c r="K96" s="43"/>
      <c r="L96" s="51">
        <v>5000</v>
      </c>
      <c r="M96" s="43"/>
      <c r="N96" s="51">
        <v>1000</v>
      </c>
      <c r="O96" s="43"/>
      <c r="P96" s="51">
        <v>150</v>
      </c>
      <c r="Q96" s="249"/>
      <c r="R96" s="51">
        <v>150</v>
      </c>
      <c r="S96" s="257"/>
      <c r="T96" s="51">
        <v>150</v>
      </c>
    </row>
    <row r="97" spans="1:20" ht="16.5" thickBot="1">
      <c r="A97" s="523" t="s">
        <v>183</v>
      </c>
      <c r="B97" s="42"/>
      <c r="C97" s="504"/>
      <c r="D97" s="260"/>
      <c r="E97" s="373" t="s">
        <v>163</v>
      </c>
      <c r="F97" s="263"/>
      <c r="G97" s="42"/>
      <c r="H97" s="262" t="s">
        <v>566</v>
      </c>
      <c r="I97" s="42"/>
      <c r="J97" s="51">
        <v>11400</v>
      </c>
      <c r="K97" s="43"/>
      <c r="L97" s="51">
        <v>172444</v>
      </c>
      <c r="M97" s="43"/>
      <c r="N97" s="51">
        <v>107587</v>
      </c>
      <c r="O97" s="43"/>
      <c r="P97" s="51">
        <v>113116</v>
      </c>
      <c r="Q97" s="249"/>
      <c r="R97" s="51">
        <v>125286</v>
      </c>
      <c r="S97" s="257"/>
      <c r="T97" s="51">
        <v>126774</v>
      </c>
    </row>
    <row r="98" spans="1:20" ht="16.5" thickBot="1">
      <c r="A98" s="523" t="s">
        <v>184</v>
      </c>
      <c r="B98" s="42"/>
      <c r="C98" s="504"/>
      <c r="D98" s="260"/>
      <c r="E98" s="373" t="s">
        <v>163</v>
      </c>
      <c r="F98" s="263"/>
      <c r="G98" s="42"/>
      <c r="H98" s="262" t="s">
        <v>163</v>
      </c>
      <c r="I98" s="42"/>
      <c r="J98" s="51">
        <v>0</v>
      </c>
      <c r="K98" s="43"/>
      <c r="L98" s="51">
        <f aca="true" t="shared" si="10" ref="L98:L114">IF($C98="Per Employee",$L$175*$D98,IF($C98="Per Pupil",$D98*$L$177,IF($C98="Fixed Per Year",$D98,0)))</f>
        <v>0</v>
      </c>
      <c r="M98" s="43"/>
      <c r="N98" s="51">
        <f aca="true" t="shared" si="11" ref="N98:N114">IF($C98="Per Employee",$N$175*$D98,IF($C98="Per Pupil",$D98*$N$177,IF($C98="Fixed Per Year",$D98)))*(1+$F98)^1</f>
        <v>0</v>
      </c>
      <c r="O98" s="43"/>
      <c r="P98" s="51">
        <f aca="true" t="shared" si="12" ref="P98:P114">IF($C98="Per Employee",$P$175*$D98,IF($C98="Per Pupil",$D98*$P$177,IF($C98="Fixed Per Year",$D98)))*(1+$F98)^2</f>
        <v>0</v>
      </c>
      <c r="Q98" s="249"/>
      <c r="R98" s="51">
        <f aca="true" t="shared" si="13" ref="R98:R114">IF($C98="Per Employee",$R$175*$D98,IF($C98="Per Pupil",$D98*$R$177,IF($C98="Fixed Per Year",$D98)))*(1+$F98)^3</f>
        <v>0</v>
      </c>
      <c r="S98" s="257"/>
      <c r="T98" s="51">
        <f aca="true" t="shared" si="14" ref="T98:T114">IF($C98="Per Employee",$T$175*$D98,IF($C98="Per Pupil",$D98*$T$177,IF($C98="Fixed Per Year",$D98)))*(1+$F98)^4</f>
        <v>0</v>
      </c>
    </row>
    <row r="99" spans="1:20" ht="16.5" thickBot="1">
      <c r="A99" s="523" t="s">
        <v>186</v>
      </c>
      <c r="B99" s="42"/>
      <c r="C99" s="504" t="s">
        <v>165</v>
      </c>
      <c r="D99" s="260">
        <v>29000</v>
      </c>
      <c r="E99" s="373" t="s">
        <v>163</v>
      </c>
      <c r="F99" s="263"/>
      <c r="G99" s="42"/>
      <c r="H99" s="262" t="s">
        <v>567</v>
      </c>
      <c r="I99" s="42"/>
      <c r="J99" s="51">
        <v>10000</v>
      </c>
      <c r="K99" s="43"/>
      <c r="L99" s="51">
        <f t="shared" si="10"/>
        <v>29000</v>
      </c>
      <c r="M99" s="43"/>
      <c r="N99" s="51">
        <f t="shared" si="11"/>
        <v>29000</v>
      </c>
      <c r="O99" s="43"/>
      <c r="P99" s="51">
        <f t="shared" si="12"/>
        <v>29000</v>
      </c>
      <c r="Q99" s="249"/>
      <c r="R99" s="51">
        <f t="shared" si="13"/>
        <v>29000</v>
      </c>
      <c r="S99" s="257"/>
      <c r="T99" s="51">
        <f t="shared" si="14"/>
        <v>29000</v>
      </c>
    </row>
    <row r="100" spans="1:20" ht="16.5" thickBot="1">
      <c r="A100" s="523" t="s">
        <v>188</v>
      </c>
      <c r="B100" s="42"/>
      <c r="C100" s="504" t="s">
        <v>165</v>
      </c>
      <c r="D100" s="260">
        <v>10000</v>
      </c>
      <c r="E100" s="373" t="s">
        <v>163</v>
      </c>
      <c r="F100" s="263"/>
      <c r="G100" s="42"/>
      <c r="H100" s="262" t="s">
        <v>568</v>
      </c>
      <c r="I100" s="42"/>
      <c r="J100" s="51">
        <v>10000</v>
      </c>
      <c r="K100" s="43"/>
      <c r="L100" s="51">
        <f t="shared" si="10"/>
        <v>10000</v>
      </c>
      <c r="M100" s="43"/>
      <c r="N100" s="51">
        <f t="shared" si="11"/>
        <v>10000</v>
      </c>
      <c r="O100" s="43"/>
      <c r="P100" s="51">
        <f t="shared" si="12"/>
        <v>10000</v>
      </c>
      <c r="Q100" s="249"/>
      <c r="R100" s="51">
        <f t="shared" si="13"/>
        <v>10000</v>
      </c>
      <c r="S100" s="257"/>
      <c r="T100" s="51">
        <f t="shared" si="14"/>
        <v>10000</v>
      </c>
    </row>
    <row r="101" spans="1:20" ht="16.5" thickBot="1">
      <c r="A101" s="523" t="s">
        <v>187</v>
      </c>
      <c r="B101" s="42"/>
      <c r="C101" s="504" t="s">
        <v>165</v>
      </c>
      <c r="D101" s="260">
        <v>11000</v>
      </c>
      <c r="E101" s="373" t="s">
        <v>163</v>
      </c>
      <c r="F101" s="263"/>
      <c r="G101" s="42"/>
      <c r="H101" s="262" t="s">
        <v>569</v>
      </c>
      <c r="I101" s="42"/>
      <c r="J101" s="51">
        <v>5000</v>
      </c>
      <c r="K101" s="43"/>
      <c r="L101" s="51">
        <f t="shared" si="10"/>
        <v>11000</v>
      </c>
      <c r="M101" s="43"/>
      <c r="N101" s="51">
        <f t="shared" si="11"/>
        <v>11000</v>
      </c>
      <c r="O101" s="43"/>
      <c r="P101" s="51">
        <f t="shared" si="12"/>
        <v>11000</v>
      </c>
      <c r="Q101" s="249"/>
      <c r="R101" s="51">
        <f t="shared" si="13"/>
        <v>11000</v>
      </c>
      <c r="S101" s="257"/>
      <c r="T101" s="51">
        <f t="shared" si="14"/>
        <v>11000</v>
      </c>
    </row>
    <row r="102" spans="1:20" ht="16.5" thickBot="1">
      <c r="A102" s="523" t="s">
        <v>11</v>
      </c>
      <c r="B102" s="42"/>
      <c r="C102" s="504" t="s">
        <v>137</v>
      </c>
      <c r="D102" s="260">
        <v>65</v>
      </c>
      <c r="E102" s="373" t="s">
        <v>163</v>
      </c>
      <c r="F102" s="263"/>
      <c r="G102" s="42"/>
      <c r="H102" s="262" t="s">
        <v>570</v>
      </c>
      <c r="I102" s="42"/>
      <c r="J102" s="51">
        <v>0</v>
      </c>
      <c r="K102" s="43"/>
      <c r="L102" s="51">
        <f t="shared" si="10"/>
        <v>14560</v>
      </c>
      <c r="M102" s="43"/>
      <c r="N102" s="51">
        <f t="shared" si="11"/>
        <v>20280</v>
      </c>
      <c r="O102" s="43"/>
      <c r="P102" s="51">
        <f t="shared" si="12"/>
        <v>26260</v>
      </c>
      <c r="Q102" s="249"/>
      <c r="R102" s="51">
        <f t="shared" si="13"/>
        <v>32760</v>
      </c>
      <c r="S102" s="257"/>
      <c r="T102" s="51">
        <f t="shared" si="14"/>
        <v>32760</v>
      </c>
    </row>
    <row r="103" spans="1:20" ht="16.5" thickBot="1">
      <c r="A103" s="523" t="s">
        <v>189</v>
      </c>
      <c r="B103" s="42"/>
      <c r="C103" s="504" t="s">
        <v>165</v>
      </c>
      <c r="D103" s="260">
        <v>500</v>
      </c>
      <c r="E103" s="373" t="s">
        <v>163</v>
      </c>
      <c r="F103" s="263"/>
      <c r="G103" s="42"/>
      <c r="H103" s="262" t="s">
        <v>571</v>
      </c>
      <c r="I103" s="42"/>
      <c r="J103" s="51">
        <v>500</v>
      </c>
      <c r="K103" s="43"/>
      <c r="L103" s="51">
        <f t="shared" si="10"/>
        <v>500</v>
      </c>
      <c r="M103" s="43"/>
      <c r="N103" s="51">
        <f t="shared" si="11"/>
        <v>500</v>
      </c>
      <c r="O103" s="43"/>
      <c r="P103" s="51">
        <f t="shared" si="12"/>
        <v>500</v>
      </c>
      <c r="Q103" s="249"/>
      <c r="R103" s="51">
        <f t="shared" si="13"/>
        <v>500</v>
      </c>
      <c r="S103" s="257"/>
      <c r="T103" s="51">
        <f t="shared" si="14"/>
        <v>500</v>
      </c>
    </row>
    <row r="104" spans="1:20" ht="16.5" thickBot="1">
      <c r="A104" s="523" t="s">
        <v>190</v>
      </c>
      <c r="B104" s="42"/>
      <c r="C104" s="504"/>
      <c r="D104" s="260"/>
      <c r="E104" s="373" t="s">
        <v>163</v>
      </c>
      <c r="F104" s="263"/>
      <c r="G104" s="42"/>
      <c r="H104" s="262" t="s">
        <v>572</v>
      </c>
      <c r="I104" s="42"/>
      <c r="J104" s="51">
        <v>7625</v>
      </c>
      <c r="K104" s="43"/>
      <c r="L104" s="51">
        <v>7625</v>
      </c>
      <c r="M104" s="43"/>
      <c r="N104" s="51">
        <v>6375</v>
      </c>
      <c r="O104" s="43"/>
      <c r="P104" s="51">
        <v>6375</v>
      </c>
      <c r="Q104" s="249"/>
      <c r="R104" s="51">
        <v>6375</v>
      </c>
      <c r="S104" s="257"/>
      <c r="T104" s="51">
        <v>6375</v>
      </c>
    </row>
    <row r="105" spans="1:20" ht="16.5" thickBot="1">
      <c r="A105" s="523" t="s">
        <v>191</v>
      </c>
      <c r="B105" s="42"/>
      <c r="C105" s="504" t="s">
        <v>165</v>
      </c>
      <c r="D105" s="260">
        <v>3500</v>
      </c>
      <c r="E105" s="373" t="s">
        <v>163</v>
      </c>
      <c r="F105" s="263"/>
      <c r="G105" s="42"/>
      <c r="H105" s="262" t="s">
        <v>573</v>
      </c>
      <c r="I105" s="42"/>
      <c r="J105" s="51">
        <v>3500</v>
      </c>
      <c r="K105" s="43"/>
      <c r="L105" s="51">
        <f t="shared" si="10"/>
        <v>3500</v>
      </c>
      <c r="M105" s="43"/>
      <c r="N105" s="51">
        <f t="shared" si="11"/>
        <v>3500</v>
      </c>
      <c r="O105" s="43"/>
      <c r="P105" s="51">
        <f t="shared" si="12"/>
        <v>3500</v>
      </c>
      <c r="Q105" s="249"/>
      <c r="R105" s="51">
        <f t="shared" si="13"/>
        <v>3500</v>
      </c>
      <c r="S105" s="257"/>
      <c r="T105" s="51">
        <f t="shared" si="14"/>
        <v>3500</v>
      </c>
    </row>
    <row r="106" spans="1:20" ht="48" thickBot="1">
      <c r="A106" s="523" t="s">
        <v>337</v>
      </c>
      <c r="B106" s="42"/>
      <c r="C106" s="683" t="s">
        <v>1</v>
      </c>
      <c r="D106" s="684" t="s">
        <v>163</v>
      </c>
      <c r="E106" s="373" t="s">
        <v>163</v>
      </c>
      <c r="F106" s="685" t="s">
        <v>163</v>
      </c>
      <c r="G106" s="42"/>
      <c r="H106" s="727" t="s">
        <v>506</v>
      </c>
      <c r="I106" s="42"/>
      <c r="J106" s="686">
        <v>0</v>
      </c>
      <c r="K106" s="43"/>
      <c r="L106" s="233">
        <f>((L10+L11+L12+L13+L17)*0.03)+(L20*0.0267)</f>
        <v>48766.3083</v>
      </c>
      <c r="M106" s="43"/>
      <c r="N106" s="233">
        <f>((N10+N11+N12+N13+N17)*0.03)+(N20*0.0267)</f>
        <v>67565.58899999999</v>
      </c>
      <c r="O106" s="43"/>
      <c r="P106" s="233">
        <f>((P10+P11+P12+P13+P17)*0.03)+(P20*0.0267)</f>
        <v>86903.7474</v>
      </c>
      <c r="Q106" s="249"/>
      <c r="R106" s="233">
        <f>((R10+R11+R12+R13+R17)*0.03)+(R20*0.0267)</f>
        <v>107680.97039999999</v>
      </c>
      <c r="S106" s="257"/>
      <c r="T106" s="233">
        <f>((T10+T11+T12+T13+T17)*0.03)+(T20*0.0267)</f>
        <v>107680.97039999999</v>
      </c>
    </row>
    <row r="107" spans="1:20" ht="16.5" thickBot="1">
      <c r="A107" s="199" t="s">
        <v>574</v>
      </c>
      <c r="B107" s="46"/>
      <c r="C107" s="504" t="s">
        <v>165</v>
      </c>
      <c r="D107" s="260">
        <v>500</v>
      </c>
      <c r="E107" s="373" t="s">
        <v>163</v>
      </c>
      <c r="F107" s="263"/>
      <c r="G107" s="46"/>
      <c r="H107" s="262" t="s">
        <v>575</v>
      </c>
      <c r="I107" s="46"/>
      <c r="J107" s="51">
        <v>5000</v>
      </c>
      <c r="K107" s="43"/>
      <c r="L107" s="51">
        <f t="shared" si="10"/>
        <v>500</v>
      </c>
      <c r="M107" s="43"/>
      <c r="N107" s="51">
        <f t="shared" si="11"/>
        <v>500</v>
      </c>
      <c r="O107" s="43"/>
      <c r="P107" s="51">
        <f t="shared" si="12"/>
        <v>500</v>
      </c>
      <c r="Q107" s="249"/>
      <c r="R107" s="51">
        <f t="shared" si="13"/>
        <v>500</v>
      </c>
      <c r="S107" s="257"/>
      <c r="T107" s="51">
        <f t="shared" si="14"/>
        <v>500</v>
      </c>
    </row>
    <row r="108" spans="1:20" ht="16.5" thickBot="1">
      <c r="A108" s="199"/>
      <c r="B108" s="46"/>
      <c r="C108" s="504"/>
      <c r="D108" s="260"/>
      <c r="E108" s="373" t="s">
        <v>163</v>
      </c>
      <c r="F108" s="263"/>
      <c r="G108" s="46"/>
      <c r="H108" s="262"/>
      <c r="I108" s="46"/>
      <c r="J108" s="51"/>
      <c r="K108" s="43"/>
      <c r="L108" s="51">
        <f t="shared" si="10"/>
        <v>0</v>
      </c>
      <c r="M108" s="43"/>
      <c r="N108" s="51">
        <f t="shared" si="11"/>
        <v>0</v>
      </c>
      <c r="O108" s="43"/>
      <c r="P108" s="51">
        <f t="shared" si="12"/>
        <v>0</v>
      </c>
      <c r="Q108" s="249"/>
      <c r="R108" s="51">
        <f t="shared" si="13"/>
        <v>0</v>
      </c>
      <c r="S108" s="257"/>
      <c r="T108" s="51">
        <f t="shared" si="14"/>
        <v>0</v>
      </c>
    </row>
    <row r="109" spans="1:20" ht="16.5" thickBot="1">
      <c r="A109" s="199"/>
      <c r="B109" s="46"/>
      <c r="C109" s="504"/>
      <c r="D109" s="260"/>
      <c r="E109" s="373" t="s">
        <v>163</v>
      </c>
      <c r="F109" s="263"/>
      <c r="G109" s="46"/>
      <c r="H109" s="262"/>
      <c r="I109" s="46"/>
      <c r="J109" s="51"/>
      <c r="K109" s="43"/>
      <c r="L109" s="51">
        <f t="shared" si="10"/>
        <v>0</v>
      </c>
      <c r="M109" s="43"/>
      <c r="N109" s="51">
        <f t="shared" si="11"/>
        <v>0</v>
      </c>
      <c r="O109" s="43"/>
      <c r="P109" s="51">
        <f t="shared" si="12"/>
        <v>0</v>
      </c>
      <c r="Q109" s="249"/>
      <c r="R109" s="51">
        <f t="shared" si="13"/>
        <v>0</v>
      </c>
      <c r="S109" s="257"/>
      <c r="T109" s="51">
        <f t="shared" si="14"/>
        <v>0</v>
      </c>
    </row>
    <row r="110" spans="1:20" ht="16.5" thickBot="1">
      <c r="A110" s="199"/>
      <c r="B110" s="46"/>
      <c r="C110" s="504"/>
      <c r="D110" s="260"/>
      <c r="E110" s="373" t="s">
        <v>163</v>
      </c>
      <c r="F110" s="263"/>
      <c r="G110" s="46"/>
      <c r="H110" s="262"/>
      <c r="I110" s="46"/>
      <c r="J110" s="51"/>
      <c r="K110" s="43"/>
      <c r="L110" s="51">
        <f t="shared" si="10"/>
        <v>0</v>
      </c>
      <c r="M110" s="43"/>
      <c r="N110" s="51">
        <f t="shared" si="11"/>
        <v>0</v>
      </c>
      <c r="O110" s="43"/>
      <c r="P110" s="51">
        <f t="shared" si="12"/>
        <v>0</v>
      </c>
      <c r="Q110" s="249"/>
      <c r="R110" s="51">
        <f t="shared" si="13"/>
        <v>0</v>
      </c>
      <c r="S110" s="257"/>
      <c r="T110" s="51">
        <f t="shared" si="14"/>
        <v>0</v>
      </c>
    </row>
    <row r="111" spans="1:20" ht="16.5" thickBot="1">
      <c r="A111" s="199"/>
      <c r="B111" s="46"/>
      <c r="C111" s="504"/>
      <c r="D111" s="260"/>
      <c r="E111" s="373" t="s">
        <v>163</v>
      </c>
      <c r="F111" s="263"/>
      <c r="G111" s="46"/>
      <c r="H111" s="262"/>
      <c r="I111" s="46"/>
      <c r="J111" s="51"/>
      <c r="K111" s="43"/>
      <c r="L111" s="51">
        <f t="shared" si="10"/>
        <v>0</v>
      </c>
      <c r="M111" s="43"/>
      <c r="N111" s="51">
        <f t="shared" si="11"/>
        <v>0</v>
      </c>
      <c r="O111" s="43"/>
      <c r="P111" s="51">
        <f t="shared" si="12"/>
        <v>0</v>
      </c>
      <c r="Q111" s="249"/>
      <c r="R111" s="51">
        <f t="shared" si="13"/>
        <v>0</v>
      </c>
      <c r="S111" s="257"/>
      <c r="T111" s="51">
        <f t="shared" si="14"/>
        <v>0</v>
      </c>
    </row>
    <row r="112" spans="1:20" ht="16.5" thickBot="1">
      <c r="A112" s="199"/>
      <c r="B112" s="46"/>
      <c r="C112" s="504"/>
      <c r="D112" s="260"/>
      <c r="E112" s="373" t="s">
        <v>163</v>
      </c>
      <c r="F112" s="263"/>
      <c r="G112" s="46"/>
      <c r="H112" s="262"/>
      <c r="I112" s="46"/>
      <c r="J112" s="51"/>
      <c r="K112" s="43"/>
      <c r="L112" s="51">
        <f t="shared" si="10"/>
        <v>0</v>
      </c>
      <c r="M112" s="43"/>
      <c r="N112" s="51">
        <f t="shared" si="11"/>
        <v>0</v>
      </c>
      <c r="O112" s="43"/>
      <c r="P112" s="51">
        <f t="shared" si="12"/>
        <v>0</v>
      </c>
      <c r="Q112" s="249"/>
      <c r="R112" s="51">
        <f t="shared" si="13"/>
        <v>0</v>
      </c>
      <c r="S112" s="257"/>
      <c r="T112" s="51">
        <f t="shared" si="14"/>
        <v>0</v>
      </c>
    </row>
    <row r="113" spans="1:20" ht="16.5" thickBot="1">
      <c r="A113" s="199"/>
      <c r="B113" s="46"/>
      <c r="C113" s="504"/>
      <c r="D113" s="260"/>
      <c r="E113" s="373" t="s">
        <v>163</v>
      </c>
      <c r="F113" s="263"/>
      <c r="G113" s="46"/>
      <c r="H113" s="262"/>
      <c r="I113" s="46"/>
      <c r="J113" s="51"/>
      <c r="K113" s="43"/>
      <c r="L113" s="51">
        <f t="shared" si="10"/>
        <v>0</v>
      </c>
      <c r="M113" s="43"/>
      <c r="N113" s="51">
        <f t="shared" si="11"/>
        <v>0</v>
      </c>
      <c r="O113" s="43"/>
      <c r="P113" s="51">
        <f t="shared" si="12"/>
        <v>0</v>
      </c>
      <c r="Q113" s="249"/>
      <c r="R113" s="51">
        <f t="shared" si="13"/>
        <v>0</v>
      </c>
      <c r="S113" s="257"/>
      <c r="T113" s="51">
        <f t="shared" si="14"/>
        <v>0</v>
      </c>
    </row>
    <row r="114" spans="1:20" ht="16.5" thickBot="1">
      <c r="A114" s="199"/>
      <c r="B114" s="46"/>
      <c r="C114" s="504"/>
      <c r="D114" s="260"/>
      <c r="E114" s="373" t="s">
        <v>163</v>
      </c>
      <c r="F114" s="263"/>
      <c r="G114" s="46"/>
      <c r="H114" s="262"/>
      <c r="I114" s="46"/>
      <c r="J114" s="51"/>
      <c r="K114" s="43"/>
      <c r="L114" s="51">
        <f t="shared" si="10"/>
        <v>0</v>
      </c>
      <c r="M114" s="43"/>
      <c r="N114" s="51">
        <f t="shared" si="11"/>
        <v>0</v>
      </c>
      <c r="O114" s="43"/>
      <c r="P114" s="51">
        <f t="shared" si="12"/>
        <v>0</v>
      </c>
      <c r="Q114" s="249"/>
      <c r="R114" s="51">
        <f t="shared" si="13"/>
        <v>0</v>
      </c>
      <c r="S114" s="257"/>
      <c r="T114" s="51">
        <f t="shared" si="14"/>
        <v>0</v>
      </c>
    </row>
    <row r="115" spans="1:20" ht="16.5" thickBot="1">
      <c r="A115" s="40"/>
      <c r="B115" s="42"/>
      <c r="C115" s="214"/>
      <c r="D115" s="214"/>
      <c r="E115" s="214"/>
      <c r="F115" s="214"/>
      <c r="G115" s="42"/>
      <c r="H115" s="200"/>
      <c r="I115" s="42"/>
      <c r="J115" s="47"/>
      <c r="K115" s="39"/>
      <c r="L115" s="47"/>
      <c r="M115" s="39"/>
      <c r="N115" s="47"/>
      <c r="O115" s="39"/>
      <c r="P115" s="47"/>
      <c r="Q115" s="248"/>
      <c r="R115" s="48"/>
      <c r="S115" s="257"/>
      <c r="T115" s="48"/>
    </row>
    <row r="116" spans="2:20" ht="16.5" thickBot="1">
      <c r="B116" s="38"/>
      <c r="C116" s="213"/>
      <c r="D116" s="213"/>
      <c r="E116" s="213"/>
      <c r="F116" s="213"/>
      <c r="G116" s="38"/>
      <c r="H116" s="202" t="s">
        <v>12</v>
      </c>
      <c r="I116" s="38"/>
      <c r="J116" s="369">
        <f>SUM(J95:J114)</f>
        <v>53025</v>
      </c>
      <c r="K116" s="274"/>
      <c r="L116" s="369">
        <f>SUM(L95:L114)</f>
        <v>307823.3083</v>
      </c>
      <c r="M116" s="274"/>
      <c r="N116" s="369">
        <f>SUM(N95:N114)</f>
        <v>264171.589</v>
      </c>
      <c r="O116" s="274"/>
      <c r="P116" s="369">
        <f>SUM(P95:P114)</f>
        <v>296192.7474</v>
      </c>
      <c r="Q116" s="275"/>
      <c r="R116" s="369">
        <f>SUM(R95:R114)</f>
        <v>337839.9704</v>
      </c>
      <c r="S116" s="271"/>
      <c r="T116" s="369">
        <f>SUM(T95:T114)</f>
        <v>339327.9704</v>
      </c>
    </row>
    <row r="117" spans="1:20" ht="16.5" thickBot="1">
      <c r="A117" s="53"/>
      <c r="B117" s="55"/>
      <c r="C117" s="217"/>
      <c r="D117" s="217"/>
      <c r="E117" s="217"/>
      <c r="F117" s="217"/>
      <c r="G117" s="55"/>
      <c r="H117" s="200"/>
      <c r="I117" s="55"/>
      <c r="J117" s="54"/>
      <c r="K117" s="43"/>
      <c r="L117" s="54"/>
      <c r="M117" s="43"/>
      <c r="N117" s="54"/>
      <c r="O117" s="43"/>
      <c r="P117" s="54"/>
      <c r="Q117" s="249"/>
      <c r="R117" s="54"/>
      <c r="S117" s="258"/>
      <c r="T117" s="54"/>
    </row>
    <row r="118" spans="1:20" ht="18.75" customHeight="1" thickBot="1">
      <c r="A118" s="202" t="s">
        <v>197</v>
      </c>
      <c r="B118" s="38"/>
      <c r="C118" s="213"/>
      <c r="D118" s="213"/>
      <c r="E118" s="213"/>
      <c r="F118" s="213"/>
      <c r="G118" s="38"/>
      <c r="H118" s="200"/>
      <c r="I118" s="38"/>
      <c r="J118" s="37"/>
      <c r="K118" s="39"/>
      <c r="L118" s="37"/>
      <c r="M118" s="39"/>
      <c r="N118" s="37"/>
      <c r="O118" s="39"/>
      <c r="P118" s="37"/>
      <c r="Q118" s="248"/>
      <c r="R118" s="32"/>
      <c r="S118" s="257"/>
      <c r="T118" s="32"/>
    </row>
    <row r="119" spans="1:20" ht="16.5" thickBot="1">
      <c r="A119" s="517" t="s">
        <v>292</v>
      </c>
      <c r="B119" s="42"/>
      <c r="C119" s="504"/>
      <c r="D119" s="260"/>
      <c r="E119" s="376" t="s">
        <v>163</v>
      </c>
      <c r="F119" s="263"/>
      <c r="G119" s="42"/>
      <c r="H119" s="262" t="s">
        <v>727</v>
      </c>
      <c r="I119" s="42"/>
      <c r="J119" s="41"/>
      <c r="K119" s="43"/>
      <c r="L119" s="51">
        <v>495495</v>
      </c>
      <c r="M119" s="43"/>
      <c r="N119" s="51">
        <v>688738.0499999999</v>
      </c>
      <c r="O119" s="43"/>
      <c r="P119" s="51">
        <v>716816.1</v>
      </c>
      <c r="Q119" s="249"/>
      <c r="R119" s="51">
        <v>744894.1499999999</v>
      </c>
      <c r="S119" s="257"/>
      <c r="T119" s="51">
        <v>772972.2</v>
      </c>
    </row>
    <row r="120" spans="1:20" ht="16.5" thickBot="1">
      <c r="A120" s="516" t="s">
        <v>14</v>
      </c>
      <c r="B120" s="42"/>
      <c r="C120" s="504"/>
      <c r="D120" s="260"/>
      <c r="E120" s="376" t="s">
        <v>163</v>
      </c>
      <c r="F120" s="263"/>
      <c r="G120" s="42"/>
      <c r="H120" s="262" t="s">
        <v>576</v>
      </c>
      <c r="I120" s="42"/>
      <c r="J120" s="41"/>
      <c r="K120" s="43"/>
      <c r="L120" s="51">
        <v>42188</v>
      </c>
      <c r="M120" s="43"/>
      <c r="N120" s="51">
        <v>43031</v>
      </c>
      <c r="O120" s="43"/>
      <c r="P120" s="51">
        <v>43892</v>
      </c>
      <c r="Q120" s="249"/>
      <c r="R120" s="51">
        <v>44770</v>
      </c>
      <c r="S120" s="257"/>
      <c r="T120" s="51">
        <v>45665.4</v>
      </c>
    </row>
    <row r="121" spans="1:20" ht="16.5" thickBot="1">
      <c r="A121" s="516" t="s">
        <v>193</v>
      </c>
      <c r="B121" s="42"/>
      <c r="C121" s="504"/>
      <c r="D121" s="260"/>
      <c r="E121" s="376" t="s">
        <v>163</v>
      </c>
      <c r="F121" s="263"/>
      <c r="G121" s="42"/>
      <c r="H121" s="262"/>
      <c r="I121" s="42"/>
      <c r="J121" s="41"/>
      <c r="K121" s="43"/>
      <c r="L121" s="51">
        <f aca="true" t="shared" si="15" ref="L121:L136">IF($C121="Per Employee",$L$175*$D121,IF($C121="Per Pupil",$D121*$L$177,IF($C121="Fixed Per Year",$D121,0)))</f>
        <v>0</v>
      </c>
      <c r="M121" s="43"/>
      <c r="N121" s="51">
        <f aca="true" t="shared" si="16" ref="N121:N136">IF($C121="Per Employee",$N$175*$D121,IF($C121="Per Pupil",$D121*$N$177,IF($C121="Fixed Per Year",$D121)))*(1+$F121)^1</f>
        <v>0</v>
      </c>
      <c r="O121" s="43"/>
      <c r="P121" s="51">
        <f aca="true" t="shared" si="17" ref="P121:P136">IF($C121="Per Employee",$P$175*$D121,IF($C121="Per Pupil",$D121*$P$177,IF($C121="Fixed Per Year",$D121)))*(1+$F121)^2</f>
        <v>0</v>
      </c>
      <c r="Q121" s="249"/>
      <c r="R121" s="51">
        <f aca="true" t="shared" si="18" ref="R121:R136">IF($C121="Per Employee",$R$175*$D121,IF($C121="Per Pupil",$D121*$R$177,IF($C121="Fixed Per Year",$D121)))*(1+$F121)^3</f>
        <v>0</v>
      </c>
      <c r="S121" s="257"/>
      <c r="T121" s="51">
        <f aca="true" t="shared" si="19" ref="T121:T136">IF($C121="Per Employee",$T$175*$D121,IF($C121="Per Pupil",$D121*$T$177,IF($C121="Fixed Per Year",$D121)))*(1+$F121)^4</f>
        <v>0</v>
      </c>
    </row>
    <row r="122" spans="1:20" ht="16.5" thickBot="1">
      <c r="A122" s="516" t="s">
        <v>10</v>
      </c>
      <c r="B122" s="42"/>
      <c r="C122" s="504"/>
      <c r="D122" s="260"/>
      <c r="E122" s="376" t="s">
        <v>163</v>
      </c>
      <c r="F122" s="263"/>
      <c r="G122" s="42"/>
      <c r="H122" s="262"/>
      <c r="I122" s="42"/>
      <c r="J122" s="41"/>
      <c r="K122" s="43"/>
      <c r="L122" s="51">
        <f t="shared" si="15"/>
        <v>0</v>
      </c>
      <c r="M122" s="43"/>
      <c r="N122" s="51">
        <f t="shared" si="16"/>
        <v>0</v>
      </c>
      <c r="O122" s="43"/>
      <c r="P122" s="51">
        <f t="shared" si="17"/>
        <v>0</v>
      </c>
      <c r="Q122" s="249"/>
      <c r="R122" s="51">
        <f t="shared" si="18"/>
        <v>0</v>
      </c>
      <c r="S122" s="257"/>
      <c r="T122" s="51">
        <f t="shared" si="19"/>
        <v>0</v>
      </c>
    </row>
    <row r="123" spans="1:20" ht="16.5" thickBot="1">
      <c r="A123" s="516" t="s">
        <v>124</v>
      </c>
      <c r="B123" s="42"/>
      <c r="C123" s="504"/>
      <c r="D123" s="260"/>
      <c r="E123" s="376" t="s">
        <v>163</v>
      </c>
      <c r="F123" s="263"/>
      <c r="G123" s="42"/>
      <c r="H123" s="262"/>
      <c r="I123" s="42"/>
      <c r="J123" s="41"/>
      <c r="K123" s="43"/>
      <c r="L123" s="51">
        <f t="shared" si="15"/>
        <v>0</v>
      </c>
      <c r="M123" s="43"/>
      <c r="N123" s="51">
        <f t="shared" si="16"/>
        <v>0</v>
      </c>
      <c r="O123" s="43"/>
      <c r="P123" s="51">
        <f t="shared" si="17"/>
        <v>0</v>
      </c>
      <c r="Q123" s="249"/>
      <c r="R123" s="51">
        <f t="shared" si="18"/>
        <v>0</v>
      </c>
      <c r="S123" s="257"/>
      <c r="T123" s="51">
        <f t="shared" si="19"/>
        <v>0</v>
      </c>
    </row>
    <row r="124" spans="1:20" ht="16.5" thickBot="1">
      <c r="A124" s="516" t="s">
        <v>125</v>
      </c>
      <c r="B124" s="42"/>
      <c r="C124" s="504"/>
      <c r="D124" s="260"/>
      <c r="E124" s="376" t="s">
        <v>163</v>
      </c>
      <c r="F124" s="263"/>
      <c r="G124" s="42"/>
      <c r="H124" s="262"/>
      <c r="I124" s="42"/>
      <c r="J124" s="41"/>
      <c r="K124" s="43"/>
      <c r="L124" s="51">
        <f t="shared" si="15"/>
        <v>0</v>
      </c>
      <c r="M124" s="43"/>
      <c r="N124" s="51">
        <f t="shared" si="16"/>
        <v>0</v>
      </c>
      <c r="O124" s="43"/>
      <c r="P124" s="51">
        <f t="shared" si="17"/>
        <v>0</v>
      </c>
      <c r="Q124" s="249"/>
      <c r="R124" s="51">
        <f t="shared" si="18"/>
        <v>0</v>
      </c>
      <c r="S124" s="257"/>
      <c r="T124" s="51">
        <f t="shared" si="19"/>
        <v>0</v>
      </c>
    </row>
    <row r="125" spans="1:20" ht="16.5" thickBot="1">
      <c r="A125" s="516" t="s">
        <v>195</v>
      </c>
      <c r="B125" s="42"/>
      <c r="C125" s="504"/>
      <c r="D125" s="260"/>
      <c r="E125" s="376" t="s">
        <v>163</v>
      </c>
      <c r="F125" s="263"/>
      <c r="G125" s="42"/>
      <c r="H125" s="262"/>
      <c r="I125" s="42"/>
      <c r="J125" s="41"/>
      <c r="K125" s="43"/>
      <c r="L125" s="51">
        <f t="shared" si="15"/>
        <v>0</v>
      </c>
      <c r="M125" s="43"/>
      <c r="N125" s="51">
        <f t="shared" si="16"/>
        <v>0</v>
      </c>
      <c r="O125" s="43"/>
      <c r="P125" s="51">
        <f t="shared" si="17"/>
        <v>0</v>
      </c>
      <c r="Q125" s="249"/>
      <c r="R125" s="51">
        <f t="shared" si="18"/>
        <v>0</v>
      </c>
      <c r="S125" s="257"/>
      <c r="T125" s="51">
        <f t="shared" si="19"/>
        <v>0</v>
      </c>
    </row>
    <row r="126" spans="1:20" ht="16.5" thickBot="1">
      <c r="A126" s="516" t="s">
        <v>196</v>
      </c>
      <c r="B126" s="46"/>
      <c r="C126" s="504"/>
      <c r="D126" s="260"/>
      <c r="E126" s="376" t="s">
        <v>163</v>
      </c>
      <c r="F126" s="263"/>
      <c r="G126" s="46"/>
      <c r="H126" s="262"/>
      <c r="I126" s="46"/>
      <c r="J126" s="41"/>
      <c r="K126" s="43"/>
      <c r="L126" s="51">
        <f t="shared" si="15"/>
        <v>0</v>
      </c>
      <c r="M126" s="43"/>
      <c r="N126" s="51">
        <f t="shared" si="16"/>
        <v>0</v>
      </c>
      <c r="O126" s="43"/>
      <c r="P126" s="51">
        <f t="shared" si="17"/>
        <v>0</v>
      </c>
      <c r="Q126" s="249"/>
      <c r="R126" s="51">
        <f t="shared" si="18"/>
        <v>0</v>
      </c>
      <c r="S126" s="257"/>
      <c r="T126" s="51">
        <f t="shared" si="19"/>
        <v>0</v>
      </c>
    </row>
    <row r="127" spans="1:20" ht="16.5" thickBot="1">
      <c r="A127" s="524" t="s">
        <v>492</v>
      </c>
      <c r="B127" s="46"/>
      <c r="C127" s="504"/>
      <c r="D127" s="260"/>
      <c r="E127" s="376" t="s">
        <v>163</v>
      </c>
      <c r="F127" s="263"/>
      <c r="G127" s="46"/>
      <c r="H127" s="262"/>
      <c r="I127" s="46"/>
      <c r="J127" s="41"/>
      <c r="K127" s="43"/>
      <c r="L127" s="51">
        <f t="shared" si="15"/>
        <v>0</v>
      </c>
      <c r="M127" s="43"/>
      <c r="N127" s="51">
        <f t="shared" si="16"/>
        <v>0</v>
      </c>
      <c r="O127" s="43"/>
      <c r="P127" s="51">
        <f t="shared" si="17"/>
        <v>0</v>
      </c>
      <c r="Q127" s="249"/>
      <c r="R127" s="51">
        <f t="shared" si="18"/>
        <v>0</v>
      </c>
      <c r="S127" s="257"/>
      <c r="T127" s="51">
        <f t="shared" si="19"/>
        <v>0</v>
      </c>
    </row>
    <row r="128" spans="1:20" ht="16.5" thickBot="1">
      <c r="A128" s="516" t="s">
        <v>194</v>
      </c>
      <c r="B128" s="46"/>
      <c r="C128" s="504" t="s">
        <v>165</v>
      </c>
      <c r="D128" s="260">
        <v>170743.44</v>
      </c>
      <c r="E128" s="376" t="s">
        <v>163</v>
      </c>
      <c r="F128" s="263"/>
      <c r="G128" s="46"/>
      <c r="H128" s="262"/>
      <c r="I128" s="46"/>
      <c r="J128" s="41"/>
      <c r="K128" s="43"/>
      <c r="L128" s="51">
        <f t="shared" si="15"/>
        <v>170743.44</v>
      </c>
      <c r="M128" s="43"/>
      <c r="N128" s="51">
        <f t="shared" si="16"/>
        <v>170743.44</v>
      </c>
      <c r="O128" s="43"/>
      <c r="P128" s="51">
        <f t="shared" si="17"/>
        <v>170743.44</v>
      </c>
      <c r="Q128" s="249"/>
      <c r="R128" s="51">
        <f t="shared" si="18"/>
        <v>170743.44</v>
      </c>
      <c r="S128" s="257"/>
      <c r="T128" s="51">
        <f t="shared" si="19"/>
        <v>170743.44</v>
      </c>
    </row>
    <row r="129" spans="1:20" ht="16.5" thickBot="1">
      <c r="A129" s="193" t="s">
        <v>577</v>
      </c>
      <c r="B129" s="46"/>
      <c r="C129" s="504"/>
      <c r="D129" s="260"/>
      <c r="E129" s="376" t="s">
        <v>163</v>
      </c>
      <c r="F129" s="263"/>
      <c r="G129" s="46"/>
      <c r="H129" s="262" t="s">
        <v>578</v>
      </c>
      <c r="I129" s="46"/>
      <c r="J129" s="41">
        <v>10000</v>
      </c>
      <c r="K129" s="43"/>
      <c r="L129" s="51">
        <f t="shared" si="15"/>
        <v>0</v>
      </c>
      <c r="M129" s="43"/>
      <c r="N129" s="51">
        <f t="shared" si="16"/>
        <v>0</v>
      </c>
      <c r="O129" s="43"/>
      <c r="P129" s="51">
        <v>5000</v>
      </c>
      <c r="Q129" s="249"/>
      <c r="R129" s="51">
        <f t="shared" si="18"/>
        <v>0</v>
      </c>
      <c r="S129" s="257"/>
      <c r="T129" s="51">
        <f t="shared" si="19"/>
        <v>0</v>
      </c>
    </row>
    <row r="130" spans="1:20" ht="16.5" thickBot="1">
      <c r="A130" s="193" t="s">
        <v>728</v>
      </c>
      <c r="B130" s="46"/>
      <c r="C130" s="504"/>
      <c r="D130" s="260"/>
      <c r="E130" s="376" t="s">
        <v>163</v>
      </c>
      <c r="F130" s="263"/>
      <c r="G130" s="46"/>
      <c r="H130" s="262"/>
      <c r="I130" s="46"/>
      <c r="J130" s="41"/>
      <c r="K130" s="43"/>
      <c r="L130" s="51">
        <v>17556.1103</v>
      </c>
      <c r="M130" s="43"/>
      <c r="N130" s="51">
        <f t="shared" si="16"/>
        <v>0</v>
      </c>
      <c r="O130" s="43"/>
      <c r="P130" s="51">
        <f t="shared" si="17"/>
        <v>0</v>
      </c>
      <c r="Q130" s="249"/>
      <c r="R130" s="51">
        <f t="shared" si="18"/>
        <v>0</v>
      </c>
      <c r="S130" s="257"/>
      <c r="T130" s="51">
        <f t="shared" si="19"/>
        <v>0</v>
      </c>
    </row>
    <row r="131" spans="1:20" ht="16.5" thickBot="1">
      <c r="A131" s="193"/>
      <c r="B131" s="46"/>
      <c r="C131" s="504"/>
      <c r="D131" s="260"/>
      <c r="E131" s="376" t="s">
        <v>163</v>
      </c>
      <c r="F131" s="263"/>
      <c r="G131" s="46"/>
      <c r="H131" s="262"/>
      <c r="I131" s="46"/>
      <c r="J131" s="41"/>
      <c r="K131" s="43"/>
      <c r="L131" s="51">
        <f t="shared" si="15"/>
        <v>0</v>
      </c>
      <c r="M131" s="43"/>
      <c r="N131" s="51">
        <f t="shared" si="16"/>
        <v>0</v>
      </c>
      <c r="O131" s="43"/>
      <c r="P131" s="51">
        <f t="shared" si="17"/>
        <v>0</v>
      </c>
      <c r="Q131" s="249"/>
      <c r="R131" s="51">
        <f t="shared" si="18"/>
        <v>0</v>
      </c>
      <c r="S131" s="257"/>
      <c r="T131" s="51">
        <f t="shared" si="19"/>
        <v>0</v>
      </c>
    </row>
    <row r="132" spans="1:20" ht="16.5" thickBot="1">
      <c r="A132" s="193"/>
      <c r="B132" s="46"/>
      <c r="C132" s="504"/>
      <c r="D132" s="260"/>
      <c r="E132" s="376" t="s">
        <v>163</v>
      </c>
      <c r="F132" s="263"/>
      <c r="G132" s="46"/>
      <c r="H132" s="262"/>
      <c r="I132" s="46"/>
      <c r="J132" s="41"/>
      <c r="K132" s="43"/>
      <c r="L132" s="51">
        <f t="shared" si="15"/>
        <v>0</v>
      </c>
      <c r="M132" s="43"/>
      <c r="N132" s="51">
        <f t="shared" si="16"/>
        <v>0</v>
      </c>
      <c r="O132" s="43"/>
      <c r="P132" s="51">
        <f t="shared" si="17"/>
        <v>0</v>
      </c>
      <c r="Q132" s="249"/>
      <c r="R132" s="51">
        <f t="shared" si="18"/>
        <v>0</v>
      </c>
      <c r="S132" s="257"/>
      <c r="T132" s="51">
        <f t="shared" si="19"/>
        <v>0</v>
      </c>
    </row>
    <row r="133" spans="1:20" ht="16.5" thickBot="1">
      <c r="A133" s="193"/>
      <c r="B133" s="46"/>
      <c r="C133" s="504"/>
      <c r="D133" s="260"/>
      <c r="E133" s="376" t="s">
        <v>163</v>
      </c>
      <c r="F133" s="263"/>
      <c r="G133" s="46"/>
      <c r="H133" s="262"/>
      <c r="I133" s="46"/>
      <c r="J133" s="41"/>
      <c r="K133" s="43"/>
      <c r="L133" s="51">
        <f t="shared" si="15"/>
        <v>0</v>
      </c>
      <c r="M133" s="43"/>
      <c r="N133" s="51">
        <f t="shared" si="16"/>
        <v>0</v>
      </c>
      <c r="O133" s="43"/>
      <c r="P133" s="51">
        <f t="shared" si="17"/>
        <v>0</v>
      </c>
      <c r="Q133" s="249"/>
      <c r="R133" s="51">
        <f t="shared" si="18"/>
        <v>0</v>
      </c>
      <c r="S133" s="257"/>
      <c r="T133" s="51">
        <f t="shared" si="19"/>
        <v>0</v>
      </c>
    </row>
    <row r="134" spans="1:20" ht="16.5" thickBot="1">
      <c r="A134" s="193"/>
      <c r="B134" s="46"/>
      <c r="C134" s="504"/>
      <c r="D134" s="260"/>
      <c r="E134" s="376" t="s">
        <v>163</v>
      </c>
      <c r="F134" s="263"/>
      <c r="G134" s="46"/>
      <c r="H134" s="262"/>
      <c r="I134" s="46"/>
      <c r="J134" s="41"/>
      <c r="K134" s="43"/>
      <c r="L134" s="51">
        <f t="shared" si="15"/>
        <v>0</v>
      </c>
      <c r="M134" s="43"/>
      <c r="N134" s="51">
        <f t="shared" si="16"/>
        <v>0</v>
      </c>
      <c r="O134" s="43"/>
      <c r="P134" s="51">
        <f t="shared" si="17"/>
        <v>0</v>
      </c>
      <c r="Q134" s="249"/>
      <c r="R134" s="51">
        <f t="shared" si="18"/>
        <v>0</v>
      </c>
      <c r="S134" s="257"/>
      <c r="T134" s="51">
        <f t="shared" si="19"/>
        <v>0</v>
      </c>
    </row>
    <row r="135" spans="1:20" ht="16.5" thickBot="1">
      <c r="A135" s="193"/>
      <c r="B135" s="46"/>
      <c r="C135" s="504"/>
      <c r="D135" s="260"/>
      <c r="E135" s="376" t="s">
        <v>163</v>
      </c>
      <c r="F135" s="263"/>
      <c r="G135" s="46"/>
      <c r="H135" s="262"/>
      <c r="I135" s="46"/>
      <c r="J135" s="41"/>
      <c r="K135" s="43"/>
      <c r="L135" s="51">
        <f t="shared" si="15"/>
        <v>0</v>
      </c>
      <c r="M135" s="43"/>
      <c r="N135" s="51">
        <f t="shared" si="16"/>
        <v>0</v>
      </c>
      <c r="O135" s="43"/>
      <c r="P135" s="51">
        <f t="shared" si="17"/>
        <v>0</v>
      </c>
      <c r="Q135" s="249"/>
      <c r="R135" s="51">
        <f t="shared" si="18"/>
        <v>0</v>
      </c>
      <c r="S135" s="257"/>
      <c r="T135" s="51">
        <f t="shared" si="19"/>
        <v>0</v>
      </c>
    </row>
    <row r="136" spans="1:20" ht="16.5" thickBot="1">
      <c r="A136" s="193"/>
      <c r="B136" s="46"/>
      <c r="C136" s="504"/>
      <c r="D136" s="260"/>
      <c r="E136" s="376" t="s">
        <v>163</v>
      </c>
      <c r="F136" s="263"/>
      <c r="G136" s="46"/>
      <c r="H136" s="262"/>
      <c r="I136" s="46"/>
      <c r="J136" s="41"/>
      <c r="K136" s="43"/>
      <c r="L136" s="51">
        <f t="shared" si="15"/>
        <v>0</v>
      </c>
      <c r="M136" s="43"/>
      <c r="N136" s="51">
        <f t="shared" si="16"/>
        <v>0</v>
      </c>
      <c r="O136" s="43"/>
      <c r="P136" s="51">
        <f t="shared" si="17"/>
        <v>0</v>
      </c>
      <c r="Q136" s="249"/>
      <c r="R136" s="51">
        <f t="shared" si="18"/>
        <v>0</v>
      </c>
      <c r="S136" s="257"/>
      <c r="T136" s="51">
        <f t="shared" si="19"/>
        <v>0</v>
      </c>
    </row>
    <row r="137" spans="1:20" ht="16.5" thickBot="1">
      <c r="A137" s="45"/>
      <c r="B137" s="46"/>
      <c r="C137" s="216"/>
      <c r="D137" s="216"/>
      <c r="E137" s="216"/>
      <c r="F137" s="216"/>
      <c r="G137" s="46"/>
      <c r="H137" s="200"/>
      <c r="I137" s="46"/>
      <c r="J137" s="54"/>
      <c r="K137" s="43"/>
      <c r="L137" s="54"/>
      <c r="M137" s="43"/>
      <c r="N137" s="54"/>
      <c r="O137" s="43"/>
      <c r="P137" s="54"/>
      <c r="Q137" s="249"/>
      <c r="R137" s="56"/>
      <c r="S137" s="258"/>
      <c r="T137" s="56"/>
    </row>
    <row r="138" spans="2:20" ht="16.5" thickBot="1">
      <c r="B138" s="38"/>
      <c r="C138" s="213"/>
      <c r="D138" s="213"/>
      <c r="E138" s="213"/>
      <c r="F138" s="213"/>
      <c r="G138" s="38"/>
      <c r="H138" s="202" t="s">
        <v>13</v>
      </c>
      <c r="I138" s="38"/>
      <c r="J138" s="369">
        <f>SUM(J119:J136)</f>
        <v>10000</v>
      </c>
      <c r="K138" s="274"/>
      <c r="L138" s="369">
        <f>SUM(L119:L136)</f>
        <v>725982.5503</v>
      </c>
      <c r="M138" s="274"/>
      <c r="N138" s="369">
        <f>SUM(N119:N136)</f>
        <v>902512.49</v>
      </c>
      <c r="O138" s="274"/>
      <c r="P138" s="369">
        <f>SUM(P119:P136)</f>
        <v>936451.54</v>
      </c>
      <c r="Q138" s="275"/>
      <c r="R138" s="369">
        <f>SUM(R119:R136)</f>
        <v>960407.5899999999</v>
      </c>
      <c r="S138" s="271"/>
      <c r="T138" s="369">
        <f>SUM(T119:T136)</f>
        <v>989381.04</v>
      </c>
    </row>
    <row r="139" spans="1:20" ht="16.5" thickBot="1">
      <c r="A139" s="57"/>
      <c r="B139" s="58"/>
      <c r="C139" s="218"/>
      <c r="D139" s="218"/>
      <c r="E139" s="218"/>
      <c r="F139" s="218"/>
      <c r="G139" s="58"/>
      <c r="H139" s="200"/>
      <c r="I139" s="58"/>
      <c r="J139" s="54"/>
      <c r="K139" s="59"/>
      <c r="L139" s="54"/>
      <c r="M139" s="59"/>
      <c r="N139" s="54"/>
      <c r="O139" s="59"/>
      <c r="P139" s="54"/>
      <c r="Q139" s="251"/>
      <c r="R139" s="56"/>
      <c r="S139" s="259"/>
      <c r="T139" s="56"/>
    </row>
    <row r="140" spans="1:20" ht="18.75" customHeight="1" thickBot="1">
      <c r="A140" s="202" t="s">
        <v>192</v>
      </c>
      <c r="B140" s="38"/>
      <c r="C140" s="504"/>
      <c r="D140" s="260"/>
      <c r="E140" s="376" t="s">
        <v>163</v>
      </c>
      <c r="F140" s="263"/>
      <c r="G140" s="38"/>
      <c r="H140" s="282" t="str">
        <f>A140</f>
        <v>Education Management Organization Fee</v>
      </c>
      <c r="I140" s="38"/>
      <c r="J140" s="348"/>
      <c r="K140" s="276"/>
      <c r="L140" s="264">
        <f>IF($C140="Per Employee",$L$175*$D140,IF($C140="Per Pupil",$D140*$L$177,IF($C140="Fixed Per Year",$D140,0)))</f>
        <v>0</v>
      </c>
      <c r="M140" s="43"/>
      <c r="N140" s="264">
        <f>IF($C140="Per Employee",$N$175*$D140,IF($C140="Per Pupil",$D140*$N$177,IF($C140="Fixed Per Year",$D140)))*(1+$F140)^1</f>
        <v>0</v>
      </c>
      <c r="O140" s="43"/>
      <c r="P140" s="264">
        <f>IF($C140="Per Employee",$P$175*$D140,IF($C140="Per Pupil",$D140*$P$177,IF($C140="Fixed Per Year",$D140)))*(1+$F140)^2</f>
        <v>0</v>
      </c>
      <c r="Q140" s="249"/>
      <c r="R140" s="264">
        <f>IF($C140="Per Employee",$R$175*$D140,IF($C140="Per Pupil",$D140*$R$177,IF($C140="Fixed Per Year",$D140)))*(1+$F140)^3</f>
        <v>0</v>
      </c>
      <c r="S140" s="257"/>
      <c r="T140" s="264">
        <f>IF($C140="Per Employee",$T$175*$D140,IF($C140="Per Pupil",$D140*$T$177,IF($C140="Fixed Per Year",$D140)))*(1+$F140)^4</f>
        <v>0</v>
      </c>
    </row>
    <row r="141" spans="1:20" ht="16.5" thickBot="1">
      <c r="A141" s="57"/>
      <c r="B141" s="58"/>
      <c r="C141" s="218"/>
      <c r="D141" s="218"/>
      <c r="E141" s="218"/>
      <c r="F141" s="218"/>
      <c r="G141" s="58"/>
      <c r="H141" s="200"/>
      <c r="I141" s="58"/>
      <c r="J141" s="54"/>
      <c r="K141" s="59"/>
      <c r="L141" s="54"/>
      <c r="M141" s="59"/>
      <c r="N141" s="54"/>
      <c r="O141" s="59"/>
      <c r="P141" s="54"/>
      <c r="Q141" s="251"/>
      <c r="R141" s="56"/>
      <c r="S141" s="259"/>
      <c r="T141" s="56"/>
    </row>
    <row r="142" spans="1:20" ht="18.75" customHeight="1" thickBot="1">
      <c r="A142" s="280" t="s">
        <v>198</v>
      </c>
      <c r="B142" s="55"/>
      <c r="C142" s="217"/>
      <c r="D142" s="217"/>
      <c r="E142" s="217"/>
      <c r="F142" s="217"/>
      <c r="G142" s="55"/>
      <c r="H142" s="200"/>
      <c r="I142" s="55"/>
      <c r="J142" s="44"/>
      <c r="K142" s="43"/>
      <c r="L142" s="44"/>
      <c r="M142" s="43"/>
      <c r="N142" s="44"/>
      <c r="O142" s="43"/>
      <c r="P142" s="44"/>
      <c r="Q142" s="249"/>
      <c r="R142" s="34"/>
      <c r="S142" s="258"/>
      <c r="T142" s="34"/>
    </row>
    <row r="143" spans="1:20" ht="16.5" thickBot="1">
      <c r="A143" s="523" t="s">
        <v>199</v>
      </c>
      <c r="B143" s="42"/>
      <c r="C143" s="504"/>
      <c r="D143" s="260"/>
      <c r="E143" s="376" t="s">
        <v>163</v>
      </c>
      <c r="F143" s="263"/>
      <c r="G143" s="42"/>
      <c r="H143" s="262"/>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249"/>
      <c r="R143" s="51">
        <f>IF($C143="Per Employee",$R$175*$D143,IF($C143="Per Pupil",$D143*$R$177,IF($C143="Fixed Per Year",$D143)))*(1+$F143)^3</f>
        <v>0</v>
      </c>
      <c r="S143" s="257"/>
      <c r="T143" s="51">
        <f>IF($C143="Per Employee",$T$175*$D143,IF($C143="Per Pupil",$D143*$T$177,IF($C143="Fixed Per Year",$D143)))*(1+$F143)^4</f>
        <v>0</v>
      </c>
    </row>
    <row r="144" spans="1:20" ht="16.5" thickBot="1">
      <c r="A144" s="523" t="s">
        <v>41</v>
      </c>
      <c r="B144" s="42"/>
      <c r="C144" s="504"/>
      <c r="D144" s="260"/>
      <c r="E144" s="376" t="s">
        <v>163</v>
      </c>
      <c r="F144" s="263"/>
      <c r="G144" s="42"/>
      <c r="H144" s="262"/>
      <c r="I144" s="42"/>
      <c r="J144" s="41"/>
      <c r="K144" s="43"/>
      <c r="L144" s="51">
        <f aca="true" t="shared" si="20" ref="L144:L155">IF($C144="Per Employee",$L$175*$D144,IF($C144="Per Pupil",$D144*$L$177,IF($C144="Fixed Per Year",$D144,0)))</f>
        <v>0</v>
      </c>
      <c r="M144" s="43"/>
      <c r="N144" s="51">
        <f aca="true" t="shared" si="21" ref="N144:N155">IF($C144="Per Employee",$N$175*$D144,IF($C144="Per Pupil",$D144*$N$177,IF($C144="Fixed Per Year",$D144)))*(1+$F144)^1</f>
        <v>0</v>
      </c>
      <c r="O144" s="43"/>
      <c r="P144" s="51">
        <f aca="true" t="shared" si="22" ref="P144:P155">IF($C144="Per Employee",$P$175*$D144,IF($C144="Per Pupil",$D144*$P$177,IF($C144="Fixed Per Year",$D144)))*(1+$F144)^2</f>
        <v>0</v>
      </c>
      <c r="Q144" s="249"/>
      <c r="R144" s="51">
        <f aca="true" t="shared" si="23" ref="R144:R155">IF($C144="Per Employee",$R$175*$D144,IF($C144="Per Pupil",$D144*$R$177,IF($C144="Fixed Per Year",$D144)))*(1+$F144)^3</f>
        <v>0</v>
      </c>
      <c r="S144" s="257"/>
      <c r="T144" s="51">
        <f aca="true" t="shared" si="24" ref="T144:T155">IF($C144="Per Employee",$T$175*$D144,IF($C144="Per Pupil",$D144*$T$177,IF($C144="Fixed Per Year",$D144)))*(1+$F144)^4</f>
        <v>0</v>
      </c>
    </row>
    <row r="145" spans="1:20" ht="16.5" thickBot="1">
      <c r="A145" s="523" t="s">
        <v>200</v>
      </c>
      <c r="B145" s="42"/>
      <c r="C145" s="504"/>
      <c r="D145" s="260"/>
      <c r="E145" s="376" t="s">
        <v>163</v>
      </c>
      <c r="F145" s="263"/>
      <c r="G145" s="42"/>
      <c r="H145" s="262"/>
      <c r="I145" s="42"/>
      <c r="J145" s="41"/>
      <c r="K145" s="43"/>
      <c r="L145" s="51">
        <f t="shared" si="20"/>
        <v>0</v>
      </c>
      <c r="M145" s="43"/>
      <c r="N145" s="51">
        <f t="shared" si="21"/>
        <v>0</v>
      </c>
      <c r="O145" s="43"/>
      <c r="P145" s="51">
        <f t="shared" si="22"/>
        <v>0</v>
      </c>
      <c r="Q145" s="249"/>
      <c r="R145" s="51">
        <f t="shared" si="23"/>
        <v>0</v>
      </c>
      <c r="S145" s="257"/>
      <c r="T145" s="51">
        <f t="shared" si="24"/>
        <v>0</v>
      </c>
    </row>
    <row r="146" spans="1:20" ht="16.5" thickBot="1">
      <c r="A146" s="522" t="s">
        <v>493</v>
      </c>
      <c r="B146" s="42"/>
      <c r="C146" s="504" t="s">
        <v>165</v>
      </c>
      <c r="D146" s="260">
        <v>20000</v>
      </c>
      <c r="E146" s="376" t="s">
        <v>163</v>
      </c>
      <c r="F146" s="263"/>
      <c r="G146" s="42"/>
      <c r="H146" s="262"/>
      <c r="I146" s="42"/>
      <c r="J146" s="41"/>
      <c r="K146" s="43"/>
      <c r="L146" s="51">
        <f t="shared" si="20"/>
        <v>20000</v>
      </c>
      <c r="M146" s="43"/>
      <c r="N146" s="51">
        <f t="shared" si="21"/>
        <v>20000</v>
      </c>
      <c r="O146" s="43"/>
      <c r="P146" s="51">
        <f t="shared" si="22"/>
        <v>20000</v>
      </c>
      <c r="Q146" s="249"/>
      <c r="R146" s="51">
        <f t="shared" si="23"/>
        <v>20000</v>
      </c>
      <c r="S146" s="257"/>
      <c r="T146" s="51">
        <f t="shared" si="24"/>
        <v>20000</v>
      </c>
    </row>
    <row r="147" spans="1:20" ht="16.5" customHeight="1" hidden="1" thickBot="1">
      <c r="A147" s="523" t="s">
        <v>15</v>
      </c>
      <c r="B147" s="42"/>
      <c r="C147" s="504"/>
      <c r="D147" s="260"/>
      <c r="E147" s="376" t="s">
        <v>163</v>
      </c>
      <c r="F147" s="263"/>
      <c r="G147" s="42"/>
      <c r="H147" s="262"/>
      <c r="I147" s="42"/>
      <c r="J147" s="41"/>
      <c r="K147" s="43"/>
      <c r="L147" s="51">
        <f t="shared" si="20"/>
        <v>0</v>
      </c>
      <c r="M147" s="43"/>
      <c r="N147" s="51">
        <f t="shared" si="21"/>
        <v>0</v>
      </c>
      <c r="O147" s="43"/>
      <c r="P147" s="51">
        <f t="shared" si="22"/>
        <v>0</v>
      </c>
      <c r="Q147" s="249"/>
      <c r="R147" s="51">
        <f t="shared" si="23"/>
        <v>0</v>
      </c>
      <c r="S147" s="257"/>
      <c r="T147" s="51">
        <f t="shared" si="24"/>
        <v>0</v>
      </c>
    </row>
    <row r="148" spans="1:20" ht="16.5" thickBot="1">
      <c r="A148" s="522" t="s">
        <v>494</v>
      </c>
      <c r="B148" s="42"/>
      <c r="C148" s="504" t="s">
        <v>165</v>
      </c>
      <c r="D148" s="260">
        <v>4000</v>
      </c>
      <c r="E148" s="376" t="s">
        <v>163</v>
      </c>
      <c r="F148" s="263"/>
      <c r="G148" s="42"/>
      <c r="H148" s="262"/>
      <c r="I148" s="42"/>
      <c r="J148" s="41">
        <v>4000</v>
      </c>
      <c r="K148" s="43"/>
      <c r="L148" s="51">
        <f t="shared" si="20"/>
        <v>4000</v>
      </c>
      <c r="M148" s="43"/>
      <c r="N148" s="51">
        <f t="shared" si="21"/>
        <v>4000</v>
      </c>
      <c r="O148" s="43"/>
      <c r="P148" s="51">
        <f t="shared" si="22"/>
        <v>4000</v>
      </c>
      <c r="Q148" s="249"/>
      <c r="R148" s="51">
        <f t="shared" si="23"/>
        <v>4000</v>
      </c>
      <c r="S148" s="257"/>
      <c r="T148" s="51">
        <f t="shared" si="24"/>
        <v>4000</v>
      </c>
    </row>
    <row r="149" spans="1:20" ht="16.5" thickBot="1">
      <c r="A149" s="522" t="s">
        <v>495</v>
      </c>
      <c r="B149" s="42"/>
      <c r="C149" s="504"/>
      <c r="D149" s="260"/>
      <c r="E149" s="376" t="s">
        <v>163</v>
      </c>
      <c r="F149" s="263"/>
      <c r="G149" s="42"/>
      <c r="H149" s="262"/>
      <c r="I149" s="42"/>
      <c r="J149" s="41"/>
      <c r="K149" s="43"/>
      <c r="L149" s="51">
        <f t="shared" si="20"/>
        <v>0</v>
      </c>
      <c r="M149" s="43"/>
      <c r="N149" s="51">
        <f t="shared" si="21"/>
        <v>0</v>
      </c>
      <c r="O149" s="43"/>
      <c r="P149" s="51">
        <f t="shared" si="22"/>
        <v>0</v>
      </c>
      <c r="Q149" s="249"/>
      <c r="R149" s="51">
        <f t="shared" si="23"/>
        <v>0</v>
      </c>
      <c r="S149" s="257"/>
      <c r="T149" s="51">
        <f t="shared" si="24"/>
        <v>0</v>
      </c>
    </row>
    <row r="150" spans="1:20" ht="16.5" thickBot="1">
      <c r="A150" s="522" t="s">
        <v>496</v>
      </c>
      <c r="B150" s="42"/>
      <c r="C150" s="504"/>
      <c r="D150" s="260"/>
      <c r="E150" s="376" t="s">
        <v>163</v>
      </c>
      <c r="F150" s="263"/>
      <c r="G150" s="42"/>
      <c r="H150" s="262"/>
      <c r="I150" s="42"/>
      <c r="J150" s="41"/>
      <c r="K150" s="43"/>
      <c r="L150" s="51">
        <f t="shared" si="20"/>
        <v>0</v>
      </c>
      <c r="M150" s="43"/>
      <c r="N150" s="51">
        <f t="shared" si="21"/>
        <v>0</v>
      </c>
      <c r="O150" s="43"/>
      <c r="P150" s="51">
        <f t="shared" si="22"/>
        <v>0</v>
      </c>
      <c r="Q150" s="249"/>
      <c r="R150" s="51">
        <f t="shared" si="23"/>
        <v>0</v>
      </c>
      <c r="S150" s="257"/>
      <c r="T150" s="51">
        <f t="shared" si="24"/>
        <v>0</v>
      </c>
    </row>
    <row r="151" spans="1:20" ht="16.5" thickBot="1">
      <c r="A151" s="522" t="s">
        <v>497</v>
      </c>
      <c r="B151" s="42"/>
      <c r="C151" s="504"/>
      <c r="D151" s="260"/>
      <c r="E151" s="376" t="s">
        <v>163</v>
      </c>
      <c r="F151" s="263"/>
      <c r="G151" s="42"/>
      <c r="H151" s="262"/>
      <c r="I151" s="42"/>
      <c r="J151" s="41"/>
      <c r="K151" s="43"/>
      <c r="L151" s="51">
        <f t="shared" si="20"/>
        <v>0</v>
      </c>
      <c r="M151" s="43"/>
      <c r="N151" s="51">
        <f t="shared" si="21"/>
        <v>0</v>
      </c>
      <c r="O151" s="43"/>
      <c r="P151" s="51">
        <f t="shared" si="22"/>
        <v>0</v>
      </c>
      <c r="Q151" s="249"/>
      <c r="R151" s="51">
        <f t="shared" si="23"/>
        <v>0</v>
      </c>
      <c r="S151" s="257"/>
      <c r="T151" s="51">
        <f t="shared" si="24"/>
        <v>0</v>
      </c>
    </row>
    <row r="152" spans="1:20" ht="16.5" thickBot="1">
      <c r="A152" s="199"/>
      <c r="B152" s="42"/>
      <c r="C152" s="504"/>
      <c r="D152" s="260"/>
      <c r="E152" s="376" t="s">
        <v>163</v>
      </c>
      <c r="F152" s="263"/>
      <c r="G152" s="42"/>
      <c r="H152" s="262"/>
      <c r="I152" s="42"/>
      <c r="J152" s="41"/>
      <c r="K152" s="43"/>
      <c r="L152" s="51">
        <f t="shared" si="20"/>
        <v>0</v>
      </c>
      <c r="M152" s="43"/>
      <c r="N152" s="51">
        <f t="shared" si="21"/>
        <v>0</v>
      </c>
      <c r="O152" s="43"/>
      <c r="P152" s="51">
        <f t="shared" si="22"/>
        <v>0</v>
      </c>
      <c r="Q152" s="249"/>
      <c r="R152" s="51">
        <f t="shared" si="23"/>
        <v>0</v>
      </c>
      <c r="S152" s="257"/>
      <c r="T152" s="51">
        <f t="shared" si="24"/>
        <v>0</v>
      </c>
    </row>
    <row r="153" spans="1:20" ht="16.5" thickBot="1">
      <c r="A153" s="199"/>
      <c r="B153" s="46"/>
      <c r="C153" s="504"/>
      <c r="D153" s="260"/>
      <c r="E153" s="376" t="s">
        <v>163</v>
      </c>
      <c r="F153" s="263"/>
      <c r="G153" s="46"/>
      <c r="H153" s="262"/>
      <c r="I153" s="46"/>
      <c r="J153" s="41"/>
      <c r="K153" s="43"/>
      <c r="L153" s="51">
        <f t="shared" si="20"/>
        <v>0</v>
      </c>
      <c r="M153" s="43"/>
      <c r="N153" s="51">
        <f t="shared" si="21"/>
        <v>0</v>
      </c>
      <c r="O153" s="43"/>
      <c r="P153" s="51">
        <f t="shared" si="22"/>
        <v>0</v>
      </c>
      <c r="Q153" s="249"/>
      <c r="R153" s="51">
        <f t="shared" si="23"/>
        <v>0</v>
      </c>
      <c r="S153" s="257"/>
      <c r="T153" s="51">
        <f t="shared" si="24"/>
        <v>0</v>
      </c>
    </row>
    <row r="154" spans="1:20" ht="16.5" thickBot="1">
      <c r="A154" s="199"/>
      <c r="B154" s="46"/>
      <c r="C154" s="504"/>
      <c r="D154" s="260"/>
      <c r="E154" s="376" t="s">
        <v>163</v>
      </c>
      <c r="F154" s="263"/>
      <c r="G154" s="46"/>
      <c r="H154" s="262"/>
      <c r="I154" s="46"/>
      <c r="J154" s="41"/>
      <c r="K154" s="43"/>
      <c r="L154" s="51">
        <f t="shared" si="20"/>
        <v>0</v>
      </c>
      <c r="M154" s="43"/>
      <c r="N154" s="51">
        <f t="shared" si="21"/>
        <v>0</v>
      </c>
      <c r="O154" s="43"/>
      <c r="P154" s="51">
        <f t="shared" si="22"/>
        <v>0</v>
      </c>
      <c r="Q154" s="249"/>
      <c r="R154" s="51">
        <f t="shared" si="23"/>
        <v>0</v>
      </c>
      <c r="S154" s="257"/>
      <c r="T154" s="51">
        <f t="shared" si="24"/>
        <v>0</v>
      </c>
    </row>
    <row r="155" spans="1:20" ht="16.5" thickBot="1">
      <c r="A155" s="199"/>
      <c r="B155" s="46"/>
      <c r="C155" s="504"/>
      <c r="D155" s="260"/>
      <c r="E155" s="376" t="s">
        <v>163</v>
      </c>
      <c r="F155" s="263"/>
      <c r="G155" s="46"/>
      <c r="H155" s="262"/>
      <c r="I155" s="46"/>
      <c r="J155" s="41"/>
      <c r="K155" s="43"/>
      <c r="L155" s="51">
        <f t="shared" si="20"/>
        <v>0</v>
      </c>
      <c r="M155" s="43"/>
      <c r="N155" s="51">
        <f t="shared" si="21"/>
        <v>0</v>
      </c>
      <c r="O155" s="43"/>
      <c r="P155" s="51">
        <f t="shared" si="22"/>
        <v>0</v>
      </c>
      <c r="Q155" s="249"/>
      <c r="R155" s="51">
        <f t="shared" si="23"/>
        <v>0</v>
      </c>
      <c r="S155" s="257"/>
      <c r="T155" s="51">
        <f t="shared" si="24"/>
        <v>0</v>
      </c>
    </row>
    <row r="156" spans="1:20" ht="16.5" thickBot="1">
      <c r="A156" s="40"/>
      <c r="B156" s="42"/>
      <c r="C156" s="214"/>
      <c r="D156" s="214"/>
      <c r="E156" s="214"/>
      <c r="F156" s="214"/>
      <c r="G156" s="42"/>
      <c r="H156" s="200"/>
      <c r="I156" s="42"/>
      <c r="J156" s="47"/>
      <c r="K156" s="39"/>
      <c r="L156" s="47"/>
      <c r="M156" s="39"/>
      <c r="N156" s="47"/>
      <c r="O156" s="39"/>
      <c r="P156" s="47"/>
      <c r="Q156" s="248"/>
      <c r="R156" s="48"/>
      <c r="S156" s="257"/>
      <c r="T156" s="48"/>
    </row>
    <row r="157" spans="2:20" ht="16.5" thickBot="1">
      <c r="B157" s="38"/>
      <c r="C157" s="213"/>
      <c r="D157" s="213"/>
      <c r="E157" s="213"/>
      <c r="F157" s="213"/>
      <c r="G157" s="38"/>
      <c r="H157" s="202" t="s">
        <v>16</v>
      </c>
      <c r="I157" s="38"/>
      <c r="J157" s="368">
        <f>SUM(J143:J155)</f>
        <v>4000</v>
      </c>
      <c r="K157" s="272"/>
      <c r="L157" s="368">
        <f>SUM(L143:L155)</f>
        <v>24000</v>
      </c>
      <c r="M157" s="272"/>
      <c r="N157" s="368">
        <f>SUM(N143:N155)</f>
        <v>24000</v>
      </c>
      <c r="O157" s="272"/>
      <c r="P157" s="368">
        <f>SUM(P143:P155)</f>
        <v>24000</v>
      </c>
      <c r="Q157" s="273"/>
      <c r="R157" s="368">
        <f>SUM(R143:R155)</f>
        <v>24000</v>
      </c>
      <c r="S157" s="271"/>
      <c r="T157" s="368">
        <f>SUM(T143:T155)</f>
        <v>24000</v>
      </c>
    </row>
    <row r="158" spans="2:20" ht="16.5" thickBot="1">
      <c r="B158" s="62"/>
      <c r="C158" s="219"/>
      <c r="D158" s="219"/>
      <c r="E158" s="219"/>
      <c r="F158" s="219"/>
      <c r="G158" s="62"/>
      <c r="H158" s="61"/>
      <c r="I158" s="62"/>
      <c r="J158" s="29"/>
      <c r="K158" s="63"/>
      <c r="L158" s="29"/>
      <c r="M158" s="63"/>
      <c r="N158" s="29"/>
      <c r="O158" s="63"/>
      <c r="P158" s="29"/>
      <c r="Q158" s="244"/>
      <c r="R158" s="56"/>
      <c r="S158" s="259"/>
      <c r="T158" s="56"/>
    </row>
    <row r="159" spans="2:20" ht="16.5" thickBot="1">
      <c r="B159" s="64"/>
      <c r="C159" s="220"/>
      <c r="D159" s="220"/>
      <c r="E159" s="220"/>
      <c r="F159" s="220"/>
      <c r="G159" s="64"/>
      <c r="H159" s="205" t="s">
        <v>17</v>
      </c>
      <c r="I159" s="64"/>
      <c r="J159" s="368">
        <f>J64+J92+J116+J138+J140+J157</f>
        <v>227607.5625</v>
      </c>
      <c r="K159" s="266"/>
      <c r="L159" s="368">
        <f>L64+L92+L116+L138+L140+L157</f>
        <v>2866675.653</v>
      </c>
      <c r="M159" s="266"/>
      <c r="N159" s="368">
        <f>N64+N92+N116+N138+N140+N157</f>
        <v>3523649.1482500006</v>
      </c>
      <c r="O159" s="266"/>
      <c r="P159" s="368">
        <f>P64+P92+P116+P138+P140+P157</f>
        <v>4059524.739692999</v>
      </c>
      <c r="Q159" s="267"/>
      <c r="R159" s="368">
        <f>R64+R92+R116+R138+R140+R157</f>
        <v>4532200.002392461</v>
      </c>
      <c r="S159" s="268"/>
      <c r="T159" s="368">
        <f>T64+T92+T116+T138+T140+T157</f>
        <v>4597135.210832309</v>
      </c>
    </row>
    <row r="160" spans="1:20" ht="16.5" thickBot="1">
      <c r="A160" s="61"/>
      <c r="B160" s="62"/>
      <c r="C160" s="219"/>
      <c r="D160" s="219"/>
      <c r="E160" s="219"/>
      <c r="F160" s="219"/>
      <c r="G160" s="62"/>
      <c r="H160" s="200"/>
      <c r="I160" s="62"/>
      <c r="J160" s="29"/>
      <c r="K160" s="63"/>
      <c r="L160" s="29"/>
      <c r="M160" s="63"/>
      <c r="N160" s="29"/>
      <c r="O160" s="63"/>
      <c r="P160" s="29"/>
      <c r="Q160" s="244"/>
      <c r="R160" s="56"/>
      <c r="S160" s="259"/>
      <c r="T160" s="56"/>
    </row>
    <row r="161" spans="2:20" ht="16.5" thickBot="1">
      <c r="B161" s="287"/>
      <c r="C161" s="287"/>
      <c r="D161" s="287"/>
      <c r="E161" s="287"/>
      <c r="F161" s="287"/>
      <c r="G161" s="287"/>
      <c r="H161" s="288" t="s">
        <v>22</v>
      </c>
      <c r="I161" s="281"/>
      <c r="J161" s="370">
        <f>J35-J159</f>
        <v>337392.4375</v>
      </c>
      <c r="K161" s="265"/>
      <c r="L161" s="370">
        <f>L35-L159</f>
        <v>58864.70699999994</v>
      </c>
      <c r="M161" s="265"/>
      <c r="N161" s="370">
        <f>N35-N159</f>
        <v>330971.0117499996</v>
      </c>
      <c r="O161" s="266"/>
      <c r="P161" s="370">
        <f>P35-P159</f>
        <v>455612.12030700035</v>
      </c>
      <c r="Q161" s="267"/>
      <c r="R161" s="370">
        <f>R35-R159</f>
        <v>996982.0224075392</v>
      </c>
      <c r="S161" s="678"/>
      <c r="T161" s="370">
        <f>T35-T159</f>
        <v>1021410.5852636909</v>
      </c>
    </row>
    <row r="162" spans="1:20" ht="16.5" thickBot="1">
      <c r="A162" s="60"/>
      <c r="B162" s="56"/>
      <c r="C162" s="219"/>
      <c r="D162" s="219"/>
      <c r="E162" s="219"/>
      <c r="F162" s="219"/>
      <c r="G162" s="56"/>
      <c r="H162" s="284"/>
      <c r="I162" s="56"/>
      <c r="J162" s="56"/>
      <c r="K162" s="56"/>
      <c r="L162" s="56"/>
      <c r="M162" s="56"/>
      <c r="N162" s="56"/>
      <c r="O162" s="56"/>
      <c r="P162" s="56"/>
      <c r="Q162" s="252"/>
      <c r="R162" s="56"/>
      <c r="S162" s="259"/>
      <c r="T162" s="56"/>
    </row>
    <row r="163" spans="1:20" ht="16.5" thickBot="1">
      <c r="A163" s="60"/>
      <c r="B163" s="56"/>
      <c r="C163" s="219"/>
      <c r="D163" s="219"/>
      <c r="E163" s="219"/>
      <c r="F163" s="219"/>
      <c r="G163" s="56"/>
      <c r="H163" s="285" t="s">
        <v>321</v>
      </c>
      <c r="I163" s="56"/>
      <c r="J163" s="367">
        <f>0</f>
        <v>0</v>
      </c>
      <c r="K163" s="56"/>
      <c r="L163" s="371">
        <f>J165</f>
        <v>337392.4375</v>
      </c>
      <c r="M163" s="461"/>
      <c r="N163" s="371">
        <f>L165</f>
        <v>396257.14449999994</v>
      </c>
      <c r="O163" s="461"/>
      <c r="P163" s="371">
        <f>N165</f>
        <v>727228.1562499995</v>
      </c>
      <c r="Q163" s="462"/>
      <c r="R163" s="371">
        <f>P165</f>
        <v>1182840.276557</v>
      </c>
      <c r="S163" s="462"/>
      <c r="T163" s="371">
        <f>R165</f>
        <v>2179822.298964539</v>
      </c>
    </row>
    <row r="164" spans="1:20" ht="16.5" thickBot="1">
      <c r="A164" s="66"/>
      <c r="B164" s="67"/>
      <c r="D164" s="222"/>
      <c r="E164" s="222"/>
      <c r="F164" s="222"/>
      <c r="G164" s="67"/>
      <c r="H164" s="286" t="s">
        <v>322</v>
      </c>
      <c r="I164" s="67"/>
      <c r="J164" s="371">
        <f>J161</f>
        <v>337392.4375</v>
      </c>
      <c r="K164" s="68"/>
      <c r="L164" s="371">
        <f>L161</f>
        <v>58864.70699999994</v>
      </c>
      <c r="M164" s="463"/>
      <c r="N164" s="371">
        <f>N161</f>
        <v>330971.0117499996</v>
      </c>
      <c r="O164" s="463"/>
      <c r="P164" s="371">
        <f>P161</f>
        <v>455612.12030700035</v>
      </c>
      <c r="Q164" s="464"/>
      <c r="R164" s="371">
        <f>R161</f>
        <v>996982.0224075392</v>
      </c>
      <c r="S164" s="464"/>
      <c r="T164" s="371">
        <f>T161</f>
        <v>1021410.5852636909</v>
      </c>
    </row>
    <row r="165" spans="1:20" ht="16.5" thickBot="1">
      <c r="A165" s="35"/>
      <c r="B165" s="65"/>
      <c r="D165" s="221"/>
      <c r="E165" s="221"/>
      <c r="F165" s="221"/>
      <c r="G165" s="65"/>
      <c r="H165" s="342" t="s">
        <v>323</v>
      </c>
      <c r="I165" s="65"/>
      <c r="J165" s="371">
        <f>J163+J164</f>
        <v>337392.4375</v>
      </c>
      <c r="K165" s="65"/>
      <c r="L165" s="371">
        <f>L163+L164</f>
        <v>396257.14449999994</v>
      </c>
      <c r="M165" s="465"/>
      <c r="N165" s="371">
        <f>N163+N164</f>
        <v>727228.1562499995</v>
      </c>
      <c r="O165" s="465"/>
      <c r="P165" s="371">
        <f>P163+P164</f>
        <v>1182840.276557</v>
      </c>
      <c r="Q165" s="466"/>
      <c r="R165" s="371">
        <f>R163+R164</f>
        <v>2179822.298964539</v>
      </c>
      <c r="S165" s="467"/>
      <c r="T165" s="371">
        <f>T163+T164</f>
        <v>3201232.88422823</v>
      </c>
    </row>
    <row r="166" spans="1:19" ht="15.75">
      <c r="A166" s="35"/>
      <c r="B166" s="35"/>
      <c r="D166" s="223"/>
      <c r="E166" s="223"/>
      <c r="F166" s="223"/>
      <c r="G166" s="35"/>
      <c r="H166" s="35"/>
      <c r="I166" s="35"/>
      <c r="J166" s="69"/>
      <c r="K166" s="35"/>
      <c r="L166" s="69"/>
      <c r="M166" s="35"/>
      <c r="N166" s="69"/>
      <c r="O166" s="35"/>
      <c r="P166" s="69"/>
      <c r="Q166" s="253"/>
      <c r="R166" s="69"/>
      <c r="S166" s="258"/>
    </row>
    <row r="167" spans="1:19" ht="15.75">
      <c r="A167" s="35"/>
      <c r="B167" s="35"/>
      <c r="D167" s="223"/>
      <c r="E167" s="223"/>
      <c r="F167" s="223"/>
      <c r="G167" s="35"/>
      <c r="H167" s="35"/>
      <c r="I167" s="35"/>
      <c r="J167" s="69"/>
      <c r="K167" s="35"/>
      <c r="L167" s="69"/>
      <c r="M167" s="35"/>
      <c r="N167" s="69"/>
      <c r="O167" s="35"/>
      <c r="P167" s="69"/>
      <c r="Q167" s="253"/>
      <c r="R167" s="69"/>
      <c r="S167" s="258"/>
    </row>
    <row r="168" spans="1:19" ht="15.75">
      <c r="A168" s="35"/>
      <c r="B168" s="35"/>
      <c r="D168" s="223"/>
      <c r="E168" s="223"/>
      <c r="F168" s="223"/>
      <c r="G168" s="35"/>
      <c r="H168" s="35"/>
      <c r="I168" s="35"/>
      <c r="J168" s="69"/>
      <c r="K168" s="35"/>
      <c r="L168" s="69"/>
      <c r="M168" s="35"/>
      <c r="N168" s="69"/>
      <c r="O168" s="35"/>
      <c r="P168" s="69"/>
      <c r="Q168" s="253"/>
      <c r="R168" s="69"/>
      <c r="S168" s="258"/>
    </row>
    <row r="169" spans="4:6" ht="12.75">
      <c r="D169" s="5"/>
      <c r="E169" s="5"/>
      <c r="F169" s="5"/>
    </row>
    <row r="171" spans="8:9" ht="12.75">
      <c r="H171" s="110"/>
      <c r="I171" s="110"/>
    </row>
    <row r="172" spans="8:9" ht="13.5" thickBot="1">
      <c r="H172" s="110"/>
      <c r="I172" s="110"/>
    </row>
    <row r="173" spans="8:20" ht="13.5" thickBot="1">
      <c r="H173" s="232"/>
      <c r="I173" s="232"/>
      <c r="J173" s="1027" t="s">
        <v>265</v>
      </c>
      <c r="K173" s="1028"/>
      <c r="L173" s="1028"/>
      <c r="M173" s="1028"/>
      <c r="N173" s="1028"/>
      <c r="O173" s="1028"/>
      <c r="P173" s="1028"/>
      <c r="Q173" s="1028"/>
      <c r="R173" s="1028"/>
      <c r="S173" s="1028"/>
      <c r="T173" s="1029"/>
    </row>
    <row r="174" spans="8:20" ht="16.5" customHeight="1" thickBot="1">
      <c r="H174" s="110"/>
      <c r="I174" s="110"/>
      <c r="J174" s="231" t="s">
        <v>127</v>
      </c>
      <c r="K174" s="589"/>
      <c r="L174" s="228">
        <f>L9</f>
        <v>2019</v>
      </c>
      <c r="M174" s="349"/>
      <c r="N174" s="228">
        <f>N9</f>
        <v>2020</v>
      </c>
      <c r="O174" s="349"/>
      <c r="P174" s="228">
        <f>P9</f>
        <v>2021</v>
      </c>
      <c r="Q174" s="349"/>
      <c r="R174" s="228">
        <f>R9</f>
        <v>2022</v>
      </c>
      <c r="S174" s="349"/>
      <c r="T174" s="228">
        <f>T9</f>
        <v>2023</v>
      </c>
    </row>
    <row r="175" spans="8:20" ht="40.5" customHeight="1" thickBot="1">
      <c r="H175" s="88"/>
      <c r="I175" s="88"/>
      <c r="J175" s="231" t="s">
        <v>138</v>
      </c>
      <c r="K175" s="589"/>
      <c r="L175" s="743">
        <f>'Salaries - Year 1'!B80</f>
        <v>26</v>
      </c>
      <c r="M175" s="589"/>
      <c r="N175" s="743">
        <f>'Salaries - Year 2'!B80</f>
        <v>33</v>
      </c>
      <c r="O175" s="589"/>
      <c r="P175" s="743">
        <f>'Salaries - Year 3'!B80</f>
        <v>38</v>
      </c>
      <c r="Q175" s="589"/>
      <c r="R175" s="743">
        <f>'Salaries - Year 4'!B80</f>
        <v>41</v>
      </c>
      <c r="S175" s="589"/>
      <c r="T175" s="743">
        <f>'Salaries - Year 5'!B80</f>
        <v>41</v>
      </c>
    </row>
    <row r="176" spans="8:20" ht="40.5" customHeight="1" thickBot="1">
      <c r="H176" s="88"/>
      <c r="I176" s="88"/>
      <c r="J176" s="231" t="s">
        <v>139</v>
      </c>
      <c r="K176" s="589"/>
      <c r="L176" s="300">
        <f>'Salaries - Year 1'!B68</f>
        <v>1095104</v>
      </c>
      <c r="M176" s="589"/>
      <c r="N176" s="300">
        <f>'Salaries - Year 2'!B68</f>
        <v>1436998</v>
      </c>
      <c r="O176" s="589"/>
      <c r="P176" s="300">
        <f>'Salaries - Year 3'!B68</f>
        <v>1719955.24</v>
      </c>
      <c r="Q176" s="589"/>
      <c r="R176" s="300">
        <f>'Salaries - Year 4'!B68</f>
        <v>1931343.1208000004</v>
      </c>
      <c r="S176" s="589"/>
      <c r="T176" s="300">
        <f>'Salaries - Year 5'!B68</f>
        <v>1969969.9832159998</v>
      </c>
    </row>
    <row r="177" spans="8:20" ht="38.25" customHeight="1" thickBot="1">
      <c r="H177" s="88"/>
      <c r="I177" s="88"/>
      <c r="J177" s="231" t="s">
        <v>203</v>
      </c>
      <c r="K177" s="350"/>
      <c r="L177" s="372">
        <f>'Revenues-Federal &amp; State '!E101</f>
        <v>224</v>
      </c>
      <c r="M177" s="350"/>
      <c r="N177" s="372">
        <f>'Revenues-Federal &amp; State '!G101</f>
        <v>312</v>
      </c>
      <c r="O177" s="350"/>
      <c r="P177" s="372">
        <f>'Revenues-Federal &amp; State '!I101</f>
        <v>404</v>
      </c>
      <c r="Q177" s="350"/>
      <c r="R177" s="372">
        <f>'Revenues-Federal &amp; State '!K101</f>
        <v>504</v>
      </c>
      <c r="S177" s="350"/>
      <c r="T177" s="372">
        <f>'Revenues-Federal &amp; State '!M101</f>
        <v>504</v>
      </c>
    </row>
    <row r="178" spans="8:9" ht="12.75" customHeight="1" hidden="1">
      <c r="H178" s="88"/>
      <c r="I178" s="88"/>
    </row>
    <row r="179" ht="12.75" customHeight="1" hidden="1"/>
    <row r="180" ht="12.75" customHeight="1" hidden="1">
      <c r="C180" s="5">
        <v>2018</v>
      </c>
    </row>
    <row r="181" ht="12.75" customHeight="1" hidden="1">
      <c r="C181" s="5"/>
    </row>
    <row r="182" ht="12.75" customHeight="1" hidden="1"/>
    <row r="183" ht="12.75" customHeight="1" hidden="1"/>
    <row r="184" ht="15.75" customHeight="1" hidden="1">
      <c r="C184" s="212" t="s">
        <v>134</v>
      </c>
    </row>
    <row r="185" ht="15.75" customHeight="1" hidden="1">
      <c r="C185" s="222" t="s">
        <v>137</v>
      </c>
    </row>
    <row r="186" ht="15.75" customHeight="1" hidden="1">
      <c r="C186" s="212"/>
    </row>
    <row r="187" ht="15.75" customHeight="1" hidden="1">
      <c r="C187" s="221"/>
    </row>
    <row r="188" ht="15.75" customHeight="1" hidden="1">
      <c r="C188" s="223"/>
    </row>
    <row r="189" ht="15.75" customHeight="1" hidden="1">
      <c r="C189" s="223" t="s">
        <v>165</v>
      </c>
    </row>
    <row r="190" ht="15.75" customHeight="1" hidden="1">
      <c r="C190" s="223" t="s">
        <v>136</v>
      </c>
    </row>
    <row r="191" ht="12.75" customHeight="1" hidden="1">
      <c r="C191" s="5" t="s">
        <v>135</v>
      </c>
    </row>
    <row r="192" ht="12.75" customHeight="1" hidden="1">
      <c r="C192" s="5" t="s">
        <v>1</v>
      </c>
    </row>
    <row r="193" ht="12.75" customHeight="1" hidden="1"/>
    <row r="194" ht="12.75" customHeight="1" hidden="1"/>
    <row r="195" ht="12.75" customHeight="1" hidden="1">
      <c r="C195" s="5" t="s">
        <v>165</v>
      </c>
    </row>
    <row r="196" ht="12.75" customHeight="1" hidden="1">
      <c r="C196" s="5" t="s">
        <v>137</v>
      </c>
    </row>
    <row r="197" ht="12.75" customHeight="1" hidden="1">
      <c r="C197" s="5" t="s">
        <v>135</v>
      </c>
    </row>
    <row r="198" ht="12.75" customHeight="1" hidden="1">
      <c r="C198" s="5" t="s">
        <v>1</v>
      </c>
    </row>
    <row r="199" ht="12.75" customHeight="1" hidden="1"/>
    <row r="200" ht="12.75" customHeight="1" hidden="1"/>
    <row r="201" ht="12.75" customHeight="1" hidden="1">
      <c r="C201" s="5" t="s">
        <v>0</v>
      </c>
    </row>
    <row r="202" ht="12.75" customHeight="1" hidden="1">
      <c r="C202" s="5" t="s">
        <v>320</v>
      </c>
    </row>
    <row r="203" ht="12.75" customHeight="1" hidden="1"/>
    <row r="204" ht="12.75" customHeight="1" hidden="1"/>
  </sheetData>
  <sheetProtection password="CC59" sheet="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rintOptions/>
  <pageMargins left="0" right="0" top="0" bottom="0" header="0.3" footer="0.3"/>
  <pageSetup horizontalDpi="600" verticalDpi="600" orientation="landscape" paperSize="5" scale="60" r:id="rId1"/>
</worksheet>
</file>

<file path=xl/worksheets/sheet12.xml><?xml version="1.0" encoding="utf-8"?>
<worksheet xmlns="http://schemas.openxmlformats.org/spreadsheetml/2006/main" xmlns:r="http://schemas.openxmlformats.org/officeDocument/2006/relationships">
  <dimension ref="A1:Z178"/>
  <sheetViews>
    <sheetView zoomScale="70" zoomScaleNormal="70" zoomScalePageLayoutView="0" workbookViewId="0" topLeftCell="A1">
      <selection activeCell="D19" sqref="D19"/>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250" customWidth="1"/>
    <col min="12" max="12" width="18.7109375" style="0" customWidth="1"/>
    <col min="13" max="13" width="3.421875" style="250" customWidth="1"/>
    <col min="14" max="14" width="18.7109375" style="0" customWidth="1"/>
    <col min="15" max="15" width="9.140625" style="4" customWidth="1"/>
    <col min="16" max="20" width="12.28125" style="507"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514" t="str">
        <f>'Budget with Assumptions'!A2</f>
        <v>Chicago Classical Academy</v>
      </c>
      <c r="B1" s="15"/>
      <c r="C1" s="15"/>
      <c r="D1" s="16"/>
      <c r="E1" s="16"/>
      <c r="F1" s="16"/>
      <c r="G1" s="16"/>
      <c r="H1" s="16"/>
      <c r="I1" s="16"/>
      <c r="J1" s="16"/>
      <c r="K1" s="237"/>
      <c r="L1" s="14"/>
      <c r="M1" s="254"/>
    </row>
    <row r="2" spans="1:13" ht="23.25" customHeight="1" thickBot="1">
      <c r="A2" s="515" t="s">
        <v>259</v>
      </c>
      <c r="B2" s="15"/>
      <c r="C2" s="15"/>
      <c r="D2" s="17"/>
      <c r="E2" s="17"/>
      <c r="F2" s="17"/>
      <c r="G2" s="17"/>
      <c r="H2" s="17"/>
      <c r="I2" s="17"/>
      <c r="J2" s="17"/>
      <c r="K2" s="238"/>
      <c r="L2" s="18"/>
      <c r="M2" s="255"/>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038" t="s">
        <v>126</v>
      </c>
    </row>
    <row r="8" spans="1:20" ht="27.75" customHeight="1" thickBot="1">
      <c r="A8" s="2"/>
      <c r="B8" s="70"/>
      <c r="C8" s="70"/>
      <c r="D8" s="1039"/>
      <c r="E8" s="21"/>
      <c r="F8" s="1030" t="s">
        <v>355</v>
      </c>
      <c r="G8" s="1031"/>
      <c r="H8" s="1031"/>
      <c r="I8" s="1031"/>
      <c r="J8" s="1031"/>
      <c r="K8" s="1031"/>
      <c r="L8" s="1031"/>
      <c r="M8" s="1031"/>
      <c r="N8" s="1032"/>
      <c r="P8" s="1035" t="s">
        <v>256</v>
      </c>
      <c r="Q8" s="1036"/>
      <c r="R8" s="1036"/>
      <c r="S8" s="1036"/>
      <c r="T8" s="1037"/>
    </row>
    <row r="9" spans="1:20" ht="23.25" thickBot="1">
      <c r="A9" s="203" t="s">
        <v>132</v>
      </c>
      <c r="B9" s="2"/>
      <c r="C9" s="2"/>
      <c r="D9" s="729">
        <f>'Budget with Assumptions'!J9</f>
        <v>2018</v>
      </c>
      <c r="E9" s="70"/>
      <c r="F9" s="277">
        <f>'Budget with Assumptions'!L9</f>
        <v>2019</v>
      </c>
      <c r="G9" s="242"/>
      <c r="H9" s="277">
        <f>'Budget with Assumptions'!N9</f>
        <v>2020</v>
      </c>
      <c r="I9" s="242"/>
      <c r="J9" s="277">
        <f>'Budget with Assumptions'!P9</f>
        <v>2021</v>
      </c>
      <c r="K9" s="242"/>
      <c r="L9" s="277">
        <f>'Budget with Assumptions'!R9</f>
        <v>2022</v>
      </c>
      <c r="M9" s="256"/>
      <c r="N9" s="277">
        <f>'Budget with Assumptions'!T9</f>
        <v>2023</v>
      </c>
      <c r="P9" s="662">
        <f>'Budget with Assumptions'!L9</f>
        <v>2019</v>
      </c>
      <c r="Q9" s="662">
        <f>'Budget with Assumptions'!N9</f>
        <v>2020</v>
      </c>
      <c r="R9" s="662">
        <f>'Budget with Assumptions'!P9</f>
        <v>2021</v>
      </c>
      <c r="S9" s="662">
        <f>'Budget with Assumptions'!R9</f>
        <v>2022</v>
      </c>
      <c r="T9" s="662">
        <f>'Budget with Assumptions'!T9</f>
        <v>2023</v>
      </c>
    </row>
    <row r="10" spans="1:20" ht="18">
      <c r="A10" s="343" t="str">
        <f>'Budget with Assumptions'!A10</f>
        <v>SBB &amp; Non-SBB ( Grades K-3)</v>
      </c>
      <c r="B10" s="24"/>
      <c r="C10" s="24"/>
      <c r="D10" s="278">
        <f>'Budget with Assumptions'!J10</f>
        <v>0</v>
      </c>
      <c r="E10" s="639"/>
      <c r="F10" s="278">
        <f>'Budget with Assumptions'!L10</f>
        <v>1147440</v>
      </c>
      <c r="G10" s="547"/>
      <c r="H10" s="278">
        <f>'Budget with Assumptions'!N10</f>
        <v>1393320</v>
      </c>
      <c r="I10" s="547"/>
      <c r="J10" s="278">
        <f>'Budget with Assumptions'!P10</f>
        <v>1529920</v>
      </c>
      <c r="K10" s="624"/>
      <c r="L10" s="278">
        <f>'Budget with Assumptions'!R10</f>
        <v>1529920</v>
      </c>
      <c r="M10" s="624"/>
      <c r="N10" s="278">
        <f>'Budget with Assumptions'!T10</f>
        <v>1529920</v>
      </c>
      <c r="P10" s="663">
        <f>F10/$F$35</f>
        <v>0.39221472234278115</v>
      </c>
      <c r="Q10" s="663">
        <f>H10/$H$35</f>
        <v>0.36146752265208926</v>
      </c>
      <c r="R10" s="663">
        <f>J10/$J$35</f>
        <v>0.3388424420871265</v>
      </c>
      <c r="S10" s="663">
        <f>L10/$L$35</f>
        <v>0.2766991560664599</v>
      </c>
      <c r="T10" s="663">
        <f>N10/$N$35</f>
        <v>0.2722982165711014</v>
      </c>
    </row>
    <row r="11" spans="1:20" ht="15.75">
      <c r="A11" s="343" t="str">
        <f>'Budget with Assumptions'!A11</f>
        <v>SBB &amp; Non-SBB (Grades 4-8)</v>
      </c>
      <c r="B11" s="24"/>
      <c r="C11" s="24"/>
      <c r="D11" s="278">
        <f>'Budget with Assumptions'!J11</f>
        <v>0</v>
      </c>
      <c r="E11" s="640"/>
      <c r="F11" s="278">
        <f>'Budget with Assumptions'!L11</f>
        <v>357448</v>
      </c>
      <c r="G11" s="641"/>
      <c r="H11" s="278">
        <f>'Budget with Assumptions'!N11</f>
        <v>689364</v>
      </c>
      <c r="I11" s="641"/>
      <c r="J11" s="278">
        <f>'Budget with Assumptions'!P11</f>
        <v>1148940</v>
      </c>
      <c r="K11" s="642"/>
      <c r="L11" s="278">
        <f>'Budget with Assumptions'!R11</f>
        <v>1787240</v>
      </c>
      <c r="M11" s="638"/>
      <c r="N11" s="278">
        <f>'Budget with Assumptions'!T11</f>
        <v>1787240</v>
      </c>
      <c r="P11" s="664">
        <f>F11/$F$35</f>
        <v>0.12218187275324413</v>
      </c>
      <c r="Q11" s="664">
        <f>H11/$H$35</f>
        <v>0.17884096782184628</v>
      </c>
      <c r="R11" s="663">
        <f aca="true" t="shared" si="0" ref="R11:R33">J11/$J$35</f>
        <v>0.25446404740874234</v>
      </c>
      <c r="S11" s="663">
        <f aca="true" t="shared" si="1" ref="S11:S33">L11/$L$35</f>
        <v>0.3232376854268327</v>
      </c>
      <c r="T11" s="663">
        <f aca="true" t="shared" si="2" ref="T11:T33">N11/$N$35</f>
        <v>0.3180965439921926</v>
      </c>
    </row>
    <row r="12" spans="1:20" ht="31.5">
      <c r="A12" s="581" t="str">
        <f>'Budget with Assumptions'!A12</f>
        <v>SBB &amp; Non-SBB (Grades 6-8)-This only for schools that have HS grades with grades 6-8.</v>
      </c>
      <c r="B12" s="24"/>
      <c r="C12" s="24"/>
      <c r="D12" s="278">
        <f>'Budget with Assumptions'!J12</f>
        <v>0</v>
      </c>
      <c r="E12" s="640"/>
      <c r="F12" s="278">
        <f>'Budget with Assumptions'!L12</f>
        <v>0</v>
      </c>
      <c r="G12" s="641"/>
      <c r="H12" s="278">
        <f>'Budget with Assumptions'!N12</f>
        <v>0</v>
      </c>
      <c r="I12" s="641"/>
      <c r="J12" s="278">
        <f>'Budget with Assumptions'!P12</f>
        <v>0</v>
      </c>
      <c r="K12" s="642"/>
      <c r="L12" s="278">
        <f>'Budget with Assumptions'!R12</f>
        <v>0</v>
      </c>
      <c r="M12" s="638"/>
      <c r="N12" s="278">
        <f>'Budget with Assumptions'!T12</f>
        <v>0</v>
      </c>
      <c r="P12" s="664">
        <f aca="true" t="shared" si="3" ref="P12:P33">F12/$F$35</f>
        <v>0</v>
      </c>
      <c r="Q12" s="664">
        <f aca="true" t="shared" si="4" ref="Q12:Q33">H12/$H$35</f>
        <v>0</v>
      </c>
      <c r="R12" s="663">
        <f t="shared" si="0"/>
        <v>0</v>
      </c>
      <c r="S12" s="663">
        <f t="shared" si="1"/>
        <v>0</v>
      </c>
      <c r="T12" s="663">
        <f t="shared" si="2"/>
        <v>0</v>
      </c>
    </row>
    <row r="13" spans="1:20" ht="15.75">
      <c r="A13" s="343" t="str">
        <f>'Budget with Assumptions'!A13</f>
        <v>SBB &amp; Non-SBB (High School)</v>
      </c>
      <c r="B13" s="24"/>
      <c r="C13" s="24"/>
      <c r="D13" s="278">
        <f>'Budget with Assumptions'!J13</f>
        <v>0</v>
      </c>
      <c r="E13" s="640"/>
      <c r="F13" s="278">
        <f>'Budget with Assumptions'!L13</f>
        <v>0</v>
      </c>
      <c r="G13" s="641"/>
      <c r="H13" s="278">
        <f>'Budget with Assumptions'!N13</f>
        <v>0</v>
      </c>
      <c r="I13" s="641"/>
      <c r="J13" s="278">
        <f>'Budget with Assumptions'!P13</f>
        <v>0</v>
      </c>
      <c r="K13" s="642"/>
      <c r="L13" s="278">
        <f>'Budget with Assumptions'!R13</f>
        <v>0</v>
      </c>
      <c r="M13" s="638"/>
      <c r="N13" s="278">
        <f>'Budget with Assumptions'!T13</f>
        <v>0</v>
      </c>
      <c r="P13" s="664">
        <f t="shared" si="3"/>
        <v>0</v>
      </c>
      <c r="Q13" s="664">
        <f t="shared" si="4"/>
        <v>0</v>
      </c>
      <c r="R13" s="663">
        <f t="shared" si="0"/>
        <v>0</v>
      </c>
      <c r="S13" s="663">
        <f t="shared" si="1"/>
        <v>0</v>
      </c>
      <c r="T13" s="663">
        <f t="shared" si="2"/>
        <v>0</v>
      </c>
    </row>
    <row r="14" spans="1:20" ht="15.75" customHeight="1" hidden="1">
      <c r="A14" s="343" t="str">
        <f>'Budget with Assumptions'!A14</f>
        <v>CPS Start-up Funds</v>
      </c>
      <c r="B14" s="24"/>
      <c r="C14" s="24"/>
      <c r="D14" s="278">
        <f>'Budget with Assumptions'!J14</f>
        <v>0</v>
      </c>
      <c r="E14" s="640"/>
      <c r="F14" s="278">
        <f>'Budget with Assumptions'!L14</f>
        <v>0</v>
      </c>
      <c r="G14" s="641"/>
      <c r="H14" s="278">
        <f>'Budget with Assumptions'!N14</f>
        <v>0</v>
      </c>
      <c r="I14" s="641"/>
      <c r="J14" s="278">
        <f>'Budget with Assumptions'!P14</f>
        <v>0</v>
      </c>
      <c r="K14" s="642"/>
      <c r="L14" s="278">
        <f>'Budget with Assumptions'!R14</f>
        <v>0</v>
      </c>
      <c r="M14" s="638"/>
      <c r="N14" s="278">
        <f>'Budget with Assumptions'!T14</f>
        <v>0</v>
      </c>
      <c r="P14" s="664">
        <f t="shared" si="3"/>
        <v>0</v>
      </c>
      <c r="Q14" s="664">
        <f t="shared" si="4"/>
        <v>0</v>
      </c>
      <c r="R14" s="663">
        <f t="shared" si="0"/>
        <v>0</v>
      </c>
      <c r="S14" s="663">
        <f t="shared" si="1"/>
        <v>0</v>
      </c>
      <c r="T14" s="663">
        <f t="shared" si="2"/>
        <v>0</v>
      </c>
    </row>
    <row r="15" spans="1:20" ht="15.75" customHeight="1" hidden="1">
      <c r="A15" s="343" t="str">
        <f>'Budget with Assumptions'!A15</f>
        <v>CPS Expansion Funds</v>
      </c>
      <c r="B15" s="24"/>
      <c r="C15" s="24"/>
      <c r="D15" s="278">
        <f>'Budget with Assumptions'!J15</f>
        <v>0</v>
      </c>
      <c r="E15" s="640"/>
      <c r="F15" s="278">
        <f>'Budget with Assumptions'!L15</f>
        <v>0</v>
      </c>
      <c r="G15" s="643"/>
      <c r="H15" s="278">
        <f>'Budget with Assumptions'!N15</f>
        <v>0</v>
      </c>
      <c r="I15" s="643"/>
      <c r="J15" s="278">
        <f>'Budget with Assumptions'!P15</f>
        <v>0</v>
      </c>
      <c r="K15" s="644"/>
      <c r="L15" s="278">
        <f>'Budget with Assumptions'!R15</f>
        <v>0</v>
      </c>
      <c r="M15" s="464"/>
      <c r="N15" s="278">
        <f>'Budget with Assumptions'!T15</f>
        <v>0</v>
      </c>
      <c r="P15" s="664">
        <f t="shared" si="3"/>
        <v>0</v>
      </c>
      <c r="Q15" s="664">
        <f t="shared" si="4"/>
        <v>0</v>
      </c>
      <c r="R15" s="663">
        <f t="shared" si="0"/>
        <v>0</v>
      </c>
      <c r="S15" s="663">
        <f t="shared" si="1"/>
        <v>0</v>
      </c>
      <c r="T15" s="663">
        <f t="shared" si="2"/>
        <v>0</v>
      </c>
    </row>
    <row r="16" spans="1:20" ht="15.75">
      <c r="A16" s="343" t="str">
        <f>'Budget with Assumptions'!A16</f>
        <v>Non-CPS Facility Supplement </v>
      </c>
      <c r="B16" s="24"/>
      <c r="C16" s="24"/>
      <c r="D16" s="278">
        <f>'Budget with Assumptions'!J16</f>
        <v>0</v>
      </c>
      <c r="E16" s="640"/>
      <c r="F16" s="278">
        <f>'Budget with Assumptions'!L16</f>
        <v>168000</v>
      </c>
      <c r="G16" s="641"/>
      <c r="H16" s="278">
        <f>'Budget with Assumptions'!N16</f>
        <v>234000</v>
      </c>
      <c r="I16" s="641"/>
      <c r="J16" s="278">
        <f>'Budget with Assumptions'!P16</f>
        <v>303000</v>
      </c>
      <c r="K16" s="642"/>
      <c r="L16" s="278">
        <f>'Budget with Assumptions'!R16</f>
        <v>378000</v>
      </c>
      <c r="M16" s="638"/>
      <c r="N16" s="278">
        <f>'Budget with Assumptions'!T16</f>
        <v>378000</v>
      </c>
      <c r="P16" s="664">
        <f t="shared" si="3"/>
        <v>0.05742528877639549</v>
      </c>
      <c r="Q16" s="664">
        <f t="shared" si="4"/>
        <v>0.06070637061162467</v>
      </c>
      <c r="R16" s="663">
        <f t="shared" si="0"/>
        <v>0.06710760036629322</v>
      </c>
      <c r="S16" s="663">
        <f t="shared" si="1"/>
        <v>0.06836454258596648</v>
      </c>
      <c r="T16" s="663">
        <f t="shared" si="2"/>
        <v>0.06727719479703274</v>
      </c>
    </row>
    <row r="17" spans="1:20" ht="15.75">
      <c r="A17" s="343" t="str">
        <f>'Budget with Assumptions'!A17</f>
        <v>SGSA</v>
      </c>
      <c r="B17" s="24"/>
      <c r="C17" s="24"/>
      <c r="D17" s="278">
        <f>'Budget with Assumptions'!J17</f>
        <v>0</v>
      </c>
      <c r="E17" s="640"/>
      <c r="F17" s="278">
        <f>'Budget with Assumptions'!L17</f>
        <v>111890</v>
      </c>
      <c r="G17" s="641"/>
      <c r="H17" s="278">
        <f>'Budget with Assumptions'!N17</f>
        <v>156980</v>
      </c>
      <c r="I17" s="641"/>
      <c r="J17" s="278">
        <f>'Budget with Assumptions'!P17</f>
        <v>202070</v>
      </c>
      <c r="K17" s="642"/>
      <c r="L17" s="278">
        <f>'Budget with Assumptions'!R17</f>
        <v>252170</v>
      </c>
      <c r="M17" s="638"/>
      <c r="N17" s="278">
        <f>'Budget with Assumptions'!T17</f>
        <v>252170</v>
      </c>
      <c r="P17" s="664">
        <f t="shared" si="3"/>
        <v>0.03824592595946959</v>
      </c>
      <c r="Q17" s="664">
        <f t="shared" si="4"/>
        <v>0.040725154096636074</v>
      </c>
      <c r="R17" s="663">
        <f t="shared" si="0"/>
        <v>0.0447539036502207</v>
      </c>
      <c r="S17" s="663">
        <f t="shared" si="1"/>
        <v>0.045607107682283515</v>
      </c>
      <c r="T17" s="663">
        <f t="shared" si="2"/>
        <v>0.04488172013748081</v>
      </c>
    </row>
    <row r="18" spans="1:20" ht="15.75">
      <c r="A18" s="343" t="str">
        <f>'Budget with Assumptions'!A18</f>
        <v>NCLB-Title 1</v>
      </c>
      <c r="B18" s="24"/>
      <c r="C18" s="24"/>
      <c r="D18" s="278">
        <f>'Budget with Assumptions'!J18</f>
        <v>0</v>
      </c>
      <c r="E18" s="640"/>
      <c r="F18" s="278">
        <f>'Budget with Assumptions'!L18</f>
        <v>81854.64</v>
      </c>
      <c r="G18" s="641"/>
      <c r="H18" s="278">
        <f>'Budget with Assumptions'!N18</f>
        <v>114816.23999999999</v>
      </c>
      <c r="I18" s="641"/>
      <c r="J18" s="278">
        <f>'Budget with Assumptions'!P18</f>
        <v>147686.28</v>
      </c>
      <c r="K18" s="642"/>
      <c r="L18" s="278">
        <f>'Budget with Assumptions'!R18</f>
        <v>184401.84</v>
      </c>
      <c r="M18" s="638"/>
      <c r="N18" s="278">
        <f>'Budget with Assumptions'!T18</f>
        <v>184401.84</v>
      </c>
      <c r="P18" s="664">
        <f t="shared" si="3"/>
        <v>0.02797932345052317</v>
      </c>
      <c r="Q18" s="664">
        <f t="shared" si="4"/>
        <v>0.029786654776381385</v>
      </c>
      <c r="R18" s="663">
        <f t="shared" si="0"/>
        <v>0.03270914804562536</v>
      </c>
      <c r="S18" s="663">
        <f t="shared" si="1"/>
        <v>0.0333506546127264</v>
      </c>
      <c r="T18" s="663">
        <f t="shared" si="2"/>
        <v>0.0328202077000298</v>
      </c>
    </row>
    <row r="19" spans="1:26" ht="15.75">
      <c r="A19" s="343" t="str">
        <f>'Budget with Assumptions'!A19</f>
        <v>NCLB-Title 2</v>
      </c>
      <c r="B19" s="24"/>
      <c r="C19" s="24"/>
      <c r="D19" s="278">
        <f>'Budget with Assumptions'!J19</f>
        <v>0</v>
      </c>
      <c r="E19" s="640"/>
      <c r="F19" s="278">
        <f>'Budget with Assumptions'!L19</f>
        <v>15680</v>
      </c>
      <c r="G19" s="641"/>
      <c r="H19" s="278">
        <f>'Budget with Assumptions'!N19</f>
        <v>21980</v>
      </c>
      <c r="I19" s="641"/>
      <c r="J19" s="278">
        <f>'Budget with Assumptions'!P19</f>
        <v>28210</v>
      </c>
      <c r="K19" s="642"/>
      <c r="L19" s="278">
        <f>'Budget with Assumptions'!R19</f>
        <v>35280</v>
      </c>
      <c r="M19" s="638"/>
      <c r="N19" s="278">
        <f>'Budget with Assumptions'!T19</f>
        <v>35280</v>
      </c>
      <c r="O19"/>
      <c r="P19" s="664">
        <f t="shared" si="3"/>
        <v>0.005359693619130245</v>
      </c>
      <c r="Q19" s="664">
        <f t="shared" si="4"/>
        <v>0.005702247974544916</v>
      </c>
      <c r="R19" s="663">
        <f t="shared" si="0"/>
        <v>0.0062478726281621514</v>
      </c>
      <c r="S19" s="663">
        <f t="shared" si="1"/>
        <v>0.006380690641356873</v>
      </c>
      <c r="T19" s="663">
        <f t="shared" si="2"/>
        <v>0.006279204847723056</v>
      </c>
      <c r="U19"/>
      <c r="V19"/>
      <c r="W19"/>
      <c r="X19"/>
      <c r="Y19"/>
      <c r="Z19"/>
    </row>
    <row r="20" spans="1:26" ht="15.75">
      <c r="A20" s="343" t="str">
        <f>'Budget with Assumptions'!A20</f>
        <v>ELL</v>
      </c>
      <c r="B20" s="24"/>
      <c r="C20" s="24"/>
      <c r="D20" s="278">
        <f>'Budget with Assumptions'!J20</f>
        <v>0</v>
      </c>
      <c r="E20" s="640"/>
      <c r="F20" s="278">
        <f>'Budget with Assumptions'!L20</f>
        <v>9849</v>
      </c>
      <c r="G20" s="641"/>
      <c r="H20" s="278">
        <f>'Budget with Assumptions'!N20</f>
        <v>14070</v>
      </c>
      <c r="I20" s="641"/>
      <c r="J20" s="278">
        <f>'Budget with Assumptions'!P20</f>
        <v>17822</v>
      </c>
      <c r="K20" s="642"/>
      <c r="L20" s="278">
        <f>'Budget with Assumptions'!R20</f>
        <v>22512</v>
      </c>
      <c r="M20" s="638"/>
      <c r="N20" s="278">
        <f>'Budget with Assumptions'!T20</f>
        <v>22512</v>
      </c>
      <c r="O20"/>
      <c r="P20" s="664">
        <f t="shared" si="3"/>
        <v>0.003366557554516185</v>
      </c>
      <c r="Q20" s="664">
        <f t="shared" si="4"/>
        <v>0.0036501651047246117</v>
      </c>
      <c r="R20" s="663">
        <f t="shared" si="0"/>
        <v>0.003947167174020059</v>
      </c>
      <c r="S20" s="663">
        <f t="shared" si="1"/>
        <v>0.0040714883140086705</v>
      </c>
      <c r="T20" s="663">
        <f t="shared" si="2"/>
        <v>0.004006730712356616</v>
      </c>
      <c r="U20"/>
      <c r="V20"/>
      <c r="W20"/>
      <c r="X20"/>
      <c r="Y20"/>
      <c r="Z20"/>
    </row>
    <row r="21" spans="1:26" ht="15.75">
      <c r="A21" s="343" t="str">
        <f>'Budget with Assumptions'!A21</f>
        <v>Special Education Reimbursement </v>
      </c>
      <c r="B21" s="24"/>
      <c r="C21" s="24"/>
      <c r="D21" s="278">
        <f>'Budget with Assumptions'!J21</f>
        <v>0</v>
      </c>
      <c r="E21" s="641"/>
      <c r="F21" s="278">
        <f>'Budget with Assumptions'!L21</f>
        <v>76800</v>
      </c>
      <c r="G21" s="641"/>
      <c r="H21" s="278">
        <f>'Budget with Assumptions'!N21</f>
        <v>78336</v>
      </c>
      <c r="I21" s="641"/>
      <c r="J21" s="278">
        <f>'Budget with Assumptions'!P21</f>
        <v>109866.23999999999</v>
      </c>
      <c r="K21" s="642"/>
      <c r="L21" s="278">
        <f>'Budget with Assumptions'!R21</f>
        <v>112063.56480000001</v>
      </c>
      <c r="M21" s="638"/>
      <c r="N21" s="278">
        <f>'Budget with Assumptions'!T21</f>
        <v>114304.836096</v>
      </c>
      <c r="O21"/>
      <c r="P21" s="664">
        <f t="shared" si="3"/>
        <v>0.02625156058349508</v>
      </c>
      <c r="Q21" s="664">
        <f t="shared" si="4"/>
        <v>0.02032262499244543</v>
      </c>
      <c r="R21" s="663">
        <f t="shared" si="0"/>
        <v>0.024332870388340786</v>
      </c>
      <c r="S21" s="663">
        <f t="shared" si="1"/>
        <v>0.020267657005568294</v>
      </c>
      <c r="T21" s="663">
        <f t="shared" si="2"/>
        <v>0.020344202974268498</v>
      </c>
      <c r="U21"/>
      <c r="V21"/>
      <c r="W21"/>
      <c r="X21"/>
      <c r="Y21"/>
      <c r="Z21"/>
    </row>
    <row r="22" spans="1:26" ht="15.75" customHeight="1" hidden="1">
      <c r="A22" s="343" t="str">
        <f>'Budget with Assumptions'!A22</f>
        <v>CPS Incubation Funds</v>
      </c>
      <c r="B22" s="24"/>
      <c r="C22" s="24"/>
      <c r="D22" s="278">
        <f>'Budget with Assumptions'!J22</f>
        <v>0</v>
      </c>
      <c r="E22" s="641"/>
      <c r="F22" s="278">
        <f>'Budget with Assumptions'!L22</f>
        <v>0</v>
      </c>
      <c r="G22" s="641"/>
      <c r="H22" s="278">
        <f>'Budget with Assumptions'!N22</f>
        <v>0</v>
      </c>
      <c r="I22" s="641"/>
      <c r="J22" s="278">
        <f>'Budget with Assumptions'!P22</f>
        <v>0</v>
      </c>
      <c r="K22" s="642"/>
      <c r="L22" s="278">
        <f>'Budget with Assumptions'!R22</f>
        <v>0</v>
      </c>
      <c r="M22" s="638"/>
      <c r="N22" s="278">
        <f>'Budget with Assumptions'!T22</f>
        <v>0</v>
      </c>
      <c r="O22"/>
      <c r="P22" s="664">
        <f t="shared" si="3"/>
        <v>0</v>
      </c>
      <c r="Q22" s="664">
        <f t="shared" si="4"/>
        <v>0</v>
      </c>
      <c r="R22" s="663">
        <f t="shared" si="0"/>
        <v>0</v>
      </c>
      <c r="S22" s="663">
        <f t="shared" si="1"/>
        <v>0</v>
      </c>
      <c r="T22" s="663">
        <f t="shared" si="2"/>
        <v>0</v>
      </c>
      <c r="U22"/>
      <c r="V22"/>
      <c r="W22"/>
      <c r="X22"/>
      <c r="Y22"/>
      <c r="Z22"/>
    </row>
    <row r="23" spans="1:26" ht="15.75">
      <c r="A23" s="343" t="str">
        <f>'Budget with Assumptions'!A23</f>
        <v>Private Fundraising</v>
      </c>
      <c r="B23" s="24"/>
      <c r="C23" s="24"/>
      <c r="D23" s="278">
        <f>'Budget with Assumptions'!J23</f>
        <v>0</v>
      </c>
      <c r="E23" s="641"/>
      <c r="F23" s="278">
        <f>'Budget with Assumptions'!L23</f>
        <v>0</v>
      </c>
      <c r="G23" s="641"/>
      <c r="H23" s="278">
        <f>'Budget with Assumptions'!N23</f>
        <v>0</v>
      </c>
      <c r="I23" s="641"/>
      <c r="J23" s="278">
        <f>'Budget with Assumptions'!P23</f>
        <v>0</v>
      </c>
      <c r="K23" s="642"/>
      <c r="L23" s="278">
        <f>'Budget with Assumptions'!R23</f>
        <v>0</v>
      </c>
      <c r="M23" s="638"/>
      <c r="N23" s="278">
        <f>'Budget with Assumptions'!T23</f>
        <v>0</v>
      </c>
      <c r="O23"/>
      <c r="P23" s="664">
        <f t="shared" si="3"/>
        <v>0</v>
      </c>
      <c r="Q23" s="664">
        <f t="shared" si="4"/>
        <v>0</v>
      </c>
      <c r="R23" s="663">
        <f t="shared" si="0"/>
        <v>0</v>
      </c>
      <c r="S23" s="663">
        <f t="shared" si="1"/>
        <v>0</v>
      </c>
      <c r="T23" s="663">
        <f t="shared" si="2"/>
        <v>0</v>
      </c>
      <c r="U23"/>
      <c r="V23"/>
      <c r="W23"/>
      <c r="X23"/>
      <c r="Y23"/>
      <c r="Z23"/>
    </row>
    <row r="24" spans="1:26" ht="15.75">
      <c r="A24" s="343" t="str">
        <f>'Budget with Assumptions'!A24</f>
        <v>Student Fees</v>
      </c>
      <c r="B24" s="24"/>
      <c r="C24" s="24"/>
      <c r="D24" s="278">
        <f>'Budget with Assumptions'!J24</f>
        <v>0</v>
      </c>
      <c r="E24" s="641"/>
      <c r="F24" s="278">
        <f>'Budget with Assumptions'!L24</f>
        <v>13440.000000000002</v>
      </c>
      <c r="G24" s="641"/>
      <c r="H24" s="278">
        <f>'Budget with Assumptions'!N24</f>
        <v>18840</v>
      </c>
      <c r="I24" s="641"/>
      <c r="J24" s="278">
        <f>'Budget with Assumptions'!P24</f>
        <v>24180.000000000004</v>
      </c>
      <c r="K24" s="642"/>
      <c r="L24" s="278">
        <f>'Budget with Assumptions'!R24</f>
        <v>30240.000000000004</v>
      </c>
      <c r="M24" s="638"/>
      <c r="N24" s="278">
        <f>'Budget with Assumptions'!T24</f>
        <v>30240.000000000004</v>
      </c>
      <c r="O24"/>
      <c r="P24" s="664">
        <f t="shared" si="3"/>
        <v>0.0045940231021116395</v>
      </c>
      <c r="Q24" s="664">
        <f t="shared" si="4"/>
        <v>0.004887641121038499</v>
      </c>
      <c r="R24" s="663">
        <f t="shared" si="0"/>
        <v>0.0053553193955675595</v>
      </c>
      <c r="S24" s="663">
        <f t="shared" si="1"/>
        <v>0.00546916340687732</v>
      </c>
      <c r="T24" s="663">
        <f t="shared" si="2"/>
        <v>0.00538217558376262</v>
      </c>
      <c r="U24"/>
      <c r="V24"/>
      <c r="W24"/>
      <c r="X24"/>
      <c r="Y24"/>
      <c r="Z24"/>
    </row>
    <row r="25" spans="1:26" ht="15.75">
      <c r="A25" s="343" t="str">
        <f>'Budget with Assumptions'!A25</f>
        <v>Erate</v>
      </c>
      <c r="B25" s="24"/>
      <c r="C25" s="24"/>
      <c r="D25" s="278">
        <f>'Budget with Assumptions'!J25</f>
        <v>0</v>
      </c>
      <c r="E25" s="641"/>
      <c r="F25" s="278">
        <f>'Budget with Assumptions'!L25</f>
        <v>43980</v>
      </c>
      <c r="G25" s="641"/>
      <c r="H25" s="278">
        <f>'Budget with Assumptions'!N25</f>
        <v>15120</v>
      </c>
      <c r="I25" s="641"/>
      <c r="J25" s="278">
        <f>'Budget with Assumptions'!P25</f>
        <v>37942.5</v>
      </c>
      <c r="K25" s="642"/>
      <c r="L25" s="278">
        <f>'Budget with Assumptions'!R25</f>
        <v>27997.5</v>
      </c>
      <c r="M25" s="638"/>
      <c r="N25" s="278">
        <f>'Budget with Assumptions'!T25</f>
        <v>15120</v>
      </c>
      <c r="O25"/>
      <c r="P25" s="664">
        <f t="shared" si="3"/>
        <v>0.015033120240392104</v>
      </c>
      <c r="Q25" s="664">
        <f t="shared" si="4"/>
        <v>0.0039225654856742094</v>
      </c>
      <c r="R25" s="663">
        <f t="shared" si="0"/>
        <v>0.00840339975873954</v>
      </c>
      <c r="S25" s="663">
        <f t="shared" si="1"/>
        <v>0.005063588045107399</v>
      </c>
      <c r="T25" s="663">
        <f t="shared" si="2"/>
        <v>0.0026910877918813097</v>
      </c>
      <c r="U25"/>
      <c r="V25"/>
      <c r="W25"/>
      <c r="X25"/>
      <c r="Y25"/>
      <c r="Z25"/>
    </row>
    <row r="26" spans="1:26" ht="15.75">
      <c r="A26" s="343" t="str">
        <f>'Budget with Assumptions'!A26</f>
        <v>Investment Income</v>
      </c>
      <c r="B26" s="24"/>
      <c r="C26" s="24"/>
      <c r="D26" s="278">
        <f>'Budget with Assumptions'!J26</f>
        <v>0</v>
      </c>
      <c r="E26" s="641"/>
      <c r="F26" s="278">
        <f>'Budget with Assumptions'!L26</f>
        <v>0</v>
      </c>
      <c r="G26" s="641"/>
      <c r="H26" s="278">
        <f>'Budget with Assumptions'!N26</f>
        <v>0</v>
      </c>
      <c r="I26" s="641"/>
      <c r="J26" s="278">
        <f>'Budget with Assumptions'!P26</f>
        <v>0</v>
      </c>
      <c r="K26" s="642"/>
      <c r="L26" s="278">
        <f>'Budget with Assumptions'!R26</f>
        <v>0</v>
      </c>
      <c r="M26" s="638"/>
      <c r="N26" s="278">
        <f>'Budget with Assumptions'!T26</f>
        <v>0</v>
      </c>
      <c r="O26"/>
      <c r="P26" s="664">
        <f t="shared" si="3"/>
        <v>0</v>
      </c>
      <c r="Q26" s="664">
        <f t="shared" si="4"/>
        <v>0</v>
      </c>
      <c r="R26" s="663">
        <f t="shared" si="0"/>
        <v>0</v>
      </c>
      <c r="S26" s="663">
        <f t="shared" si="1"/>
        <v>0</v>
      </c>
      <c r="T26" s="663">
        <f t="shared" si="2"/>
        <v>0</v>
      </c>
      <c r="U26"/>
      <c r="V26"/>
      <c r="W26"/>
      <c r="X26"/>
      <c r="Y26"/>
      <c r="Z26"/>
    </row>
    <row r="27" spans="1:26" ht="15.75">
      <c r="A27" s="343" t="str">
        <f>'Budget with Assumptions'!A27</f>
        <v>Non-Facility Loan Proceeds / Line of Credit</v>
      </c>
      <c r="B27" s="24"/>
      <c r="C27" s="24"/>
      <c r="D27" s="278">
        <f>'Budget with Assumptions'!J27</f>
        <v>0</v>
      </c>
      <c r="E27" s="641"/>
      <c r="F27" s="278">
        <f>'Budget with Assumptions'!L27</f>
        <v>0</v>
      </c>
      <c r="G27" s="641"/>
      <c r="H27" s="278">
        <f>'Budget with Assumptions'!N27</f>
        <v>0</v>
      </c>
      <c r="I27" s="641"/>
      <c r="J27" s="278">
        <f>'Budget with Assumptions'!P27</f>
        <v>0</v>
      </c>
      <c r="K27" s="642"/>
      <c r="L27" s="278">
        <f>'Budget with Assumptions'!R27</f>
        <v>0</v>
      </c>
      <c r="M27" s="638"/>
      <c r="N27" s="278">
        <f>'Budget with Assumptions'!T27</f>
        <v>0</v>
      </c>
      <c r="O27"/>
      <c r="P27" s="664">
        <f t="shared" si="3"/>
        <v>0</v>
      </c>
      <c r="Q27" s="664">
        <f t="shared" si="4"/>
        <v>0</v>
      </c>
      <c r="R27" s="663">
        <f t="shared" si="0"/>
        <v>0</v>
      </c>
      <c r="S27" s="663">
        <f t="shared" si="1"/>
        <v>0</v>
      </c>
      <c r="T27" s="663">
        <f t="shared" si="2"/>
        <v>0</v>
      </c>
      <c r="U27"/>
      <c r="V27"/>
      <c r="W27"/>
      <c r="X27"/>
      <c r="Y27"/>
      <c r="Z27"/>
    </row>
    <row r="28" spans="1:26" ht="15.75">
      <c r="A28" s="343" t="str">
        <f>'Budget with Assumptions'!A28</f>
        <v>ISBE Grant</v>
      </c>
      <c r="B28" s="24"/>
      <c r="C28" s="24"/>
      <c r="D28" s="278">
        <f>'Budget with Assumptions'!J28</f>
        <v>150000</v>
      </c>
      <c r="E28" s="641"/>
      <c r="F28" s="278">
        <f>'Budget with Assumptions'!L28</f>
        <v>400000</v>
      </c>
      <c r="G28" s="641"/>
      <c r="H28" s="278">
        <f>'Budget with Assumptions'!N28</f>
        <v>400000</v>
      </c>
      <c r="I28" s="641"/>
      <c r="J28" s="278">
        <f>'Budget with Assumptions'!P28</f>
        <v>0</v>
      </c>
      <c r="K28" s="642"/>
      <c r="L28" s="278">
        <f>'Budget with Assumptions'!R28</f>
        <v>0</v>
      </c>
      <c r="M28" s="638"/>
      <c r="N28" s="278">
        <f>'Budget with Assumptions'!T28</f>
        <v>0</v>
      </c>
      <c r="O28"/>
      <c r="P28" s="664">
        <f t="shared" si="3"/>
        <v>0.13672687803903688</v>
      </c>
      <c r="Q28" s="664">
        <f t="shared" si="4"/>
        <v>0.10377157369508491</v>
      </c>
      <c r="R28" s="663">
        <f t="shared" si="0"/>
        <v>0</v>
      </c>
      <c r="S28" s="663">
        <f t="shared" si="1"/>
        <v>0</v>
      </c>
      <c r="T28" s="663">
        <f t="shared" si="2"/>
        <v>0</v>
      </c>
      <c r="U28"/>
      <c r="V28"/>
      <c r="W28"/>
      <c r="X28"/>
      <c r="Y28"/>
      <c r="Z28"/>
    </row>
    <row r="29" spans="1:26" ht="15.75">
      <c r="A29" s="343" t="str">
        <f>'Budget with Assumptions'!A29</f>
        <v>Federal Nutrition Reimbursement</v>
      </c>
      <c r="B29" s="28"/>
      <c r="C29" s="28"/>
      <c r="D29" s="278">
        <f>'Budget with Assumptions'!J29</f>
        <v>0</v>
      </c>
      <c r="E29" s="641"/>
      <c r="F29" s="278">
        <f>'Budget with Assumptions'!L29</f>
        <v>156119.03999999998</v>
      </c>
      <c r="G29" s="641"/>
      <c r="H29" s="278">
        <f>'Budget with Assumptions'!N29</f>
        <v>218845.44</v>
      </c>
      <c r="I29" s="641"/>
      <c r="J29" s="278">
        <f>'Budget with Assumptions'!P29</f>
        <v>280874.88</v>
      </c>
      <c r="K29" s="642"/>
      <c r="L29" s="278">
        <f>'Budget with Assumptions'!R29</f>
        <v>351267.83999999997</v>
      </c>
      <c r="M29" s="638"/>
      <c r="N29" s="278">
        <f>'Budget with Assumptions'!T29</f>
        <v>351267.83999999997</v>
      </c>
      <c r="O29"/>
      <c r="P29" s="664">
        <f t="shared" si="3"/>
        <v>0.05336417235412879</v>
      </c>
      <c r="Q29" s="664">
        <f t="shared" si="4"/>
        <v>0.056774839261983207</v>
      </c>
      <c r="R29" s="663">
        <f t="shared" si="0"/>
        <v>0.06220739009891276</v>
      </c>
      <c r="S29" s="663">
        <f t="shared" si="1"/>
        <v>0.06352980213428694</v>
      </c>
      <c r="T29" s="663">
        <f t="shared" si="2"/>
        <v>0.06251935158098658</v>
      </c>
      <c r="U29"/>
      <c r="V29"/>
      <c r="W29"/>
      <c r="X29"/>
      <c r="Y29"/>
      <c r="Z29"/>
    </row>
    <row r="30" spans="1:26" ht="15.75">
      <c r="A30" s="343" t="str">
        <f>'Budget with Assumptions'!A30</f>
        <v>Other School Lunch Reimbursement</v>
      </c>
      <c r="B30" s="28"/>
      <c r="C30" s="28"/>
      <c r="D30" s="278">
        <f>'Budget with Assumptions'!J30</f>
        <v>0</v>
      </c>
      <c r="E30" s="641"/>
      <c r="F30" s="278">
        <f>'Budget with Assumptions'!L30</f>
        <v>52039.68</v>
      </c>
      <c r="G30" s="641"/>
      <c r="H30" s="278">
        <f>'Budget with Assumptions'!N30</f>
        <v>72948.48000000001</v>
      </c>
      <c r="I30" s="641"/>
      <c r="J30" s="278">
        <f>'Budget with Assumptions'!P30</f>
        <v>93624.96</v>
      </c>
      <c r="K30" s="642"/>
      <c r="L30" s="278">
        <f>'Budget with Assumptions'!R30</f>
        <v>117089.28000000001</v>
      </c>
      <c r="M30" s="638"/>
      <c r="N30" s="278">
        <f>'Budget with Assumptions'!T30</f>
        <v>117089.28000000001</v>
      </c>
      <c r="O30"/>
      <c r="P30" s="664">
        <f t="shared" si="3"/>
        <v>0.017788057451376266</v>
      </c>
      <c r="Q30" s="664">
        <f t="shared" si="4"/>
        <v>0.018924946420661073</v>
      </c>
      <c r="R30" s="663">
        <f t="shared" si="0"/>
        <v>0.020735796699637588</v>
      </c>
      <c r="S30" s="663">
        <f t="shared" si="1"/>
        <v>0.021176600711428982</v>
      </c>
      <c r="T30" s="663">
        <f t="shared" si="2"/>
        <v>0.020839783860328864</v>
      </c>
      <c r="U30"/>
      <c r="V30"/>
      <c r="W30"/>
      <c r="X30"/>
      <c r="Y30"/>
      <c r="Z30"/>
    </row>
    <row r="31" spans="1:26" ht="15.75">
      <c r="A31" s="343" t="str">
        <f>'Budget with Assumptions'!A31</f>
        <v>Summer School</v>
      </c>
      <c r="B31" s="28"/>
      <c r="C31" s="28"/>
      <c r="D31" s="278">
        <f>'Budget with Assumptions'!J31</f>
        <v>0</v>
      </c>
      <c r="E31" s="641"/>
      <c r="F31" s="278">
        <f>'Budget with Assumptions'!L31</f>
        <v>6000</v>
      </c>
      <c r="G31" s="641"/>
      <c r="H31" s="278">
        <f>'Budget with Assumptions'!N31</f>
        <v>6000</v>
      </c>
      <c r="I31" s="641"/>
      <c r="J31" s="278">
        <f>'Budget with Assumptions'!P31</f>
        <v>6000</v>
      </c>
      <c r="K31" s="642"/>
      <c r="L31" s="278">
        <f>'Budget with Assumptions'!R31</f>
        <v>6000</v>
      </c>
      <c r="M31" s="638"/>
      <c r="N31" s="278">
        <f>'Budget with Assumptions'!T31</f>
        <v>6000</v>
      </c>
      <c r="O31"/>
      <c r="P31" s="664">
        <f t="shared" si="3"/>
        <v>0.0020509031705855532</v>
      </c>
      <c r="Q31" s="664">
        <f t="shared" si="4"/>
        <v>0.0015565736054262737</v>
      </c>
      <c r="R31" s="663">
        <f t="shared" si="0"/>
        <v>0.0013288633735899647</v>
      </c>
      <c r="S31" s="663">
        <f t="shared" si="1"/>
        <v>0.0010851514696185156</v>
      </c>
      <c r="T31" s="663">
        <f t="shared" si="2"/>
        <v>0.0010678919809052815</v>
      </c>
      <c r="U31"/>
      <c r="V31"/>
      <c r="W31"/>
      <c r="X31"/>
      <c r="Y31"/>
      <c r="Z31"/>
    </row>
    <row r="32" spans="1:26" ht="15.75">
      <c r="A32" s="343" t="str">
        <f>'Budget with Assumptions'!A32</f>
        <v>Fundraising</v>
      </c>
      <c r="B32" s="28"/>
      <c r="C32" s="28"/>
      <c r="D32" s="278">
        <f>'Budget with Assumptions'!J32</f>
        <v>415000</v>
      </c>
      <c r="E32" s="641"/>
      <c r="F32" s="278">
        <f>'Budget with Assumptions'!L32</f>
        <v>285000</v>
      </c>
      <c r="G32" s="641"/>
      <c r="H32" s="278">
        <f>'Budget with Assumptions'!N32</f>
        <v>420000</v>
      </c>
      <c r="I32" s="641"/>
      <c r="J32" s="278">
        <f>'Budget with Assumptions'!P32</f>
        <v>585000</v>
      </c>
      <c r="K32" s="642"/>
      <c r="L32" s="278">
        <f>'Budget with Assumptions'!R32</f>
        <v>695000</v>
      </c>
      <c r="M32" s="638"/>
      <c r="N32" s="278">
        <f>'Budget with Assumptions'!T32</f>
        <v>795000</v>
      </c>
      <c r="O32"/>
      <c r="P32" s="664">
        <f t="shared" si="3"/>
        <v>0.09741790060281377</v>
      </c>
      <c r="Q32" s="664">
        <f t="shared" si="4"/>
        <v>0.10896015237983915</v>
      </c>
      <c r="R32" s="663">
        <f t="shared" si="0"/>
        <v>0.12956417892502156</v>
      </c>
      <c r="S32" s="663">
        <f t="shared" si="1"/>
        <v>0.12569671189747808</v>
      </c>
      <c r="T32" s="663">
        <f t="shared" si="2"/>
        <v>0.1414956874699498</v>
      </c>
      <c r="U32"/>
      <c r="V32"/>
      <c r="W32"/>
      <c r="X32"/>
      <c r="Y32"/>
      <c r="Z32"/>
    </row>
    <row r="33" spans="1:26" ht="15.75">
      <c r="A33" s="343">
        <f>'Budget with Assumptions'!A33</f>
        <v>0</v>
      </c>
      <c r="B33" s="28"/>
      <c r="C33" s="28"/>
      <c r="D33" s="278">
        <f>'Budget with Assumptions'!J33</f>
        <v>0</v>
      </c>
      <c r="E33" s="641"/>
      <c r="F33" s="278">
        <f>'Budget with Assumptions'!L33</f>
        <v>0</v>
      </c>
      <c r="G33" s="641"/>
      <c r="H33" s="278">
        <f>'Budget with Assumptions'!N33</f>
        <v>0</v>
      </c>
      <c r="I33" s="641"/>
      <c r="J33" s="278">
        <f>'Budget with Assumptions'!P33</f>
        <v>0</v>
      </c>
      <c r="K33" s="645"/>
      <c r="L33" s="278">
        <f>'Budget with Assumptions'!R33</f>
        <v>0</v>
      </c>
      <c r="M33" s="638"/>
      <c r="N33" s="278">
        <f>'Budget with Assumptions'!T33</f>
        <v>0</v>
      </c>
      <c r="O33"/>
      <c r="P33" s="664">
        <f t="shared" si="3"/>
        <v>0</v>
      </c>
      <c r="Q33" s="664">
        <f t="shared" si="4"/>
        <v>0</v>
      </c>
      <c r="R33" s="663">
        <f t="shared" si="0"/>
        <v>0</v>
      </c>
      <c r="S33" s="663">
        <f t="shared" si="1"/>
        <v>0</v>
      </c>
      <c r="T33" s="663">
        <f t="shared" si="2"/>
        <v>0</v>
      </c>
      <c r="U33"/>
      <c r="V33"/>
      <c r="W33"/>
      <c r="X33"/>
      <c r="Y33"/>
      <c r="Z33"/>
    </row>
    <row r="34" spans="1:26" ht="16.5" thickBot="1">
      <c r="A34" s="22"/>
      <c r="B34" s="24"/>
      <c r="C34" s="24"/>
      <c r="D34" s="641"/>
      <c r="E34" s="641"/>
      <c r="F34" s="641"/>
      <c r="G34" s="641"/>
      <c r="H34" s="641"/>
      <c r="I34" s="641"/>
      <c r="J34" s="640"/>
      <c r="K34" s="642"/>
      <c r="L34" s="68"/>
      <c r="M34" s="638"/>
      <c r="N34" s="68"/>
      <c r="O34"/>
      <c r="P34" s="665"/>
      <c r="Q34" s="665"/>
      <c r="R34" s="665"/>
      <c r="S34" s="665"/>
      <c r="T34" s="665"/>
      <c r="U34"/>
      <c r="V34"/>
      <c r="W34"/>
      <c r="X34"/>
      <c r="Y34"/>
      <c r="Z34"/>
    </row>
    <row r="35" spans="2:26" ht="16.5" thickBot="1">
      <c r="B35" s="33"/>
      <c r="C35" s="33"/>
      <c r="D35" s="366">
        <f>SUM(D10:D33)</f>
        <v>565000</v>
      </c>
      <c r="E35" s="269"/>
      <c r="F35" s="366">
        <f>SUM(F10:F33)</f>
        <v>2925540.36</v>
      </c>
      <c r="G35" s="269"/>
      <c r="H35" s="366">
        <f>SUM(H10:H33)</f>
        <v>3854620.16</v>
      </c>
      <c r="I35" s="269"/>
      <c r="J35" s="366">
        <f>SUM(J10:J33)</f>
        <v>4515136.859999999</v>
      </c>
      <c r="K35" s="270"/>
      <c r="L35" s="366">
        <f>SUM(L10:L33)</f>
        <v>5529182.0248</v>
      </c>
      <c r="M35" s="623"/>
      <c r="N35" s="367">
        <f>SUM(N10:N33)</f>
        <v>5618545.796096</v>
      </c>
      <c r="O35"/>
      <c r="P35" s="666">
        <f>SUM(P10:P34)</f>
        <v>1.0000000000000002</v>
      </c>
      <c r="Q35" s="666">
        <f>SUM(Q10:Q34)</f>
        <v>0.9999999999999998</v>
      </c>
      <c r="R35" s="666">
        <f>SUM(R10:R34)</f>
        <v>1</v>
      </c>
      <c r="S35" s="666">
        <f>SUM(S10:S34)</f>
        <v>1</v>
      </c>
      <c r="T35" s="666">
        <f>SUM(T10:T34)</f>
        <v>1</v>
      </c>
      <c r="U35"/>
      <c r="V35"/>
      <c r="W35"/>
      <c r="X35"/>
      <c r="Y35"/>
      <c r="Z35"/>
    </row>
    <row r="36" spans="1:26" ht="15.75">
      <c r="A36" s="27"/>
      <c r="B36" s="28"/>
      <c r="C36" s="28"/>
      <c r="D36" s="641"/>
      <c r="E36" s="641"/>
      <c r="F36" s="641"/>
      <c r="G36" s="641"/>
      <c r="H36" s="641"/>
      <c r="I36" s="641"/>
      <c r="J36" s="641"/>
      <c r="K36" s="646"/>
      <c r="L36" s="68"/>
      <c r="M36" s="638"/>
      <c r="N36" s="68"/>
      <c r="O36"/>
      <c r="P36" s="665"/>
      <c r="Q36" s="665"/>
      <c r="R36" s="665"/>
      <c r="S36" s="665"/>
      <c r="T36" s="665"/>
      <c r="U36"/>
      <c r="V36"/>
      <c r="W36"/>
      <c r="X36"/>
      <c r="Y36"/>
      <c r="Z36"/>
    </row>
    <row r="37" spans="1:26" ht="18" customHeight="1" thickBot="1">
      <c r="A37" s="204" t="s">
        <v>20</v>
      </c>
      <c r="B37" s="28"/>
      <c r="C37" s="28"/>
      <c r="D37" s="641"/>
      <c r="E37" s="641"/>
      <c r="F37" s="641"/>
      <c r="G37" s="641"/>
      <c r="H37" s="641"/>
      <c r="I37" s="641"/>
      <c r="J37" s="641"/>
      <c r="K37" s="646"/>
      <c r="L37" s="68"/>
      <c r="M37" s="638"/>
      <c r="N37" s="68"/>
      <c r="O37"/>
      <c r="P37" s="665"/>
      <c r="Q37" s="665"/>
      <c r="R37" s="665"/>
      <c r="S37" s="665"/>
      <c r="T37" s="665"/>
      <c r="U37"/>
      <c r="V37"/>
      <c r="W37"/>
      <c r="X37"/>
      <c r="Y37"/>
      <c r="Z37"/>
    </row>
    <row r="38" spans="1:26" ht="18" customHeight="1" thickBot="1">
      <c r="A38" s="22"/>
      <c r="B38" s="28"/>
      <c r="C38" s="28"/>
      <c r="D38" s="641"/>
      <c r="E38" s="641"/>
      <c r="F38" s="641"/>
      <c r="G38" s="641"/>
      <c r="H38" s="641"/>
      <c r="I38" s="641"/>
      <c r="J38" s="641"/>
      <c r="K38" s="646"/>
      <c r="L38" s="68"/>
      <c r="M38" s="638"/>
      <c r="N38" s="68"/>
      <c r="O38"/>
      <c r="P38" s="665"/>
      <c r="Q38" s="665"/>
      <c r="R38" s="665"/>
      <c r="S38" s="665"/>
      <c r="T38" s="665"/>
      <c r="U38"/>
      <c r="V38" s="1035" t="s">
        <v>258</v>
      </c>
      <c r="W38" s="1036"/>
      <c r="X38" s="1036"/>
      <c r="Y38" s="1036"/>
      <c r="Z38" s="1037"/>
    </row>
    <row r="39" spans="1:26" ht="32.25" customHeight="1" thickBot="1">
      <c r="A39" s="510" t="s">
        <v>3</v>
      </c>
      <c r="B39" s="24"/>
      <c r="C39" s="24"/>
      <c r="D39" s="647"/>
      <c r="E39" s="647"/>
      <c r="F39" s="647"/>
      <c r="G39" s="647"/>
      <c r="H39" s="647"/>
      <c r="I39" s="647"/>
      <c r="J39" s="647"/>
      <c r="K39" s="648"/>
      <c r="L39" s="647"/>
      <c r="M39" s="638"/>
      <c r="N39" s="647"/>
      <c r="O39"/>
      <c r="P39" s="1035" t="s">
        <v>257</v>
      </c>
      <c r="Q39" s="1036"/>
      <c r="R39" s="1036"/>
      <c r="S39" s="1036"/>
      <c r="T39" s="1037"/>
      <c r="U39"/>
      <c r="V39" s="662">
        <f>P9</f>
        <v>2019</v>
      </c>
      <c r="W39" s="662">
        <f>Q9</f>
        <v>2020</v>
      </c>
      <c r="X39" s="662">
        <f>R9</f>
        <v>2021</v>
      </c>
      <c r="Y39" s="662">
        <f>S9</f>
        <v>2022</v>
      </c>
      <c r="Z39" s="662">
        <f>T9</f>
        <v>2023</v>
      </c>
    </row>
    <row r="40" spans="1:26" ht="15.75">
      <c r="A40" s="517" t="str">
        <f>'Budget with Assumptions'!A40</f>
        <v>Classroom Supplies (consumables)</v>
      </c>
      <c r="B40" s="38"/>
      <c r="C40" s="38"/>
      <c r="D40" s="278">
        <f>'Budget with Assumptions'!J40</f>
        <v>0</v>
      </c>
      <c r="E40" s="649"/>
      <c r="F40" s="278">
        <f>'Budget with Assumptions'!L40</f>
        <v>22400</v>
      </c>
      <c r="G40" s="649"/>
      <c r="H40" s="278">
        <f>'Budget with Assumptions'!N40</f>
        <v>31200</v>
      </c>
      <c r="I40" s="649"/>
      <c r="J40" s="278">
        <f>'Budget with Assumptions'!P40</f>
        <v>40400</v>
      </c>
      <c r="K40" s="650"/>
      <c r="L40" s="278">
        <f>'Budget with Assumptions'!R40</f>
        <v>50400</v>
      </c>
      <c r="M40" s="638"/>
      <c r="N40" s="278">
        <f>'Budget with Assumptions'!T40</f>
        <v>50400</v>
      </c>
      <c r="O40"/>
      <c r="P40" s="663">
        <f aca="true" t="shared" si="5" ref="P40:P62">F40/$F$159</f>
        <v>0.007813928993521891</v>
      </c>
      <c r="Q40" s="663">
        <f aca="true" t="shared" si="6" ref="Q40:Q62">H40/$H$159</f>
        <v>0.008854457037953196</v>
      </c>
      <c r="R40" s="663">
        <f aca="true" t="shared" si="7" ref="R40:R62">J40/$J$159</f>
        <v>0.009951903878052297</v>
      </c>
      <c r="S40" s="663">
        <f aca="true" t="shared" si="8" ref="S40:S62">L40/$L$159</f>
        <v>0.011120427159744675</v>
      </c>
      <c r="T40" s="663">
        <f aca="true" t="shared" si="9" ref="T40:T62">N40/$N$159</f>
        <v>0.010963349496713</v>
      </c>
      <c r="U40"/>
      <c r="V40" s="670">
        <f>F40/$F$178</f>
        <v>100</v>
      </c>
      <c r="W40" s="670">
        <f>H40/$H$178</f>
        <v>100</v>
      </c>
      <c r="X40" s="670">
        <f>J40/$J$178</f>
        <v>100</v>
      </c>
      <c r="Y40" s="670">
        <f>L40/$L$178</f>
        <v>100</v>
      </c>
      <c r="Z40" s="670">
        <f>N40/$N$178</f>
        <v>100</v>
      </c>
    </row>
    <row r="41" spans="1:26" ht="15.75">
      <c r="A41" s="517" t="str">
        <f>'Budget with Assumptions'!A41</f>
        <v>Educational Materials (non-consumables)</v>
      </c>
      <c r="B41" s="42"/>
      <c r="C41" s="42"/>
      <c r="D41" s="278">
        <f>'Budget with Assumptions'!J41</f>
        <v>0</v>
      </c>
      <c r="E41" s="649"/>
      <c r="F41" s="278">
        <f>'Budget with Assumptions'!L41</f>
        <v>17920</v>
      </c>
      <c r="G41" s="649"/>
      <c r="H41" s="278">
        <f>'Budget with Assumptions'!N41</f>
        <v>24960</v>
      </c>
      <c r="I41" s="649"/>
      <c r="J41" s="278">
        <f>'Budget with Assumptions'!P41</f>
        <v>32320</v>
      </c>
      <c r="K41" s="650"/>
      <c r="L41" s="278">
        <f>'Budget with Assumptions'!R41</f>
        <v>40320</v>
      </c>
      <c r="M41" s="638"/>
      <c r="N41" s="278">
        <f>'Budget with Assumptions'!T41</f>
        <v>40320</v>
      </c>
      <c r="O41"/>
      <c r="P41" s="663">
        <f t="shared" si="5"/>
        <v>0.006251143194817513</v>
      </c>
      <c r="Q41" s="663">
        <f t="shared" si="6"/>
        <v>0.007083565630362556</v>
      </c>
      <c r="R41" s="663">
        <f t="shared" si="7"/>
        <v>0.007961523102441838</v>
      </c>
      <c r="S41" s="663">
        <f t="shared" si="8"/>
        <v>0.00889634172779574</v>
      </c>
      <c r="T41" s="663">
        <f t="shared" si="9"/>
        <v>0.0087706795973704</v>
      </c>
      <c r="U41"/>
      <c r="V41" s="670">
        <f aca="true" t="shared" si="10" ref="V41:V62">F41/$F$178</f>
        <v>80</v>
      </c>
      <c r="W41" s="670">
        <f aca="true" t="shared" si="11" ref="W41:W62">H41/$H$178</f>
        <v>80</v>
      </c>
      <c r="X41" s="670">
        <f aca="true" t="shared" si="12" ref="X41:X62">J41/$J$178</f>
        <v>80</v>
      </c>
      <c r="Y41" s="670">
        <f aca="true" t="shared" si="13" ref="Y41:Y62">L41/$L$178</f>
        <v>80</v>
      </c>
      <c r="Z41" s="670">
        <f aca="true" t="shared" si="14" ref="Z41:Z62">N41/$N$178</f>
        <v>80</v>
      </c>
    </row>
    <row r="42" spans="1:26" ht="15.75">
      <c r="A42" s="517" t="str">
        <f>'Budget with Assumptions'!A42</f>
        <v>Student Testing &amp; Assessment</v>
      </c>
      <c r="B42" s="42"/>
      <c r="C42" s="42"/>
      <c r="D42" s="278">
        <f>'Budget with Assumptions'!J42</f>
        <v>0</v>
      </c>
      <c r="E42" s="649"/>
      <c r="F42" s="278">
        <f>'Budget with Assumptions'!L42</f>
        <v>4480</v>
      </c>
      <c r="G42" s="649"/>
      <c r="H42" s="278">
        <f>'Budget with Assumptions'!N42</f>
        <v>6240</v>
      </c>
      <c r="I42" s="649"/>
      <c r="J42" s="278">
        <f>'Budget with Assumptions'!P42</f>
        <v>8080</v>
      </c>
      <c r="K42" s="650"/>
      <c r="L42" s="278">
        <f>'Budget with Assumptions'!R42</f>
        <v>10080</v>
      </c>
      <c r="M42" s="638"/>
      <c r="N42" s="278">
        <f>'Budget with Assumptions'!T42</f>
        <v>10080</v>
      </c>
      <c r="O42"/>
      <c r="P42" s="663">
        <f t="shared" si="5"/>
        <v>0.0015627857987043782</v>
      </c>
      <c r="Q42" s="663">
        <f t="shared" si="6"/>
        <v>0.001770891407590639</v>
      </c>
      <c r="R42" s="663">
        <f t="shared" si="7"/>
        <v>0.0019903807756104595</v>
      </c>
      <c r="S42" s="663">
        <f t="shared" si="8"/>
        <v>0.002224085431948935</v>
      </c>
      <c r="T42" s="663">
        <f t="shared" si="9"/>
        <v>0.0021926698993426</v>
      </c>
      <c r="U42"/>
      <c r="V42" s="670">
        <f t="shared" si="10"/>
        <v>20</v>
      </c>
      <c r="W42" s="670">
        <f t="shared" si="11"/>
        <v>20</v>
      </c>
      <c r="X42" s="670">
        <f t="shared" si="12"/>
        <v>20</v>
      </c>
      <c r="Y42" s="670">
        <f t="shared" si="13"/>
        <v>20</v>
      </c>
      <c r="Z42" s="670">
        <f t="shared" si="14"/>
        <v>20</v>
      </c>
    </row>
    <row r="43" spans="1:26" ht="15.75">
      <c r="A43" s="517" t="str">
        <f>'Budget with Assumptions'!A43</f>
        <v>Student Recruitment</v>
      </c>
      <c r="B43" s="42"/>
      <c r="C43" s="42"/>
      <c r="D43" s="278">
        <f>'Budget with Assumptions'!J43</f>
        <v>10000</v>
      </c>
      <c r="E43" s="649"/>
      <c r="F43" s="278">
        <f>'Budget with Assumptions'!L43</f>
        <v>2000</v>
      </c>
      <c r="G43" s="649"/>
      <c r="H43" s="278">
        <f>'Budget with Assumptions'!N43</f>
        <v>2000</v>
      </c>
      <c r="I43" s="649"/>
      <c r="J43" s="278">
        <f>'Budget with Assumptions'!P43</f>
        <v>2000</v>
      </c>
      <c r="K43" s="650"/>
      <c r="L43" s="278">
        <f>'Budget with Assumptions'!R43</f>
        <v>2000</v>
      </c>
      <c r="M43" s="638"/>
      <c r="N43" s="278">
        <f>'Budget with Assumptions'!T43</f>
        <v>2000</v>
      </c>
      <c r="O43"/>
      <c r="P43" s="663">
        <f t="shared" si="5"/>
        <v>0.0006976722315644546</v>
      </c>
      <c r="Q43" s="663">
        <f t="shared" si="6"/>
        <v>0.0005675933998687946</v>
      </c>
      <c r="R43" s="663">
        <f t="shared" si="7"/>
        <v>0.0004926685088144702</v>
      </c>
      <c r="S43" s="663">
        <f t="shared" si="8"/>
        <v>0.0004412867920533601</v>
      </c>
      <c r="T43" s="663">
        <f t="shared" si="9"/>
        <v>0.000435053551456865</v>
      </c>
      <c r="U43"/>
      <c r="V43" s="670">
        <f t="shared" si="10"/>
        <v>8.928571428571429</v>
      </c>
      <c r="W43" s="670">
        <f t="shared" si="11"/>
        <v>6.410256410256411</v>
      </c>
      <c r="X43" s="670">
        <f t="shared" si="12"/>
        <v>4.9504950495049505</v>
      </c>
      <c r="Y43" s="670">
        <f t="shared" si="13"/>
        <v>3.9682539682539684</v>
      </c>
      <c r="Z43" s="670">
        <f t="shared" si="14"/>
        <v>3.9682539682539684</v>
      </c>
    </row>
    <row r="44" spans="1:26" ht="15.75">
      <c r="A44" s="517" t="str">
        <f>'Budget with Assumptions'!A44</f>
        <v>Instructional Equipment (non-computer)</v>
      </c>
      <c r="B44" s="42"/>
      <c r="C44" s="42"/>
      <c r="D44" s="278">
        <f>'Budget with Assumptions'!J44</f>
        <v>0</v>
      </c>
      <c r="E44" s="649"/>
      <c r="F44" s="278">
        <f>'Budget with Assumptions'!L44</f>
        <v>0</v>
      </c>
      <c r="G44" s="649"/>
      <c r="H44" s="278">
        <f>'Budget with Assumptions'!N44</f>
        <v>0</v>
      </c>
      <c r="I44" s="649"/>
      <c r="J44" s="278">
        <f>'Budget with Assumptions'!P44</f>
        <v>0</v>
      </c>
      <c r="K44" s="650"/>
      <c r="L44" s="278">
        <f>'Budget with Assumptions'!R44</f>
        <v>0</v>
      </c>
      <c r="M44" s="638"/>
      <c r="N44" s="278">
        <f>'Budget with Assumptions'!T44</f>
        <v>0</v>
      </c>
      <c r="O44"/>
      <c r="P44" s="663">
        <f t="shared" si="5"/>
        <v>0</v>
      </c>
      <c r="Q44" s="663">
        <f t="shared" si="6"/>
        <v>0</v>
      </c>
      <c r="R44" s="663">
        <f t="shared" si="7"/>
        <v>0</v>
      </c>
      <c r="S44" s="663">
        <f t="shared" si="8"/>
        <v>0</v>
      </c>
      <c r="T44" s="663">
        <f t="shared" si="9"/>
        <v>0</v>
      </c>
      <c r="U44"/>
      <c r="V44" s="670">
        <f t="shared" si="10"/>
        <v>0</v>
      </c>
      <c r="W44" s="670">
        <f t="shared" si="11"/>
        <v>0</v>
      </c>
      <c r="X44" s="670">
        <f t="shared" si="12"/>
        <v>0</v>
      </c>
      <c r="Y44" s="670">
        <f t="shared" si="13"/>
        <v>0</v>
      </c>
      <c r="Z44" s="670">
        <f t="shared" si="14"/>
        <v>0</v>
      </c>
    </row>
    <row r="45" spans="1:26" ht="15.75">
      <c r="A45" s="517" t="str">
        <f>'Budget with Assumptions'!A45</f>
        <v>Technology Equipment (e.g., computers, LAN, software, etc.)</v>
      </c>
      <c r="B45" s="42"/>
      <c r="C45" s="42"/>
      <c r="D45" s="278">
        <f>'Budget with Assumptions'!J45</f>
        <v>0</v>
      </c>
      <c r="E45" s="649"/>
      <c r="F45" s="278">
        <f>'Budget with Assumptions'!L45</f>
        <v>15000</v>
      </c>
      <c r="G45" s="649"/>
      <c r="H45" s="278">
        <f>'Budget with Assumptions'!N45</f>
        <v>0</v>
      </c>
      <c r="I45" s="649"/>
      <c r="J45" s="278">
        <f>'Budget with Assumptions'!P45</f>
        <v>0</v>
      </c>
      <c r="K45" s="650"/>
      <c r="L45" s="278">
        <f>'Budget with Assumptions'!R45</f>
        <v>0</v>
      </c>
      <c r="M45" s="638"/>
      <c r="N45" s="278">
        <f>'Budget with Assumptions'!T45</f>
        <v>0</v>
      </c>
      <c r="O45"/>
      <c r="P45" s="663">
        <f t="shared" si="5"/>
        <v>0.005232541736733409</v>
      </c>
      <c r="Q45" s="663">
        <f t="shared" si="6"/>
        <v>0</v>
      </c>
      <c r="R45" s="663">
        <f t="shared" si="7"/>
        <v>0</v>
      </c>
      <c r="S45" s="663">
        <f t="shared" si="8"/>
        <v>0</v>
      </c>
      <c r="T45" s="663">
        <f t="shared" si="9"/>
        <v>0</v>
      </c>
      <c r="U45"/>
      <c r="V45" s="670">
        <f t="shared" si="10"/>
        <v>66.96428571428571</v>
      </c>
      <c r="W45" s="670">
        <f t="shared" si="11"/>
        <v>0</v>
      </c>
      <c r="X45" s="670">
        <f t="shared" si="12"/>
        <v>0</v>
      </c>
      <c r="Y45" s="670">
        <f t="shared" si="13"/>
        <v>0</v>
      </c>
      <c r="Z45" s="670">
        <f t="shared" si="14"/>
        <v>0</v>
      </c>
    </row>
    <row r="46" spans="1:26" ht="15.75">
      <c r="A46" s="517" t="str">
        <f>'Budget with Assumptions'!A46</f>
        <v>Furniture</v>
      </c>
      <c r="B46" s="42"/>
      <c r="C46" s="42"/>
      <c r="D46" s="278">
        <f>'Budget with Assumptions'!J46</f>
        <v>0</v>
      </c>
      <c r="E46" s="649"/>
      <c r="F46" s="278">
        <f>'Budget with Assumptions'!L46</f>
        <v>22800</v>
      </c>
      <c r="G46" s="649"/>
      <c r="H46" s="278">
        <f>'Budget with Assumptions'!N46</f>
        <v>18300</v>
      </c>
      <c r="I46" s="649"/>
      <c r="J46" s="278">
        <f>'Budget with Assumptions'!P46</f>
        <v>7800</v>
      </c>
      <c r="K46" s="650"/>
      <c r="L46" s="278">
        <f>'Budget with Assumptions'!R46</f>
        <v>8100</v>
      </c>
      <c r="M46" s="638"/>
      <c r="N46" s="278">
        <f>'Budget with Assumptions'!T46</f>
        <v>5550</v>
      </c>
      <c r="O46"/>
      <c r="P46" s="663">
        <f t="shared" si="5"/>
        <v>0.007953463439834782</v>
      </c>
      <c r="Q46" s="663">
        <f t="shared" si="6"/>
        <v>0.00519347960879947</v>
      </c>
      <c r="R46" s="663">
        <f t="shared" si="7"/>
        <v>0.0019214071843764336</v>
      </c>
      <c r="S46" s="663">
        <f t="shared" si="8"/>
        <v>0.0017872115078161085</v>
      </c>
      <c r="T46" s="663">
        <f t="shared" si="9"/>
        <v>0.0012072736052928005</v>
      </c>
      <c r="U46"/>
      <c r="V46" s="670">
        <f t="shared" si="10"/>
        <v>101.78571428571429</v>
      </c>
      <c r="W46" s="670">
        <f t="shared" si="11"/>
        <v>58.65384615384615</v>
      </c>
      <c r="X46" s="670">
        <f t="shared" si="12"/>
        <v>19.306930693069308</v>
      </c>
      <c r="Y46" s="670">
        <f t="shared" si="13"/>
        <v>16.071428571428573</v>
      </c>
      <c r="Z46" s="670">
        <f t="shared" si="14"/>
        <v>11.011904761904763</v>
      </c>
    </row>
    <row r="47" spans="1:26" ht="15.75">
      <c r="A47" s="517" t="str">
        <f>'Budget with Assumptions'!A47</f>
        <v>Technology Contracted Services</v>
      </c>
      <c r="B47" s="42"/>
      <c r="C47" s="42"/>
      <c r="D47" s="278">
        <f>'Budget with Assumptions'!J47</f>
        <v>0</v>
      </c>
      <c r="E47" s="649"/>
      <c r="F47" s="278">
        <f>'Budget with Assumptions'!L47</f>
        <v>0</v>
      </c>
      <c r="G47" s="649"/>
      <c r="H47" s="278">
        <f>'Budget with Assumptions'!N47</f>
        <v>0</v>
      </c>
      <c r="I47" s="649"/>
      <c r="J47" s="278">
        <f>'Budget with Assumptions'!P47</f>
        <v>0</v>
      </c>
      <c r="K47" s="650"/>
      <c r="L47" s="278">
        <f>'Budget with Assumptions'!R47</f>
        <v>0</v>
      </c>
      <c r="M47" s="638"/>
      <c r="N47" s="278">
        <f>'Budget with Assumptions'!T47</f>
        <v>0</v>
      </c>
      <c r="O47"/>
      <c r="P47" s="663">
        <f t="shared" si="5"/>
        <v>0</v>
      </c>
      <c r="Q47" s="663">
        <f t="shared" si="6"/>
        <v>0</v>
      </c>
      <c r="R47" s="663">
        <f t="shared" si="7"/>
        <v>0</v>
      </c>
      <c r="S47" s="663">
        <f t="shared" si="8"/>
        <v>0</v>
      </c>
      <c r="T47" s="663">
        <f t="shared" si="9"/>
        <v>0</v>
      </c>
      <c r="U47"/>
      <c r="V47" s="670">
        <f t="shared" si="10"/>
        <v>0</v>
      </c>
      <c r="W47" s="670">
        <f t="shared" si="11"/>
        <v>0</v>
      </c>
      <c r="X47" s="670">
        <f t="shared" si="12"/>
        <v>0</v>
      </c>
      <c r="Y47" s="670">
        <f t="shared" si="13"/>
        <v>0</v>
      </c>
      <c r="Z47" s="670">
        <f t="shared" si="14"/>
        <v>0</v>
      </c>
    </row>
    <row r="48" spans="1:26" ht="15.75">
      <c r="A48" s="517" t="str">
        <f>'Budget with Assumptions'!A48</f>
        <v>Technology Leases</v>
      </c>
      <c r="B48" s="42"/>
      <c r="C48" s="42"/>
      <c r="D48" s="278">
        <f>'Budget with Assumptions'!J48</f>
        <v>0</v>
      </c>
      <c r="E48" s="649"/>
      <c r="F48" s="278">
        <f>'Budget with Assumptions'!L48</f>
        <v>0</v>
      </c>
      <c r="G48" s="649"/>
      <c r="H48" s="278">
        <f>'Budget with Assumptions'!N48</f>
        <v>0</v>
      </c>
      <c r="I48" s="649"/>
      <c r="J48" s="278">
        <f>'Budget with Assumptions'!P48</f>
        <v>0</v>
      </c>
      <c r="K48" s="650"/>
      <c r="L48" s="278">
        <f>'Budget with Assumptions'!R48</f>
        <v>0</v>
      </c>
      <c r="M48" s="638"/>
      <c r="N48" s="278">
        <f>'Budget with Assumptions'!T48</f>
        <v>0</v>
      </c>
      <c r="O48"/>
      <c r="P48" s="663">
        <f t="shared" si="5"/>
        <v>0</v>
      </c>
      <c r="Q48" s="663">
        <f t="shared" si="6"/>
        <v>0</v>
      </c>
      <c r="R48" s="663">
        <f t="shared" si="7"/>
        <v>0</v>
      </c>
      <c r="S48" s="663">
        <f t="shared" si="8"/>
        <v>0</v>
      </c>
      <c r="T48" s="663">
        <f t="shared" si="9"/>
        <v>0</v>
      </c>
      <c r="U48"/>
      <c r="V48" s="670">
        <f t="shared" si="10"/>
        <v>0</v>
      </c>
      <c r="W48" s="670">
        <f t="shared" si="11"/>
        <v>0</v>
      </c>
      <c r="X48" s="670">
        <f t="shared" si="12"/>
        <v>0</v>
      </c>
      <c r="Y48" s="670">
        <f t="shared" si="13"/>
        <v>0</v>
      </c>
      <c r="Z48" s="670">
        <f t="shared" si="14"/>
        <v>0</v>
      </c>
    </row>
    <row r="49" spans="1:26" ht="15.75">
      <c r="A49" s="517" t="str">
        <f>'Budget with Assumptions'!A49</f>
        <v>Extracurricular Expenses</v>
      </c>
      <c r="B49" s="42"/>
      <c r="C49" s="42"/>
      <c r="D49" s="278">
        <f>'Budget with Assumptions'!J49</f>
        <v>0</v>
      </c>
      <c r="E49" s="649"/>
      <c r="F49" s="278">
        <f>'Budget with Assumptions'!L49</f>
        <v>0</v>
      </c>
      <c r="G49" s="649"/>
      <c r="H49" s="278">
        <f>'Budget with Assumptions'!N49</f>
        <v>0</v>
      </c>
      <c r="I49" s="649"/>
      <c r="J49" s="278">
        <f>'Budget with Assumptions'!P49</f>
        <v>0</v>
      </c>
      <c r="K49" s="650"/>
      <c r="L49" s="278">
        <f>'Budget with Assumptions'!R49</f>
        <v>0</v>
      </c>
      <c r="M49" s="638"/>
      <c r="N49" s="278">
        <f>'Budget with Assumptions'!T49</f>
        <v>0</v>
      </c>
      <c r="O49"/>
      <c r="P49" s="663">
        <f t="shared" si="5"/>
        <v>0</v>
      </c>
      <c r="Q49" s="663">
        <f t="shared" si="6"/>
        <v>0</v>
      </c>
      <c r="R49" s="663">
        <f t="shared" si="7"/>
        <v>0</v>
      </c>
      <c r="S49" s="663">
        <f t="shared" si="8"/>
        <v>0</v>
      </c>
      <c r="T49" s="663">
        <f t="shared" si="9"/>
        <v>0</v>
      </c>
      <c r="U49"/>
      <c r="V49" s="670">
        <f t="shared" si="10"/>
        <v>0</v>
      </c>
      <c r="W49" s="670">
        <f t="shared" si="11"/>
        <v>0</v>
      </c>
      <c r="X49" s="670">
        <f t="shared" si="12"/>
        <v>0</v>
      </c>
      <c r="Y49" s="670">
        <f t="shared" si="13"/>
        <v>0</v>
      </c>
      <c r="Z49" s="670">
        <f t="shared" si="14"/>
        <v>0</v>
      </c>
    </row>
    <row r="50" spans="1:26" ht="15.75">
      <c r="A50" s="517" t="str">
        <f>'Budget with Assumptions'!A50</f>
        <v>Misc. Outside Services (i.e., Consultants, non-employee compensation)</v>
      </c>
      <c r="B50" s="42"/>
      <c r="C50" s="42"/>
      <c r="D50" s="278">
        <f>'Budget with Assumptions'!J50</f>
        <v>0</v>
      </c>
      <c r="E50" s="649"/>
      <c r="F50" s="278">
        <f>'Budget with Assumptions'!L50</f>
        <v>0</v>
      </c>
      <c r="G50" s="649"/>
      <c r="H50" s="278">
        <f>'Budget with Assumptions'!N50</f>
        <v>0</v>
      </c>
      <c r="I50" s="649"/>
      <c r="J50" s="278">
        <f>'Budget with Assumptions'!P50</f>
        <v>0</v>
      </c>
      <c r="K50" s="650"/>
      <c r="L50" s="278">
        <f>'Budget with Assumptions'!R50</f>
        <v>0</v>
      </c>
      <c r="M50" s="638"/>
      <c r="N50" s="278">
        <f>'Budget with Assumptions'!T50</f>
        <v>0</v>
      </c>
      <c r="O50"/>
      <c r="P50" s="663">
        <f t="shared" si="5"/>
        <v>0</v>
      </c>
      <c r="Q50" s="663">
        <f t="shared" si="6"/>
        <v>0</v>
      </c>
      <c r="R50" s="663">
        <f t="shared" si="7"/>
        <v>0</v>
      </c>
      <c r="S50" s="663">
        <f t="shared" si="8"/>
        <v>0</v>
      </c>
      <c r="T50" s="663">
        <f t="shared" si="9"/>
        <v>0</v>
      </c>
      <c r="U50"/>
      <c r="V50" s="670">
        <f t="shared" si="10"/>
        <v>0</v>
      </c>
      <c r="W50" s="670">
        <f t="shared" si="11"/>
        <v>0</v>
      </c>
      <c r="X50" s="670">
        <f t="shared" si="12"/>
        <v>0</v>
      </c>
      <c r="Y50" s="670">
        <f t="shared" si="13"/>
        <v>0</v>
      </c>
      <c r="Z50" s="670">
        <f t="shared" si="14"/>
        <v>0</v>
      </c>
    </row>
    <row r="51" spans="1:26" ht="31.5" hidden="1">
      <c r="A51" s="620" t="str">
        <f>'Budget with Assumptions'!A51</f>
        <v>Special Education Contracted Clinician Services that are Reimbursable under CPS's policy (from Contractual Clinician Worksheet)</v>
      </c>
      <c r="B51" s="42"/>
      <c r="C51" s="42"/>
      <c r="D51" s="278">
        <f>'Budget with Assumptions'!J51</f>
        <v>0</v>
      </c>
      <c r="E51" s="649"/>
      <c r="F51" s="278">
        <f>'Budget with Assumptions'!L51</f>
        <v>0</v>
      </c>
      <c r="G51" s="649"/>
      <c r="H51" s="278">
        <f>'Budget with Assumptions'!N51</f>
        <v>0</v>
      </c>
      <c r="I51" s="649"/>
      <c r="J51" s="278">
        <f>'Budget with Assumptions'!P51</f>
        <v>0</v>
      </c>
      <c r="K51" s="650"/>
      <c r="L51" s="278">
        <f>'Budget with Assumptions'!R51</f>
        <v>0</v>
      </c>
      <c r="M51" s="638"/>
      <c r="N51" s="278">
        <f>'Budget with Assumptions'!T51</f>
        <v>0</v>
      </c>
      <c r="O51"/>
      <c r="P51" s="663">
        <f t="shared" si="5"/>
        <v>0</v>
      </c>
      <c r="Q51" s="663">
        <f t="shared" si="6"/>
        <v>0</v>
      </c>
      <c r="R51" s="663">
        <f t="shared" si="7"/>
        <v>0</v>
      </c>
      <c r="S51" s="663">
        <f t="shared" si="8"/>
        <v>0</v>
      </c>
      <c r="T51" s="663">
        <f t="shared" si="9"/>
        <v>0</v>
      </c>
      <c r="U51"/>
      <c r="V51" s="670">
        <f t="shared" si="10"/>
        <v>0</v>
      </c>
      <c r="W51" s="670">
        <f t="shared" si="11"/>
        <v>0</v>
      </c>
      <c r="X51" s="670">
        <f t="shared" si="12"/>
        <v>0</v>
      </c>
      <c r="Y51" s="670">
        <f t="shared" si="13"/>
        <v>0</v>
      </c>
      <c r="Z51" s="670">
        <f t="shared" si="14"/>
        <v>0</v>
      </c>
    </row>
    <row r="52" spans="1:26" ht="15.75">
      <c r="A52" s="517" t="str">
        <f>'Budget with Assumptions'!A52</f>
        <v>Special Education Expenses that will NOT be reimbursed by CPS</v>
      </c>
      <c r="B52" s="42"/>
      <c r="C52" s="42"/>
      <c r="D52" s="278">
        <f>'Budget with Assumptions'!J52</f>
        <v>0</v>
      </c>
      <c r="E52" s="649"/>
      <c r="F52" s="278">
        <f>'Budget with Assumptions'!L52</f>
        <v>0</v>
      </c>
      <c r="G52" s="649"/>
      <c r="H52" s="278">
        <f>'Budget with Assumptions'!N52</f>
        <v>0</v>
      </c>
      <c r="I52" s="649"/>
      <c r="J52" s="278">
        <f>'Budget with Assumptions'!P52</f>
        <v>0</v>
      </c>
      <c r="K52" s="650"/>
      <c r="L52" s="278">
        <f>'Budget with Assumptions'!R52</f>
        <v>0</v>
      </c>
      <c r="M52" s="638"/>
      <c r="N52" s="278">
        <f>'Budget with Assumptions'!T52</f>
        <v>0</v>
      </c>
      <c r="O52"/>
      <c r="P52" s="663">
        <f t="shared" si="5"/>
        <v>0</v>
      </c>
      <c r="Q52" s="663">
        <f t="shared" si="6"/>
        <v>0</v>
      </c>
      <c r="R52" s="663">
        <f t="shared" si="7"/>
        <v>0</v>
      </c>
      <c r="S52" s="663">
        <f t="shared" si="8"/>
        <v>0</v>
      </c>
      <c r="T52" s="663">
        <f t="shared" si="9"/>
        <v>0</v>
      </c>
      <c r="U52"/>
      <c r="V52" s="670">
        <f t="shared" si="10"/>
        <v>0</v>
      </c>
      <c r="W52" s="670">
        <f t="shared" si="11"/>
        <v>0</v>
      </c>
      <c r="X52" s="670">
        <f t="shared" si="12"/>
        <v>0</v>
      </c>
      <c r="Y52" s="670">
        <f t="shared" si="13"/>
        <v>0</v>
      </c>
      <c r="Z52" s="670">
        <f t="shared" si="14"/>
        <v>0</v>
      </c>
    </row>
    <row r="53" spans="1:26" ht="15.75">
      <c r="A53" s="517" t="str">
        <f>'Budget with Assumptions'!A53</f>
        <v>Contracted Substitute Teachers</v>
      </c>
      <c r="B53" s="42"/>
      <c r="C53" s="42"/>
      <c r="D53" s="278">
        <f>'Budget with Assumptions'!J53</f>
        <v>0</v>
      </c>
      <c r="E53" s="649"/>
      <c r="F53" s="278">
        <f>'Budget with Assumptions'!L53</f>
        <v>0</v>
      </c>
      <c r="G53" s="649"/>
      <c r="H53" s="278">
        <f>'Budget with Assumptions'!N53</f>
        <v>0</v>
      </c>
      <c r="I53" s="649"/>
      <c r="J53" s="278">
        <f>'Budget with Assumptions'!P53</f>
        <v>0</v>
      </c>
      <c r="K53" s="650"/>
      <c r="L53" s="278">
        <f>'Budget with Assumptions'!R53</f>
        <v>0</v>
      </c>
      <c r="M53" s="638"/>
      <c r="N53" s="278">
        <f>'Budget with Assumptions'!T53</f>
        <v>0</v>
      </c>
      <c r="O53"/>
      <c r="P53" s="663">
        <f t="shared" si="5"/>
        <v>0</v>
      </c>
      <c r="Q53" s="663">
        <f t="shared" si="6"/>
        <v>0</v>
      </c>
      <c r="R53" s="663">
        <f t="shared" si="7"/>
        <v>0</v>
      </c>
      <c r="S53" s="663">
        <f t="shared" si="8"/>
        <v>0</v>
      </c>
      <c r="T53" s="663">
        <f t="shared" si="9"/>
        <v>0</v>
      </c>
      <c r="U53"/>
      <c r="V53" s="670">
        <f t="shared" si="10"/>
        <v>0</v>
      </c>
      <c r="W53" s="670">
        <f t="shared" si="11"/>
        <v>0</v>
      </c>
      <c r="X53" s="670">
        <f t="shared" si="12"/>
        <v>0</v>
      </c>
      <c r="Y53" s="670">
        <f t="shared" si="13"/>
        <v>0</v>
      </c>
      <c r="Z53" s="670">
        <f t="shared" si="14"/>
        <v>0</v>
      </c>
    </row>
    <row r="54" spans="1:26" ht="15.75">
      <c r="A54" s="517" t="str">
        <f>'Budget with Assumptions'!A54</f>
        <v>Transportation Services</v>
      </c>
      <c r="B54" s="42"/>
      <c r="C54" s="42"/>
      <c r="D54" s="278">
        <f>'Budget with Assumptions'!J54</f>
        <v>0</v>
      </c>
      <c r="E54" s="649"/>
      <c r="F54" s="278">
        <f>'Budget with Assumptions'!L54</f>
        <v>0</v>
      </c>
      <c r="G54" s="649"/>
      <c r="H54" s="278">
        <f>'Budget with Assumptions'!N54</f>
        <v>0</v>
      </c>
      <c r="I54" s="649"/>
      <c r="J54" s="278">
        <f>'Budget with Assumptions'!P54</f>
        <v>0</v>
      </c>
      <c r="K54" s="650"/>
      <c r="L54" s="278">
        <f>'Budget with Assumptions'!R54</f>
        <v>0</v>
      </c>
      <c r="M54" s="638"/>
      <c r="N54" s="278">
        <f>'Budget with Assumptions'!T54</f>
        <v>0</v>
      </c>
      <c r="O54"/>
      <c r="P54" s="663">
        <f t="shared" si="5"/>
        <v>0</v>
      </c>
      <c r="Q54" s="663">
        <f t="shared" si="6"/>
        <v>0</v>
      </c>
      <c r="R54" s="663">
        <f t="shared" si="7"/>
        <v>0</v>
      </c>
      <c r="S54" s="663">
        <f t="shared" si="8"/>
        <v>0</v>
      </c>
      <c r="T54" s="663">
        <f t="shared" si="9"/>
        <v>0</v>
      </c>
      <c r="U54"/>
      <c r="V54" s="670">
        <f t="shared" si="10"/>
        <v>0</v>
      </c>
      <c r="W54" s="670">
        <f t="shared" si="11"/>
        <v>0</v>
      </c>
      <c r="X54" s="670">
        <f t="shared" si="12"/>
        <v>0</v>
      </c>
      <c r="Y54" s="670">
        <f t="shared" si="13"/>
        <v>0</v>
      </c>
      <c r="Z54" s="670">
        <f t="shared" si="14"/>
        <v>0</v>
      </c>
    </row>
    <row r="55" spans="1:26" ht="15.75">
      <c r="A55" s="517" t="str">
        <f>'Budget with Assumptions'!A55</f>
        <v>Instructional Supplies</v>
      </c>
      <c r="B55" s="42"/>
      <c r="C55" s="42"/>
      <c r="D55" s="278">
        <f>'Budget with Assumptions'!J55</f>
        <v>0</v>
      </c>
      <c r="E55" s="649"/>
      <c r="F55" s="278">
        <f>'Budget with Assumptions'!L55</f>
        <v>22400</v>
      </c>
      <c r="G55" s="649"/>
      <c r="H55" s="278">
        <f>'Budget with Assumptions'!N55</f>
        <v>31200</v>
      </c>
      <c r="I55" s="649"/>
      <c r="J55" s="278">
        <f>'Budget with Assumptions'!P55</f>
        <v>40400</v>
      </c>
      <c r="K55" s="650"/>
      <c r="L55" s="278">
        <f>'Budget with Assumptions'!R55</f>
        <v>50400</v>
      </c>
      <c r="M55" s="638"/>
      <c r="N55" s="278">
        <f>'Budget with Assumptions'!T55</f>
        <v>50400</v>
      </c>
      <c r="O55"/>
      <c r="P55" s="663">
        <f t="shared" si="5"/>
        <v>0.007813928993521891</v>
      </c>
      <c r="Q55" s="663">
        <f t="shared" si="6"/>
        <v>0.008854457037953196</v>
      </c>
      <c r="R55" s="663">
        <f t="shared" si="7"/>
        <v>0.009951903878052297</v>
      </c>
      <c r="S55" s="663">
        <f t="shared" si="8"/>
        <v>0.011120427159744675</v>
      </c>
      <c r="T55" s="663">
        <f t="shared" si="9"/>
        <v>0.010963349496713</v>
      </c>
      <c r="U55"/>
      <c r="V55" s="670">
        <f t="shared" si="10"/>
        <v>100</v>
      </c>
      <c r="W55" s="670">
        <f t="shared" si="11"/>
        <v>100</v>
      </c>
      <c r="X55" s="670">
        <f t="shared" si="12"/>
        <v>100</v>
      </c>
      <c r="Y55" s="670">
        <f t="shared" si="13"/>
        <v>100</v>
      </c>
      <c r="Z55" s="670">
        <f t="shared" si="14"/>
        <v>100</v>
      </c>
    </row>
    <row r="56" spans="1:26" ht="15.75">
      <c r="A56" s="517" t="str">
        <f>'Budget with Assumptions'!A56</f>
        <v>Food Service</v>
      </c>
      <c r="B56" s="42"/>
      <c r="C56" s="42"/>
      <c r="D56" s="278">
        <f>'Budget with Assumptions'!J56</f>
        <v>0</v>
      </c>
      <c r="E56" s="649"/>
      <c r="F56" s="278">
        <f>'Budget with Assumptions'!L56</f>
        <v>208854.71999999997</v>
      </c>
      <c r="G56" s="649"/>
      <c r="H56" s="278">
        <f>'Budget with Assumptions'!N56</f>
        <v>292489.92000000004</v>
      </c>
      <c r="I56" s="649"/>
      <c r="J56" s="278">
        <f>'Budget with Assumptions'!P56</f>
        <v>375195.84</v>
      </c>
      <c r="K56" s="650"/>
      <c r="L56" s="278">
        <f>'Budget with Assumptions'!R56</f>
        <v>469053.12</v>
      </c>
      <c r="M56" s="638"/>
      <c r="N56" s="278">
        <f>'Budget with Assumptions'!T56</f>
        <v>469053.12</v>
      </c>
      <c r="O56"/>
      <c r="P56" s="663">
        <f t="shared" si="5"/>
        <v>0.07285606928758465</v>
      </c>
      <c r="Q56" s="663">
        <f t="shared" si="6"/>
        <v>0.08300767406007588</v>
      </c>
      <c r="R56" s="663">
        <f t="shared" si="7"/>
        <v>0.09242358750309627</v>
      </c>
      <c r="S56" s="663">
        <f t="shared" si="8"/>
        <v>0.10349347331370988</v>
      </c>
      <c r="T56" s="663">
        <f t="shared" si="9"/>
        <v>0.10203161283896155</v>
      </c>
      <c r="U56"/>
      <c r="V56" s="670">
        <f t="shared" si="10"/>
        <v>932.3871428571427</v>
      </c>
      <c r="W56" s="670">
        <f t="shared" si="11"/>
        <v>937.4676923076925</v>
      </c>
      <c r="X56" s="670">
        <f t="shared" si="12"/>
        <v>928.7025742574258</v>
      </c>
      <c r="Y56" s="670">
        <f t="shared" si="13"/>
        <v>930.6609523809524</v>
      </c>
      <c r="Z56" s="670">
        <f t="shared" si="14"/>
        <v>930.6609523809524</v>
      </c>
    </row>
    <row r="57" spans="1:26" ht="15.75">
      <c r="A57" s="517" t="str">
        <f>'Budget with Assumptions'!A57</f>
        <v>Field Trips</v>
      </c>
      <c r="B57" s="42"/>
      <c r="C57" s="42"/>
      <c r="D57" s="278">
        <f>'Budget with Assumptions'!J57</f>
        <v>0</v>
      </c>
      <c r="E57" s="649"/>
      <c r="F57" s="278">
        <f>'Budget with Assumptions'!L57</f>
        <v>5360</v>
      </c>
      <c r="G57" s="649"/>
      <c r="H57" s="278">
        <f>'Budget with Assumptions'!N57</f>
        <v>8960</v>
      </c>
      <c r="I57" s="649"/>
      <c r="J57" s="278">
        <f>'Budget with Assumptions'!P57</f>
        <v>10160</v>
      </c>
      <c r="K57" s="650"/>
      <c r="L57" s="278">
        <f>'Budget with Assumptions'!R57</f>
        <v>11360</v>
      </c>
      <c r="M57" s="638"/>
      <c r="N57" s="278">
        <f>'Budget with Assumptions'!T57</f>
        <v>11960</v>
      </c>
      <c r="O57"/>
      <c r="P57" s="663">
        <f t="shared" si="5"/>
        <v>0.0018697615805927383</v>
      </c>
      <c r="Q57" s="663">
        <f t="shared" si="6"/>
        <v>0.0025428184314122</v>
      </c>
      <c r="R57" s="663">
        <f t="shared" si="7"/>
        <v>0.0025027560247775082</v>
      </c>
      <c r="S57" s="663">
        <f t="shared" si="8"/>
        <v>0.0025065089788630854</v>
      </c>
      <c r="T57" s="663">
        <f t="shared" si="9"/>
        <v>0.002601620237712053</v>
      </c>
      <c r="U57"/>
      <c r="V57" s="670">
        <f t="shared" si="10"/>
        <v>23.928571428571427</v>
      </c>
      <c r="W57" s="670">
        <f t="shared" si="11"/>
        <v>28.71794871794872</v>
      </c>
      <c r="X57" s="670">
        <f t="shared" si="12"/>
        <v>25.14851485148515</v>
      </c>
      <c r="Y57" s="670">
        <f t="shared" si="13"/>
        <v>22.53968253968254</v>
      </c>
      <c r="Z57" s="670">
        <f t="shared" si="14"/>
        <v>23.73015873015873</v>
      </c>
    </row>
    <row r="58" spans="1:26" ht="15.75">
      <c r="A58" s="517" t="str">
        <f>'Budget with Assumptions'!A58</f>
        <v>Summer School</v>
      </c>
      <c r="B58" s="42"/>
      <c r="C58" s="42"/>
      <c r="D58" s="278">
        <f>'Budget with Assumptions'!J58</f>
        <v>0</v>
      </c>
      <c r="E58" s="649"/>
      <c r="F58" s="278">
        <f>'Budget with Assumptions'!L58</f>
        <v>2000</v>
      </c>
      <c r="G58" s="649"/>
      <c r="H58" s="278">
        <f>'Budget with Assumptions'!N58</f>
        <v>2000</v>
      </c>
      <c r="I58" s="649"/>
      <c r="J58" s="278">
        <f>'Budget with Assumptions'!P58</f>
        <v>2000</v>
      </c>
      <c r="K58" s="650"/>
      <c r="L58" s="278">
        <f>'Budget with Assumptions'!R58</f>
        <v>2000</v>
      </c>
      <c r="M58" s="638"/>
      <c r="N58" s="278">
        <f>'Budget with Assumptions'!T58</f>
        <v>2000</v>
      </c>
      <c r="O58"/>
      <c r="P58" s="663">
        <f t="shared" si="5"/>
        <v>0.0006976722315644546</v>
      </c>
      <c r="Q58" s="663">
        <f t="shared" si="6"/>
        <v>0.0005675933998687946</v>
      </c>
      <c r="R58" s="663">
        <f t="shared" si="7"/>
        <v>0.0004926685088144702</v>
      </c>
      <c r="S58" s="663">
        <f t="shared" si="8"/>
        <v>0.0004412867920533601</v>
      </c>
      <c r="T58" s="663">
        <f t="shared" si="9"/>
        <v>0.000435053551456865</v>
      </c>
      <c r="U58"/>
      <c r="V58" s="670">
        <f t="shared" si="10"/>
        <v>8.928571428571429</v>
      </c>
      <c r="W58" s="670">
        <f t="shared" si="11"/>
        <v>6.410256410256411</v>
      </c>
      <c r="X58" s="670">
        <f t="shared" si="12"/>
        <v>4.9504950495049505</v>
      </c>
      <c r="Y58" s="670">
        <f t="shared" si="13"/>
        <v>3.9682539682539684</v>
      </c>
      <c r="Z58" s="670">
        <f t="shared" si="14"/>
        <v>3.9682539682539684</v>
      </c>
    </row>
    <row r="59" spans="1:26" ht="15.75">
      <c r="A59" s="517" t="str">
        <f>'Budget with Assumptions'!A59</f>
        <v>Lockers</v>
      </c>
      <c r="B59" s="42"/>
      <c r="C59" s="42"/>
      <c r="D59" s="278">
        <f>'Budget with Assumptions'!J59</f>
        <v>50000</v>
      </c>
      <c r="E59" s="649"/>
      <c r="F59" s="278">
        <f>'Budget with Assumptions'!L59</f>
        <v>0</v>
      </c>
      <c r="G59" s="649"/>
      <c r="H59" s="278">
        <f>'Budget with Assumptions'!N59</f>
        <v>0</v>
      </c>
      <c r="I59" s="649"/>
      <c r="J59" s="278">
        <f>'Budget with Assumptions'!P59</f>
        <v>0</v>
      </c>
      <c r="K59" s="650"/>
      <c r="L59" s="278">
        <f>'Budget with Assumptions'!R59</f>
        <v>0</v>
      </c>
      <c r="M59" s="638"/>
      <c r="N59" s="278">
        <f>'Budget with Assumptions'!T59</f>
        <v>0</v>
      </c>
      <c r="O59"/>
      <c r="P59" s="663">
        <f t="shared" si="5"/>
        <v>0</v>
      </c>
      <c r="Q59" s="663">
        <f t="shared" si="6"/>
        <v>0</v>
      </c>
      <c r="R59" s="663">
        <f t="shared" si="7"/>
        <v>0</v>
      </c>
      <c r="S59" s="663">
        <f t="shared" si="8"/>
        <v>0</v>
      </c>
      <c r="T59" s="663">
        <f t="shared" si="9"/>
        <v>0</v>
      </c>
      <c r="U59"/>
      <c r="V59" s="670">
        <f t="shared" si="10"/>
        <v>0</v>
      </c>
      <c r="W59" s="670">
        <f t="shared" si="11"/>
        <v>0</v>
      </c>
      <c r="X59" s="670">
        <f t="shared" si="12"/>
        <v>0</v>
      </c>
      <c r="Y59" s="670">
        <f t="shared" si="13"/>
        <v>0</v>
      </c>
      <c r="Z59" s="670">
        <f t="shared" si="14"/>
        <v>0</v>
      </c>
    </row>
    <row r="60" spans="1:26" ht="15.75">
      <c r="A60" s="517" t="str">
        <f>'Budget with Assumptions'!A60</f>
        <v>Library Expense</v>
      </c>
      <c r="B60" s="42"/>
      <c r="C60" s="42"/>
      <c r="D60" s="278">
        <f>'Budget with Assumptions'!J60</f>
        <v>0</v>
      </c>
      <c r="E60" s="649"/>
      <c r="F60" s="278">
        <f>'Budget with Assumptions'!L60</f>
        <v>24640</v>
      </c>
      <c r="G60" s="649"/>
      <c r="H60" s="278">
        <f>'Budget with Assumptions'!N60</f>
        <v>9900</v>
      </c>
      <c r="I60" s="649"/>
      <c r="J60" s="278">
        <f>'Budget with Assumptions'!P60</f>
        <v>9790</v>
      </c>
      <c r="K60" s="650"/>
      <c r="L60" s="278">
        <f>'Budget with Assumptions'!R60</f>
        <v>11100</v>
      </c>
      <c r="M60" s="638"/>
      <c r="N60" s="278">
        <f>'Budget with Assumptions'!T60</f>
        <v>0</v>
      </c>
      <c r="O60"/>
      <c r="P60" s="663">
        <f t="shared" si="5"/>
        <v>0.00859532189287408</v>
      </c>
      <c r="Q60" s="663">
        <f t="shared" si="6"/>
        <v>0.002809587329350533</v>
      </c>
      <c r="R60" s="663">
        <f t="shared" si="7"/>
        <v>0.0024116123506468315</v>
      </c>
      <c r="S60" s="663">
        <f t="shared" si="8"/>
        <v>0.0024491416958961486</v>
      </c>
      <c r="T60" s="663">
        <f t="shared" si="9"/>
        <v>0</v>
      </c>
      <c r="U60"/>
      <c r="V60" s="670">
        <f t="shared" si="10"/>
        <v>110</v>
      </c>
      <c r="W60" s="670">
        <f t="shared" si="11"/>
        <v>31.73076923076923</v>
      </c>
      <c r="X60" s="670">
        <f t="shared" si="12"/>
        <v>24.23267326732673</v>
      </c>
      <c r="Y60" s="670">
        <f t="shared" si="13"/>
        <v>22.023809523809526</v>
      </c>
      <c r="Z60" s="670">
        <f t="shared" si="14"/>
        <v>0</v>
      </c>
    </row>
    <row r="61" spans="1:26" ht="15.75">
      <c r="A61" s="517" t="str">
        <f>'Budget with Assumptions'!A61</f>
        <v>Cafeteria Furniture</v>
      </c>
      <c r="B61" s="42"/>
      <c r="C61" s="42"/>
      <c r="D61" s="278">
        <f>'Budget with Assumptions'!J61</f>
        <v>2240</v>
      </c>
      <c r="E61" s="649"/>
      <c r="F61" s="278">
        <f>'Budget with Assumptions'!L61</f>
        <v>900</v>
      </c>
      <c r="G61" s="649"/>
      <c r="H61" s="278">
        <f>'Budget with Assumptions'!N61</f>
        <v>890</v>
      </c>
      <c r="I61" s="649"/>
      <c r="J61" s="278">
        <f>'Budget with Assumptions'!P61</f>
        <v>1010</v>
      </c>
      <c r="K61" s="650"/>
      <c r="L61" s="278">
        <f>'Budget with Assumptions'!R61</f>
        <v>0</v>
      </c>
      <c r="M61" s="638"/>
      <c r="N61" s="278">
        <f>'Budget with Assumptions'!T61</f>
        <v>0</v>
      </c>
      <c r="O61"/>
      <c r="P61" s="663">
        <f t="shared" si="5"/>
        <v>0.00031395250420400455</v>
      </c>
      <c r="Q61" s="663">
        <f t="shared" si="6"/>
        <v>0.00025257906294161357</v>
      </c>
      <c r="R61" s="663">
        <f t="shared" si="7"/>
        <v>0.00024879759695130743</v>
      </c>
      <c r="S61" s="663">
        <f t="shared" si="8"/>
        <v>0</v>
      </c>
      <c r="T61" s="663">
        <f t="shared" si="9"/>
        <v>0</v>
      </c>
      <c r="U61"/>
      <c r="V61" s="670">
        <f t="shared" si="10"/>
        <v>4.017857142857143</v>
      </c>
      <c r="W61" s="670">
        <f t="shared" si="11"/>
        <v>2.8525641025641026</v>
      </c>
      <c r="X61" s="670">
        <f t="shared" si="12"/>
        <v>2.5</v>
      </c>
      <c r="Y61" s="670">
        <f t="shared" si="13"/>
        <v>0</v>
      </c>
      <c r="Z61" s="670">
        <f t="shared" si="14"/>
        <v>0</v>
      </c>
    </row>
    <row r="62" spans="1:26" ht="15.75">
      <c r="A62" s="517">
        <f>'Budget with Assumptions'!A62</f>
        <v>0</v>
      </c>
      <c r="B62" s="42"/>
      <c r="C62" s="42"/>
      <c r="D62" s="278">
        <f>'Budget with Assumptions'!J62</f>
        <v>0</v>
      </c>
      <c r="E62" s="649"/>
      <c r="F62" s="278">
        <f>'Budget with Assumptions'!L62</f>
        <v>0</v>
      </c>
      <c r="G62" s="649"/>
      <c r="H62" s="278">
        <f>'Budget with Assumptions'!N62</f>
        <v>0</v>
      </c>
      <c r="I62" s="649"/>
      <c r="J62" s="278">
        <f>'Budget with Assumptions'!P62</f>
        <v>0</v>
      </c>
      <c r="K62" s="650"/>
      <c r="L62" s="278">
        <f>'Budget with Assumptions'!R62</f>
        <v>0</v>
      </c>
      <c r="M62" s="638"/>
      <c r="N62" s="278">
        <f>'Budget with Assumptions'!T62</f>
        <v>0</v>
      </c>
      <c r="O62"/>
      <c r="P62" s="663">
        <f t="shared" si="5"/>
        <v>0</v>
      </c>
      <c r="Q62" s="663">
        <f t="shared" si="6"/>
        <v>0</v>
      </c>
      <c r="R62" s="663">
        <f t="shared" si="7"/>
        <v>0</v>
      </c>
      <c r="S62" s="663">
        <f t="shared" si="8"/>
        <v>0</v>
      </c>
      <c r="T62" s="663">
        <f t="shared" si="9"/>
        <v>0</v>
      </c>
      <c r="U62"/>
      <c r="V62" s="670">
        <f t="shared" si="10"/>
        <v>0</v>
      </c>
      <c r="W62" s="670">
        <f t="shared" si="11"/>
        <v>0</v>
      </c>
      <c r="X62" s="670">
        <f t="shared" si="12"/>
        <v>0</v>
      </c>
      <c r="Y62" s="670">
        <f t="shared" si="13"/>
        <v>0</v>
      </c>
      <c r="Z62" s="670">
        <f t="shared" si="14"/>
        <v>0</v>
      </c>
    </row>
    <row r="63" spans="1:26" ht="16.5" thickBot="1">
      <c r="A63" s="40"/>
      <c r="B63" s="42"/>
      <c r="C63" s="42"/>
      <c r="D63" s="547"/>
      <c r="E63" s="547"/>
      <c r="F63" s="547"/>
      <c r="G63" s="547"/>
      <c r="H63" s="547"/>
      <c r="I63" s="547"/>
      <c r="J63" s="547"/>
      <c r="K63" s="624"/>
      <c r="L63" s="547"/>
      <c r="M63" s="624"/>
      <c r="N63" s="547"/>
      <c r="P63" s="665"/>
      <c r="Q63" s="665"/>
      <c r="R63" s="665"/>
      <c r="S63" s="665"/>
      <c r="T63" s="665"/>
      <c r="V63" s="547"/>
      <c r="W63" s="547"/>
      <c r="X63" s="547"/>
      <c r="Y63" s="547"/>
      <c r="Z63" s="547"/>
    </row>
    <row r="64" spans="1:26" ht="16.5" thickBot="1">
      <c r="A64" s="621" t="str">
        <f>'Budget with Assumptions'!H64</f>
        <v>Total Direct Student Costs</v>
      </c>
      <c r="B64" s="42"/>
      <c r="C64" s="42"/>
      <c r="D64" s="369">
        <f>SUM(D40:D62)</f>
        <v>62240</v>
      </c>
      <c r="E64" s="274"/>
      <c r="F64" s="369">
        <f>SUM(F40:F62)</f>
        <v>348754.72</v>
      </c>
      <c r="G64" s="274"/>
      <c r="H64" s="369">
        <f>SUM(H40:H62)</f>
        <v>428139.92000000004</v>
      </c>
      <c r="I64" s="274"/>
      <c r="J64" s="369">
        <f>SUM(J40:J62)</f>
        <v>529155.8400000001</v>
      </c>
      <c r="K64" s="275"/>
      <c r="L64" s="369">
        <f>SUM(L40:L62)</f>
        <v>654813.12</v>
      </c>
      <c r="M64" s="623"/>
      <c r="N64" s="369">
        <f>SUM(N40:N62)</f>
        <v>641763.12</v>
      </c>
      <c r="O64"/>
      <c r="P64" s="666">
        <f>SUM(P40:P62)</f>
        <v>0.12165824188551824</v>
      </c>
      <c r="Q64" s="666">
        <f>SUM(Q40:Q62)</f>
        <v>0.12150469640617688</v>
      </c>
      <c r="R64" s="666">
        <f>SUM(R40:R62)</f>
        <v>0.13034920931163418</v>
      </c>
      <c r="S64" s="666">
        <f>SUM(S40:S62)</f>
        <v>0.144480190559626</v>
      </c>
      <c r="T64" s="666">
        <f>SUM(T40:T62)</f>
        <v>0.13960066227501913</v>
      </c>
      <c r="U64"/>
      <c r="V64" s="671">
        <f>SUM(V40:V62)</f>
        <v>1556.940714285714</v>
      </c>
      <c r="W64" s="671">
        <f>SUM(W40:W62)</f>
        <v>1372.2433333333336</v>
      </c>
      <c r="X64" s="671">
        <f>SUM(X40:X62)</f>
        <v>1309.791683168317</v>
      </c>
      <c r="Y64" s="671">
        <f>SUM(Y40:Y62)</f>
        <v>1299.2323809523812</v>
      </c>
      <c r="Z64" s="671">
        <f>SUM(Z40:Z62)</f>
        <v>1273.3395238095238</v>
      </c>
    </row>
    <row r="65" spans="1:26" ht="15.75">
      <c r="A65" s="49"/>
      <c r="B65" s="38"/>
      <c r="C65" s="38"/>
      <c r="D65" s="547"/>
      <c r="E65" s="547"/>
      <c r="F65" s="547"/>
      <c r="G65" s="547"/>
      <c r="H65" s="547"/>
      <c r="I65" s="547"/>
      <c r="J65" s="547"/>
      <c r="K65" s="624"/>
      <c r="L65" s="547"/>
      <c r="M65" s="624"/>
      <c r="N65" s="547"/>
      <c r="P65" s="665"/>
      <c r="Q65" s="665"/>
      <c r="R65" s="665"/>
      <c r="S65" s="665"/>
      <c r="T65" s="665"/>
      <c r="V65" s="547"/>
      <c r="W65" s="547"/>
      <c r="X65" s="547"/>
      <c r="Y65" s="547"/>
      <c r="Z65" s="547"/>
    </row>
    <row r="66" spans="1:26" ht="15.75">
      <c r="A66" s="49"/>
      <c r="B66" s="38"/>
      <c r="C66" s="38"/>
      <c r="D66" s="651"/>
      <c r="E66" s="652"/>
      <c r="F66" s="651"/>
      <c r="G66" s="652"/>
      <c r="H66" s="651"/>
      <c r="I66" s="652"/>
      <c r="J66" s="651"/>
      <c r="K66" s="275"/>
      <c r="L66" s="651"/>
      <c r="M66" s="623"/>
      <c r="N66" s="651"/>
      <c r="O66" s="250"/>
      <c r="P66" s="667"/>
      <c r="Q66" s="667"/>
      <c r="R66" s="667"/>
      <c r="S66" s="667"/>
      <c r="T66" s="667"/>
      <c r="U66" s="250"/>
      <c r="V66" s="672"/>
      <c r="W66" s="672"/>
      <c r="X66" s="672"/>
      <c r="Y66" s="672"/>
      <c r="Z66" s="672"/>
    </row>
    <row r="67" spans="1:26" ht="16.5" thickBot="1">
      <c r="A67" s="49"/>
      <c r="B67" s="50"/>
      <c r="C67" s="50"/>
      <c r="D67" s="650"/>
      <c r="E67" s="653"/>
      <c r="F67" s="650"/>
      <c r="G67" s="653"/>
      <c r="H67" s="650"/>
      <c r="I67" s="653"/>
      <c r="J67" s="650"/>
      <c r="K67" s="650"/>
      <c r="L67" s="654"/>
      <c r="M67" s="638"/>
      <c r="N67" s="654"/>
      <c r="O67" s="250"/>
      <c r="P67" s="668"/>
      <c r="Q67" s="668"/>
      <c r="R67" s="668"/>
      <c r="S67" s="668"/>
      <c r="T67" s="668"/>
      <c r="U67" s="250"/>
      <c r="V67" s="624"/>
      <c r="W67" s="624"/>
      <c r="X67" s="624"/>
      <c r="Y67" s="624"/>
      <c r="Z67" s="624"/>
    </row>
    <row r="68" spans="1:26" ht="18.75" thickBot="1">
      <c r="A68" s="510" t="s">
        <v>131</v>
      </c>
      <c r="B68" s="50"/>
      <c r="C68" s="50"/>
      <c r="D68" s="655"/>
      <c r="E68" s="649"/>
      <c r="F68" s="655"/>
      <c r="G68" s="649"/>
      <c r="H68" s="655"/>
      <c r="I68" s="649"/>
      <c r="J68" s="655"/>
      <c r="K68" s="650"/>
      <c r="L68" s="68"/>
      <c r="M68" s="638"/>
      <c r="N68" s="68"/>
      <c r="O68"/>
      <c r="P68" s="665"/>
      <c r="Q68" s="665"/>
      <c r="R68" s="665"/>
      <c r="S68" s="665"/>
      <c r="T68" s="665"/>
      <c r="U68"/>
      <c r="V68" s="547"/>
      <c r="W68" s="547"/>
      <c r="X68" s="547"/>
      <c r="Y68" s="547"/>
      <c r="Z68" s="547"/>
    </row>
    <row r="69" spans="1:26" ht="15.75">
      <c r="A69" s="517" t="str">
        <f>'Budget with Assumptions'!A69</f>
        <v>Salaries</v>
      </c>
      <c r="B69" s="38"/>
      <c r="C69" s="38"/>
      <c r="D69" s="278">
        <f>'Budget with Assumptions'!J69</f>
        <v>77500</v>
      </c>
      <c r="E69" s="649"/>
      <c r="F69" s="278">
        <f>'Budget with Assumptions'!L69</f>
        <v>1095104</v>
      </c>
      <c r="G69" s="653"/>
      <c r="H69" s="278">
        <f>'Budget with Assumptions'!N69</f>
        <v>1436998</v>
      </c>
      <c r="I69" s="653"/>
      <c r="J69" s="278">
        <f>'Budget with Assumptions'!P69</f>
        <v>1719955.24</v>
      </c>
      <c r="K69" s="650"/>
      <c r="L69" s="278">
        <f>'Budget with Assumptions'!R69</f>
        <v>1931343.1208000004</v>
      </c>
      <c r="M69" s="638"/>
      <c r="N69" s="278">
        <f>'Budget with Assumptions'!T69</f>
        <v>1969969.9832159998</v>
      </c>
      <c r="O69"/>
      <c r="P69" s="664">
        <f aca="true" t="shared" si="15" ref="P69:P90">F69/$F$159</f>
        <v>0.38201182573758025</v>
      </c>
      <c r="Q69" s="664">
        <f aca="true" t="shared" si="16" ref="Q69:Q90">H69/$H$159</f>
        <v>0.40781529021232904</v>
      </c>
      <c r="R69" s="664">
        <f aca="true" t="shared" si="17" ref="R69:R90">J69/$J$159</f>
        <v>0.42368389165921705</v>
      </c>
      <c r="S69" s="664">
        <f aca="true" t="shared" si="18" ref="S69:S90">L69/$L$159</f>
        <v>0.4261381050660787</v>
      </c>
      <c r="T69" s="664">
        <f aca="true" t="shared" si="19" ref="T69:T90">N69/$N$159</f>
        <v>0.42852121873077076</v>
      </c>
      <c r="U69"/>
      <c r="V69" s="673">
        <f>F69/$F$178</f>
        <v>4888.857142857143</v>
      </c>
      <c r="W69" s="673">
        <f>H69/$H$178</f>
        <v>4605.76282051282</v>
      </c>
      <c r="X69" s="673">
        <f>J69/$J$178</f>
        <v>4257.31495049505</v>
      </c>
      <c r="Y69" s="673">
        <f>L69/$L$178</f>
        <v>3832.030001587302</v>
      </c>
      <c r="Z69" s="673">
        <f>N69/$N$178</f>
        <v>3908.6706016190474</v>
      </c>
    </row>
    <row r="70" spans="1:26" ht="15.75">
      <c r="A70" s="517" t="str">
        <f>'Budget with Assumptions'!A70</f>
        <v>School's Share of Employer Contribution (normal cost) to the CTPF</v>
      </c>
      <c r="B70" s="52"/>
      <c r="C70" s="52"/>
      <c r="D70" s="278">
        <f>'Budget with Assumptions'!J70</f>
        <v>0</v>
      </c>
      <c r="E70" s="649"/>
      <c r="F70" s="278">
        <f>'Budget with Assumptions'!L70</f>
        <v>75754.5264</v>
      </c>
      <c r="G70" s="653"/>
      <c r="H70" s="278">
        <f>'Budget with Assumptions'!N70</f>
        <v>110190.7152</v>
      </c>
      <c r="I70" s="653"/>
      <c r="J70" s="278">
        <f>'Budget with Assumptions'!P70</f>
        <v>137281.918752</v>
      </c>
      <c r="K70" s="650"/>
      <c r="L70" s="278">
        <f>'Budget with Assumptions'!R70</f>
        <v>162682.22052864003</v>
      </c>
      <c r="M70" s="638"/>
      <c r="N70" s="278">
        <f>'Budget with Assumptions'!T70</f>
        <v>165935.86493921283</v>
      </c>
      <c r="O70"/>
      <c r="P70" s="664">
        <f t="shared" si="15"/>
        <v>0.026425914742298193</v>
      </c>
      <c r="Q70" s="664">
        <f t="shared" si="16"/>
        <v>0.03127176133717103</v>
      </c>
      <c r="R70" s="664">
        <f t="shared" si="17"/>
        <v>0.03381723909936855</v>
      </c>
      <c r="S70" s="664">
        <f t="shared" si="18"/>
        <v>0.035894757610600424</v>
      </c>
      <c r="T70" s="664">
        <f t="shared" si="19"/>
        <v>0.03609549367793562</v>
      </c>
      <c r="U70"/>
      <c r="V70" s="673">
        <f aca="true" t="shared" si="20" ref="V70:V90">F70/$F$178</f>
        <v>338.18985000000004</v>
      </c>
      <c r="W70" s="673">
        <f aca="true" t="shared" si="21" ref="W70:W90">H70/$H$178</f>
        <v>353.17536923076926</v>
      </c>
      <c r="X70" s="673">
        <f aca="true" t="shared" si="22" ref="X70:X90">J70/$J$178</f>
        <v>339.8067295841584</v>
      </c>
      <c r="Y70" s="673">
        <f aca="true" t="shared" si="23" ref="Y70:Y90">L70/$L$178</f>
        <v>322.78218358857146</v>
      </c>
      <c r="Z70" s="673">
        <f aca="true" t="shared" si="24" ref="Z70:Z90">N70/$N$178</f>
        <v>329.2378272603429</v>
      </c>
    </row>
    <row r="71" spans="1:26" ht="15.75">
      <c r="A71" s="517" t="str">
        <f>'Budget with Assumptions'!A71</f>
        <v>Pension-CTPF(Charter School's Share of 9% of Employee w/h)</v>
      </c>
      <c r="B71" s="52"/>
      <c r="C71" s="52"/>
      <c r="D71" s="278">
        <f>'Budget with Assumptions'!J71</f>
        <v>0</v>
      </c>
      <c r="E71" s="649"/>
      <c r="F71" s="278">
        <f>'Budget with Assumptions'!L71</f>
        <v>37940.2</v>
      </c>
      <c r="G71" s="653"/>
      <c r="H71" s="278">
        <f>'Budget with Assumptions'!N71</f>
        <v>53448.600000000006</v>
      </c>
      <c r="I71" s="653"/>
      <c r="J71" s="278">
        <f>'Budget with Assumptions'!P71</f>
        <v>67228.436</v>
      </c>
      <c r="K71" s="650"/>
      <c r="L71" s="278">
        <f>'Budget with Assumptions'!R71</f>
        <v>78722.94352000003</v>
      </c>
      <c r="M71" s="638"/>
      <c r="N71" s="278">
        <f>'Budget with Assumptions'!T71</f>
        <v>80297.4023904</v>
      </c>
      <c r="O71"/>
      <c r="P71" s="664">
        <f t="shared" si="15"/>
        <v>0.013234912000000858</v>
      </c>
      <c r="Q71" s="664">
        <f t="shared" si="16"/>
        <v>0.015168536296113628</v>
      </c>
      <c r="R71" s="664">
        <f t="shared" si="17"/>
        <v>0.016560666657024523</v>
      </c>
      <c r="S71" s="664">
        <f t="shared" si="18"/>
        <v>0.017369697603469333</v>
      </c>
      <c r="T71" s="664">
        <f t="shared" si="19"/>
        <v>0.017466835041352245</v>
      </c>
      <c r="U71"/>
      <c r="V71" s="673">
        <f t="shared" si="20"/>
        <v>169.37589285714284</v>
      </c>
      <c r="W71" s="673">
        <f t="shared" si="21"/>
        <v>171.3096153846154</v>
      </c>
      <c r="X71" s="673">
        <f t="shared" si="22"/>
        <v>166.4070198019802</v>
      </c>
      <c r="Y71" s="673">
        <f t="shared" si="23"/>
        <v>156.19631650793656</v>
      </c>
      <c r="Z71" s="673">
        <f t="shared" si="24"/>
        <v>159.32024283809525</v>
      </c>
    </row>
    <row r="72" spans="1:26" ht="15.75">
      <c r="A72" s="517" t="str">
        <f>'Budget with Assumptions'!A72</f>
        <v>403b</v>
      </c>
      <c r="B72" s="52"/>
      <c r="C72" s="52"/>
      <c r="D72" s="278">
        <f>'Budget with Assumptions'!J72</f>
        <v>6038.8125</v>
      </c>
      <c r="E72" s="649"/>
      <c r="F72" s="278">
        <f>'Budget with Assumptions'!L72</f>
        <v>19571.739999999998</v>
      </c>
      <c r="G72" s="653"/>
      <c r="H72" s="278">
        <f>'Budget with Assumptions'!N72</f>
        <v>21314.45105</v>
      </c>
      <c r="I72" s="653"/>
      <c r="J72" s="278">
        <f>'Budget with Assumptions'!P72</f>
        <v>21842.016321000003</v>
      </c>
      <c r="K72" s="650"/>
      <c r="L72" s="278">
        <f>'Budget with Assumptions'!R72</f>
        <v>21068.57864742</v>
      </c>
      <c r="M72" s="638"/>
      <c r="N72" s="278">
        <f>'Budget with Assumptions'!T72</f>
        <v>23092.922220368397</v>
      </c>
      <c r="O72"/>
      <c r="P72" s="664">
        <f t="shared" si="15"/>
        <v>0.006827329760699648</v>
      </c>
      <c r="Q72" s="664">
        <f t="shared" si="16"/>
        <v>0.0060489708689032496</v>
      </c>
      <c r="R72" s="664">
        <f t="shared" si="17"/>
        <v>0.005380436805184196</v>
      </c>
      <c r="S72" s="664">
        <f t="shared" si="18"/>
        <v>0.004648642742221946</v>
      </c>
      <c r="T72" s="664">
        <f t="shared" si="19"/>
        <v>0.005023328912744212</v>
      </c>
      <c r="U72"/>
      <c r="V72" s="673">
        <f t="shared" si="20"/>
        <v>87.37383928571428</v>
      </c>
      <c r="W72" s="673">
        <f t="shared" si="21"/>
        <v>68.31554823717948</v>
      </c>
      <c r="X72" s="673">
        <f t="shared" si="22"/>
        <v>54.06439683415842</v>
      </c>
      <c r="Y72" s="673">
        <f t="shared" si="23"/>
        <v>41.802735411547616</v>
      </c>
      <c r="Z72" s="673">
        <f t="shared" si="24"/>
        <v>45.819290119778564</v>
      </c>
    </row>
    <row r="73" spans="1:26" ht="15.75">
      <c r="A73" s="517" t="str">
        <f>'Budget with Assumptions'!A73</f>
        <v>FICA (employer's share)</v>
      </c>
      <c r="B73" s="52"/>
      <c r="C73" s="52"/>
      <c r="D73" s="278">
        <f>'Budget with Assumptions'!J73</f>
        <v>4805</v>
      </c>
      <c r="E73" s="649"/>
      <c r="F73" s="278">
        <f>'Budget with Assumptions'!L73</f>
        <v>20850.6</v>
      </c>
      <c r="G73" s="653"/>
      <c r="H73" s="278">
        <f>'Budget with Assumptions'!N73</f>
        <v>22817.611999999997</v>
      </c>
      <c r="I73" s="653"/>
      <c r="J73" s="278">
        <f>'Budget with Assumptions'!P73</f>
        <v>23273.964239999998</v>
      </c>
      <c r="K73" s="650"/>
      <c r="L73" s="278">
        <f>'Budget with Assumptions'!R73</f>
        <v>22126.8235248</v>
      </c>
      <c r="M73" s="638"/>
      <c r="N73" s="278">
        <f>'Budget with Assumptions'!T73</f>
        <v>22569.359995296</v>
      </c>
      <c r="O73"/>
      <c r="P73" s="664">
        <f t="shared" si="15"/>
        <v>0.007273442315728908</v>
      </c>
      <c r="Q73" s="664">
        <f t="shared" si="16"/>
        <v>0.006475562985983502</v>
      </c>
      <c r="R73" s="664">
        <f t="shared" si="17"/>
        <v>0.005733174628161051</v>
      </c>
      <c r="S73" s="664">
        <f t="shared" si="18"/>
        <v>0.004882137485794907</v>
      </c>
      <c r="T73" s="664">
        <f t="shared" si="19"/>
        <v>0.00490944011003101</v>
      </c>
      <c r="U73"/>
      <c r="V73" s="673">
        <f t="shared" si="20"/>
        <v>93.08303571428571</v>
      </c>
      <c r="W73" s="673">
        <f t="shared" si="21"/>
        <v>73.13337179487179</v>
      </c>
      <c r="X73" s="673">
        <f t="shared" si="22"/>
        <v>57.60882237623762</v>
      </c>
      <c r="Y73" s="673">
        <f t="shared" si="23"/>
        <v>43.902427628571424</v>
      </c>
      <c r="Z73" s="673">
        <f t="shared" si="24"/>
        <v>44.78047618114286</v>
      </c>
    </row>
    <row r="74" spans="1:26" ht="15.75">
      <c r="A74" s="517" t="str">
        <f>'Budget with Assumptions'!A74</f>
        <v>Medicare (employer's share)</v>
      </c>
      <c r="B74" s="52"/>
      <c r="C74" s="52"/>
      <c r="D74" s="278">
        <f>'Budget with Assumptions'!J74</f>
        <v>1123.75</v>
      </c>
      <c r="E74" s="649"/>
      <c r="F74" s="278">
        <f>'Budget with Assumptions'!L74</f>
        <v>15879.008000000002</v>
      </c>
      <c r="G74" s="653"/>
      <c r="H74" s="278">
        <f>'Budget with Assumptions'!N74</f>
        <v>20836.471</v>
      </c>
      <c r="I74" s="653"/>
      <c r="J74" s="278">
        <f>'Budget with Assumptions'!P74</f>
        <v>24939.350980000003</v>
      </c>
      <c r="K74" s="650"/>
      <c r="L74" s="278">
        <f>'Budget with Assumptions'!R74</f>
        <v>28004.475251600008</v>
      </c>
      <c r="M74" s="638"/>
      <c r="N74" s="278">
        <f>'Budget with Assumptions'!T74</f>
        <v>28564.564756632004</v>
      </c>
      <c r="O74"/>
      <c r="P74" s="664">
        <f t="shared" si="15"/>
        <v>0.005539171473194914</v>
      </c>
      <c r="Q74" s="664">
        <f t="shared" si="16"/>
        <v>0.005913321708078772</v>
      </c>
      <c r="R74" s="664">
        <f t="shared" si="17"/>
        <v>0.0061434164290586485</v>
      </c>
      <c r="S74" s="664">
        <f t="shared" si="18"/>
        <v>0.006179002523458142</v>
      </c>
      <c r="T74" s="664">
        <f t="shared" si="19"/>
        <v>0.006213557671596178</v>
      </c>
      <c r="U74"/>
      <c r="V74" s="673">
        <f t="shared" si="20"/>
        <v>70.88842857142858</v>
      </c>
      <c r="W74" s="673">
        <f t="shared" si="21"/>
        <v>66.7835608974359</v>
      </c>
      <c r="X74" s="673">
        <f t="shared" si="22"/>
        <v>61.731066782178225</v>
      </c>
      <c r="Y74" s="673">
        <f t="shared" si="23"/>
        <v>55.56443502301589</v>
      </c>
      <c r="Z74" s="673">
        <f t="shared" si="24"/>
        <v>56.675723723476196</v>
      </c>
    </row>
    <row r="75" spans="1:26" ht="15.75">
      <c r="A75" s="517" t="str">
        <f>'Budget with Assumptions'!A75</f>
        <v>Health/Dental/Life Insurance</v>
      </c>
      <c r="B75" s="52"/>
      <c r="C75" s="52"/>
      <c r="D75" s="278">
        <f>'Budget with Assumptions'!J75</f>
        <v>6000</v>
      </c>
      <c r="E75" s="649"/>
      <c r="F75" s="278">
        <f>'Budget with Assumptions'!L75</f>
        <v>120000</v>
      </c>
      <c r="G75" s="653"/>
      <c r="H75" s="278">
        <f>'Budget with Assumptions'!N75</f>
        <v>156000</v>
      </c>
      <c r="I75" s="653"/>
      <c r="J75" s="278">
        <f>'Budget with Assumptions'!P75</f>
        <v>186000</v>
      </c>
      <c r="K75" s="650"/>
      <c r="L75" s="278">
        <f>'Budget with Assumptions'!R75</f>
        <v>210000</v>
      </c>
      <c r="M75" s="638"/>
      <c r="N75" s="278">
        <f>'Budget with Assumptions'!T75</f>
        <v>210000</v>
      </c>
      <c r="O75"/>
      <c r="P75" s="664">
        <f t="shared" si="15"/>
        <v>0.04186033389386727</v>
      </c>
      <c r="Q75" s="664">
        <f t="shared" si="16"/>
        <v>0.044272285189765975</v>
      </c>
      <c r="R75" s="664">
        <f t="shared" si="17"/>
        <v>0.04581817131974573</v>
      </c>
      <c r="S75" s="664">
        <f t="shared" si="18"/>
        <v>0.04633511316560281</v>
      </c>
      <c r="T75" s="664">
        <f t="shared" si="19"/>
        <v>0.04568062290297083</v>
      </c>
      <c r="U75"/>
      <c r="V75" s="673">
        <f t="shared" si="20"/>
        <v>535.7142857142857</v>
      </c>
      <c r="W75" s="673">
        <f t="shared" si="21"/>
        <v>500</v>
      </c>
      <c r="X75" s="673">
        <f t="shared" si="22"/>
        <v>460.3960396039604</v>
      </c>
      <c r="Y75" s="673">
        <f t="shared" si="23"/>
        <v>416.6666666666667</v>
      </c>
      <c r="Z75" s="673">
        <f t="shared" si="24"/>
        <v>416.6666666666667</v>
      </c>
    </row>
    <row r="76" spans="1:26" ht="15.75">
      <c r="A76" s="517" t="str">
        <f>'Budget with Assumptions'!A76</f>
        <v>Workers Compensation</v>
      </c>
      <c r="B76" s="52"/>
      <c r="C76" s="52"/>
      <c r="D76" s="278">
        <f>'Budget with Assumptions'!J76</f>
        <v>750</v>
      </c>
      <c r="E76" s="649"/>
      <c r="F76" s="278">
        <f>'Budget with Assumptions'!L76</f>
        <v>10900</v>
      </c>
      <c r="G76" s="649"/>
      <c r="H76" s="278">
        <f>'Budget with Assumptions'!N76</f>
        <v>14318</v>
      </c>
      <c r="I76" s="653"/>
      <c r="J76" s="278">
        <f>'Budget with Assumptions'!P76</f>
        <v>17134.36</v>
      </c>
      <c r="K76" s="650"/>
      <c r="L76" s="278">
        <f>'Budget with Assumptions'!R76</f>
        <v>19246.947200000006</v>
      </c>
      <c r="M76" s="638"/>
      <c r="N76" s="278">
        <f>'Budget with Assumptions'!T76</f>
        <v>19931.886144000007</v>
      </c>
      <c r="O76"/>
      <c r="P76" s="664">
        <f t="shared" si="15"/>
        <v>0.0038023136620262774</v>
      </c>
      <c r="Q76" s="664">
        <f t="shared" si="16"/>
        <v>0.004063401149660701</v>
      </c>
      <c r="R76" s="664">
        <f t="shared" si="17"/>
        <v>0.004220779795345153</v>
      </c>
      <c r="S76" s="664">
        <f t="shared" si="18"/>
        <v>0.004246711793354202</v>
      </c>
      <c r="T76" s="664">
        <f t="shared" si="19"/>
        <v>0.004335718927090541</v>
      </c>
      <c r="U76"/>
      <c r="V76" s="673">
        <f t="shared" si="20"/>
        <v>48.660714285714285</v>
      </c>
      <c r="W76" s="673">
        <f t="shared" si="21"/>
        <v>45.89102564102564</v>
      </c>
      <c r="X76" s="673">
        <f t="shared" si="22"/>
        <v>42.41178217821782</v>
      </c>
      <c r="Y76" s="673">
        <f t="shared" si="23"/>
        <v>38.18838730158731</v>
      </c>
      <c r="Z76" s="673">
        <f t="shared" si="24"/>
        <v>39.54739314285716</v>
      </c>
    </row>
    <row r="77" spans="1:26" ht="15.75">
      <c r="A77" s="517" t="str">
        <f>'Budget with Assumptions'!A77</f>
        <v>State Unemployment Taxes</v>
      </c>
      <c r="B77" s="52"/>
      <c r="C77" s="52"/>
      <c r="D77" s="278">
        <f>'Budget with Assumptions'!J77</f>
        <v>1625</v>
      </c>
      <c r="E77" s="649"/>
      <c r="F77" s="278">
        <f>'Budget with Assumptions'!L77</f>
        <v>16815</v>
      </c>
      <c r="G77" s="649"/>
      <c r="H77" s="278">
        <f>'Budget with Assumptions'!N77</f>
        <v>18401.3</v>
      </c>
      <c r="I77" s="649"/>
      <c r="J77" s="278">
        <f>'Budget with Assumptions'!P77</f>
        <v>18769.326</v>
      </c>
      <c r="K77" s="650"/>
      <c r="L77" s="278">
        <f>'Budget with Assumptions'!R77</f>
        <v>17844.21252</v>
      </c>
      <c r="M77" s="638"/>
      <c r="N77" s="278">
        <f>'Budget with Assumptions'!T77</f>
        <v>19701.096770399996</v>
      </c>
      <c r="O77"/>
      <c r="P77" s="664">
        <f t="shared" si="15"/>
        <v>0.005865679286878152</v>
      </c>
      <c r="Q77" s="664">
        <f t="shared" si="16"/>
        <v>0.005222228214502825</v>
      </c>
      <c r="R77" s="664">
        <f t="shared" si="17"/>
        <v>0.0046235279259363325</v>
      </c>
      <c r="S77" s="664">
        <f t="shared" si="18"/>
        <v>0.003937207649834603</v>
      </c>
      <c r="T77" s="664">
        <f t="shared" si="19"/>
        <v>0.004285516058778946</v>
      </c>
      <c r="U77"/>
      <c r="V77" s="673">
        <f t="shared" si="20"/>
        <v>75.06696428571429</v>
      </c>
      <c r="W77" s="673">
        <f t="shared" si="21"/>
        <v>58.97852564102564</v>
      </c>
      <c r="X77" s="673">
        <f t="shared" si="22"/>
        <v>46.45872772277228</v>
      </c>
      <c r="Y77" s="673">
        <f t="shared" si="23"/>
        <v>35.40518357142857</v>
      </c>
      <c r="Z77" s="673">
        <f t="shared" si="24"/>
        <v>39.08947771904761</v>
      </c>
    </row>
    <row r="78" spans="1:26" ht="15.75">
      <c r="A78" s="517">
        <f>'Budget with Assumptions'!A78</f>
        <v>0</v>
      </c>
      <c r="B78" s="52"/>
      <c r="C78" s="52"/>
      <c r="D78" s="278">
        <f>'Budget with Assumptions'!J78</f>
        <v>0</v>
      </c>
      <c r="E78" s="649"/>
      <c r="F78" s="278">
        <f>'Budget with Assumptions'!L78</f>
        <v>0</v>
      </c>
      <c r="G78" s="649"/>
      <c r="H78" s="278">
        <f>'Budget with Assumptions'!N78</f>
        <v>0</v>
      </c>
      <c r="I78" s="649"/>
      <c r="J78" s="278">
        <f>'Budget with Assumptions'!P78</f>
        <v>0</v>
      </c>
      <c r="K78" s="650"/>
      <c r="L78" s="278">
        <f>'Budget with Assumptions'!R78</f>
        <v>0</v>
      </c>
      <c r="M78" s="638"/>
      <c r="N78" s="278">
        <f>'Budget with Assumptions'!T78</f>
        <v>0</v>
      </c>
      <c r="O78"/>
      <c r="P78" s="664">
        <f t="shared" si="15"/>
        <v>0</v>
      </c>
      <c r="Q78" s="664">
        <f t="shared" si="16"/>
        <v>0</v>
      </c>
      <c r="R78" s="664">
        <f t="shared" si="17"/>
        <v>0</v>
      </c>
      <c r="S78" s="664">
        <f t="shared" si="18"/>
        <v>0</v>
      </c>
      <c r="T78" s="664">
        <f t="shared" si="19"/>
        <v>0</v>
      </c>
      <c r="U78"/>
      <c r="V78" s="673">
        <f t="shared" si="20"/>
        <v>0</v>
      </c>
      <c r="W78" s="673">
        <f t="shared" si="21"/>
        <v>0</v>
      </c>
      <c r="X78" s="673">
        <f t="shared" si="22"/>
        <v>0</v>
      </c>
      <c r="Y78" s="673">
        <f t="shared" si="23"/>
        <v>0</v>
      </c>
      <c r="Z78" s="673">
        <f t="shared" si="24"/>
        <v>0</v>
      </c>
    </row>
    <row r="79" spans="1:26" ht="15.75">
      <c r="A79" s="517">
        <f>'Budget with Assumptions'!A79</f>
        <v>0</v>
      </c>
      <c r="B79" s="52"/>
      <c r="C79" s="52"/>
      <c r="D79" s="278">
        <f>'Budget with Assumptions'!J79</f>
        <v>0</v>
      </c>
      <c r="E79" s="649"/>
      <c r="F79" s="278">
        <f>'Budget with Assumptions'!L79</f>
        <v>0</v>
      </c>
      <c r="G79" s="649"/>
      <c r="H79" s="278">
        <f>'Budget with Assumptions'!N79</f>
        <v>0</v>
      </c>
      <c r="I79" s="649"/>
      <c r="J79" s="278">
        <f>'Budget with Assumptions'!P79</f>
        <v>0</v>
      </c>
      <c r="K79" s="650"/>
      <c r="L79" s="278">
        <f>'Budget with Assumptions'!R79</f>
        <v>0</v>
      </c>
      <c r="M79" s="638"/>
      <c r="N79" s="278">
        <f>'Budget with Assumptions'!T79</f>
        <v>0</v>
      </c>
      <c r="O79"/>
      <c r="P79" s="664">
        <f t="shared" si="15"/>
        <v>0</v>
      </c>
      <c r="Q79" s="664">
        <f t="shared" si="16"/>
        <v>0</v>
      </c>
      <c r="R79" s="664">
        <f t="shared" si="17"/>
        <v>0</v>
      </c>
      <c r="S79" s="664">
        <f t="shared" si="18"/>
        <v>0</v>
      </c>
      <c r="T79" s="664">
        <f t="shared" si="19"/>
        <v>0</v>
      </c>
      <c r="U79"/>
      <c r="V79" s="673">
        <f t="shared" si="20"/>
        <v>0</v>
      </c>
      <c r="W79" s="673">
        <f t="shared" si="21"/>
        <v>0</v>
      </c>
      <c r="X79" s="673">
        <f t="shared" si="22"/>
        <v>0</v>
      </c>
      <c r="Y79" s="673">
        <f t="shared" si="23"/>
        <v>0</v>
      </c>
      <c r="Z79" s="673">
        <f t="shared" si="24"/>
        <v>0</v>
      </c>
    </row>
    <row r="80" spans="1:26" ht="15.75">
      <c r="A80" s="517">
        <f>'Budget with Assumptions'!A80</f>
        <v>0</v>
      </c>
      <c r="B80" s="52"/>
      <c r="C80" s="52"/>
      <c r="D80" s="278">
        <f>'Budget with Assumptions'!J80</f>
        <v>0</v>
      </c>
      <c r="E80" s="547"/>
      <c r="F80" s="278">
        <f>'Budget with Assumptions'!L80</f>
        <v>0</v>
      </c>
      <c r="G80" s="547"/>
      <c r="H80" s="278">
        <f>'Budget with Assumptions'!N80</f>
        <v>0</v>
      </c>
      <c r="I80" s="547"/>
      <c r="J80" s="278">
        <f>'Budget with Assumptions'!P80</f>
        <v>0</v>
      </c>
      <c r="K80" s="624"/>
      <c r="L80" s="278">
        <f>'Budget with Assumptions'!R80</f>
        <v>0</v>
      </c>
      <c r="M80" s="624"/>
      <c r="N80" s="278">
        <f>'Budget with Assumptions'!T80</f>
        <v>0</v>
      </c>
      <c r="P80" s="664">
        <f t="shared" si="15"/>
        <v>0</v>
      </c>
      <c r="Q80" s="664">
        <f t="shared" si="16"/>
        <v>0</v>
      </c>
      <c r="R80" s="664">
        <f t="shared" si="17"/>
        <v>0</v>
      </c>
      <c r="S80" s="664">
        <f t="shared" si="18"/>
        <v>0</v>
      </c>
      <c r="T80" s="664">
        <f t="shared" si="19"/>
        <v>0</v>
      </c>
      <c r="V80" s="673">
        <f t="shared" si="20"/>
        <v>0</v>
      </c>
      <c r="W80" s="673">
        <f t="shared" si="21"/>
        <v>0</v>
      </c>
      <c r="X80" s="673">
        <f t="shared" si="22"/>
        <v>0</v>
      </c>
      <c r="Y80" s="673">
        <f t="shared" si="23"/>
        <v>0</v>
      </c>
      <c r="Z80" s="673">
        <f t="shared" si="24"/>
        <v>0</v>
      </c>
    </row>
    <row r="81" spans="1:26" ht="15.75">
      <c r="A81" s="517">
        <f>'Budget with Assumptions'!A81</f>
        <v>0</v>
      </c>
      <c r="D81" s="278">
        <f>'Budget with Assumptions'!J81</f>
        <v>0</v>
      </c>
      <c r="E81" s="649"/>
      <c r="F81" s="278">
        <f>'Budget with Assumptions'!L81</f>
        <v>0</v>
      </c>
      <c r="G81" s="649"/>
      <c r="H81" s="278">
        <f>'Budget with Assumptions'!N81</f>
        <v>0</v>
      </c>
      <c r="I81" s="649"/>
      <c r="J81" s="278">
        <f>'Budget with Assumptions'!P81</f>
        <v>0</v>
      </c>
      <c r="K81" s="650"/>
      <c r="L81" s="278">
        <f>'Budget with Assumptions'!R81</f>
        <v>0</v>
      </c>
      <c r="M81" s="638"/>
      <c r="N81" s="278">
        <f>'Budget with Assumptions'!T81</f>
        <v>0</v>
      </c>
      <c r="O81"/>
      <c r="P81" s="664">
        <f t="shared" si="15"/>
        <v>0</v>
      </c>
      <c r="Q81" s="664">
        <f t="shared" si="16"/>
        <v>0</v>
      </c>
      <c r="R81" s="664">
        <f t="shared" si="17"/>
        <v>0</v>
      </c>
      <c r="S81" s="664">
        <f t="shared" si="18"/>
        <v>0</v>
      </c>
      <c r="T81" s="664">
        <f t="shared" si="19"/>
        <v>0</v>
      </c>
      <c r="U81"/>
      <c r="V81" s="673">
        <f t="shared" si="20"/>
        <v>0</v>
      </c>
      <c r="W81" s="673">
        <f t="shared" si="21"/>
        <v>0</v>
      </c>
      <c r="X81" s="673">
        <f t="shared" si="22"/>
        <v>0</v>
      </c>
      <c r="Y81" s="673">
        <f t="shared" si="23"/>
        <v>0</v>
      </c>
      <c r="Z81" s="673">
        <f t="shared" si="24"/>
        <v>0</v>
      </c>
    </row>
    <row r="82" spans="1:26" ht="15.75">
      <c r="A82" s="622" t="str">
        <f>'Budget with Assumptions'!A82</f>
        <v>Employee Related Expenses (non-wage and non-benefit)</v>
      </c>
      <c r="B82" s="52"/>
      <c r="C82" s="52"/>
      <c r="D82" s="278">
        <f>'Budget with Assumptions'!J82</f>
        <v>0</v>
      </c>
      <c r="E82" s="649"/>
      <c r="F82" s="278">
        <f>'Budget with Assumptions'!L82</f>
        <v>0</v>
      </c>
      <c r="G82" s="649"/>
      <c r="H82" s="278">
        <f>'Budget with Assumptions'!N82</f>
        <v>0</v>
      </c>
      <c r="I82" s="649"/>
      <c r="J82" s="278">
        <f>'Budget with Assumptions'!P82</f>
        <v>0</v>
      </c>
      <c r="K82" s="650"/>
      <c r="L82" s="278">
        <f>'Budget with Assumptions'!R82</f>
        <v>0</v>
      </c>
      <c r="M82" s="638"/>
      <c r="N82" s="278">
        <f>'Budget with Assumptions'!T82</f>
        <v>0</v>
      </c>
      <c r="O82"/>
      <c r="P82" s="664">
        <f t="shared" si="15"/>
        <v>0</v>
      </c>
      <c r="Q82" s="664">
        <f t="shared" si="16"/>
        <v>0</v>
      </c>
      <c r="R82" s="664">
        <f t="shared" si="17"/>
        <v>0</v>
      </c>
      <c r="S82" s="664">
        <f t="shared" si="18"/>
        <v>0</v>
      </c>
      <c r="T82" s="664">
        <f t="shared" si="19"/>
        <v>0</v>
      </c>
      <c r="U82"/>
      <c r="V82" s="673">
        <f t="shared" si="20"/>
        <v>0</v>
      </c>
      <c r="W82" s="673">
        <f t="shared" si="21"/>
        <v>0</v>
      </c>
      <c r="X82" s="673">
        <f t="shared" si="22"/>
        <v>0</v>
      </c>
      <c r="Y82" s="673">
        <f t="shared" si="23"/>
        <v>0</v>
      </c>
      <c r="Z82" s="673">
        <f t="shared" si="24"/>
        <v>0</v>
      </c>
    </row>
    <row r="83" spans="1:26" ht="15.75">
      <c r="A83" s="517" t="str">
        <f>'Budget with Assumptions'!A83</f>
        <v>Staff Recruitment</v>
      </c>
      <c r="B83" s="52"/>
      <c r="C83" s="52"/>
      <c r="D83" s="278">
        <f>'Budget with Assumptions'!J83</f>
        <v>500</v>
      </c>
      <c r="E83" s="649"/>
      <c r="F83" s="278">
        <f>'Budget with Assumptions'!L83</f>
        <v>12000</v>
      </c>
      <c r="G83" s="649"/>
      <c r="H83" s="278">
        <f>'Budget with Assumptions'!N83</f>
        <v>3500</v>
      </c>
      <c r="I83" s="649"/>
      <c r="J83" s="278">
        <f>'Budget with Assumptions'!P83</f>
        <v>2500</v>
      </c>
      <c r="K83" s="650"/>
      <c r="L83" s="278">
        <f>'Budget with Assumptions'!R83</f>
        <v>1500</v>
      </c>
      <c r="M83" s="638"/>
      <c r="N83" s="278">
        <f>'Budget with Assumptions'!T83</f>
        <v>0</v>
      </c>
      <c r="O83"/>
      <c r="P83" s="664">
        <f t="shared" si="15"/>
        <v>0.004186033389386727</v>
      </c>
      <c r="Q83" s="664">
        <f t="shared" si="16"/>
        <v>0.0009932884497703906</v>
      </c>
      <c r="R83" s="664">
        <f t="shared" si="17"/>
        <v>0.0006158356360180877</v>
      </c>
      <c r="S83" s="664">
        <f t="shared" si="18"/>
        <v>0.0003309650940400201</v>
      </c>
      <c r="T83" s="664">
        <f t="shared" si="19"/>
        <v>0</v>
      </c>
      <c r="U83"/>
      <c r="V83" s="673">
        <f t="shared" si="20"/>
        <v>53.57142857142857</v>
      </c>
      <c r="W83" s="673">
        <f t="shared" si="21"/>
        <v>11.217948717948717</v>
      </c>
      <c r="X83" s="673">
        <f t="shared" si="22"/>
        <v>6.188118811881188</v>
      </c>
      <c r="Y83" s="673">
        <f t="shared" si="23"/>
        <v>2.9761904761904763</v>
      </c>
      <c r="Z83" s="673">
        <f t="shared" si="24"/>
        <v>0</v>
      </c>
    </row>
    <row r="84" spans="1:26" ht="15.75">
      <c r="A84" s="517" t="str">
        <f>'Budget with Assumptions'!A84</f>
        <v>Professional Development</v>
      </c>
      <c r="B84" s="52"/>
      <c r="C84" s="52"/>
      <c r="D84" s="278">
        <f>'Budget with Assumptions'!J84</f>
        <v>0</v>
      </c>
      <c r="E84" s="649"/>
      <c r="F84" s="278">
        <f>'Budget with Assumptions'!L84</f>
        <v>14000</v>
      </c>
      <c r="G84" s="649"/>
      <c r="H84" s="278">
        <f>'Budget with Assumptions'!N84</f>
        <v>20000</v>
      </c>
      <c r="I84" s="649"/>
      <c r="J84" s="278">
        <f>'Budget with Assumptions'!P84</f>
        <v>24000</v>
      </c>
      <c r="K84" s="650"/>
      <c r="L84" s="278">
        <f>'Budget with Assumptions'!R84</f>
        <v>28000</v>
      </c>
      <c r="M84" s="638"/>
      <c r="N84" s="278">
        <f>'Budget with Assumptions'!T84</f>
        <v>28000</v>
      </c>
      <c r="O84"/>
      <c r="P84" s="664">
        <f t="shared" si="15"/>
        <v>0.004883705620951182</v>
      </c>
      <c r="Q84" s="664">
        <f t="shared" si="16"/>
        <v>0.005675933998687946</v>
      </c>
      <c r="R84" s="664">
        <f t="shared" si="17"/>
        <v>0.005912022105773642</v>
      </c>
      <c r="S84" s="664">
        <f t="shared" si="18"/>
        <v>0.006178015088747042</v>
      </c>
      <c r="T84" s="664">
        <f t="shared" si="19"/>
        <v>0.00609074972039611</v>
      </c>
      <c r="U84"/>
      <c r="V84" s="673">
        <f t="shared" si="20"/>
        <v>62.5</v>
      </c>
      <c r="W84" s="673">
        <f t="shared" si="21"/>
        <v>64.1025641025641</v>
      </c>
      <c r="X84" s="673">
        <f t="shared" si="22"/>
        <v>59.40594059405941</v>
      </c>
      <c r="Y84" s="673">
        <f t="shared" si="23"/>
        <v>55.55555555555556</v>
      </c>
      <c r="Z84" s="673">
        <f t="shared" si="24"/>
        <v>55.55555555555556</v>
      </c>
    </row>
    <row r="85" spans="1:26" ht="15.75">
      <c r="A85" s="517" t="str">
        <f>'Budget with Assumptions'!A85</f>
        <v>Staff Appreciation</v>
      </c>
      <c r="B85" s="52"/>
      <c r="C85" s="52"/>
      <c r="D85" s="278">
        <f>'Budget with Assumptions'!J85</f>
        <v>0</v>
      </c>
      <c r="E85" s="649"/>
      <c r="F85" s="278">
        <f>'Budget with Assumptions'!L85</f>
        <v>8000</v>
      </c>
      <c r="G85" s="649"/>
      <c r="H85" s="278">
        <f>'Budget with Assumptions'!N85</f>
        <v>8000</v>
      </c>
      <c r="I85" s="649"/>
      <c r="J85" s="278">
        <f>'Budget with Assumptions'!P85</f>
        <v>8000</v>
      </c>
      <c r="K85" s="650"/>
      <c r="L85" s="278">
        <f>'Budget with Assumptions'!R85</f>
        <v>8000</v>
      </c>
      <c r="M85" s="638"/>
      <c r="N85" s="278">
        <f>'Budget with Assumptions'!T85</f>
        <v>8000</v>
      </c>
      <c r="O85"/>
      <c r="P85" s="664">
        <f t="shared" si="15"/>
        <v>0.002790688926257818</v>
      </c>
      <c r="Q85" s="664">
        <f t="shared" si="16"/>
        <v>0.0022703735994751783</v>
      </c>
      <c r="R85" s="664">
        <f t="shared" si="17"/>
        <v>0.0019706740352578808</v>
      </c>
      <c r="S85" s="664">
        <f t="shared" si="18"/>
        <v>0.0017651471682134405</v>
      </c>
      <c r="T85" s="664">
        <f t="shared" si="19"/>
        <v>0.00174021420582746</v>
      </c>
      <c r="U85"/>
      <c r="V85" s="673">
        <f t="shared" si="20"/>
        <v>35.714285714285715</v>
      </c>
      <c r="W85" s="673">
        <f t="shared" si="21"/>
        <v>25.641025641025642</v>
      </c>
      <c r="X85" s="673">
        <f t="shared" si="22"/>
        <v>19.801980198019802</v>
      </c>
      <c r="Y85" s="673">
        <f t="shared" si="23"/>
        <v>15.873015873015873</v>
      </c>
      <c r="Z85" s="673">
        <f t="shared" si="24"/>
        <v>15.873015873015873</v>
      </c>
    </row>
    <row r="86" spans="1:26" ht="15.75">
      <c r="A86" s="517" t="str">
        <f>'Budget with Assumptions'!A86</f>
        <v>Substitute Teachers (Contractual)</v>
      </c>
      <c r="B86" s="52"/>
      <c r="C86" s="52"/>
      <c r="D86" s="278">
        <f>'Budget with Assumptions'!J86</f>
        <v>0</v>
      </c>
      <c r="E86" s="649"/>
      <c r="F86" s="278">
        <f>'Budget with Assumptions'!L86</f>
        <v>13300</v>
      </c>
      <c r="G86" s="649"/>
      <c r="H86" s="278">
        <f>'Budget with Assumptions'!N86</f>
        <v>19000</v>
      </c>
      <c r="I86" s="649"/>
      <c r="J86" s="278">
        <f>'Budget with Assumptions'!P86</f>
        <v>22800</v>
      </c>
      <c r="K86" s="650"/>
      <c r="L86" s="278">
        <f>'Budget with Assumptions'!R86</f>
        <v>26600</v>
      </c>
      <c r="M86" s="638"/>
      <c r="N86" s="278">
        <f>'Budget with Assumptions'!T86</f>
        <v>26600</v>
      </c>
      <c r="O86"/>
      <c r="P86" s="664">
        <f t="shared" si="15"/>
        <v>0.004639520339903623</v>
      </c>
      <c r="Q86" s="664">
        <f t="shared" si="16"/>
        <v>0.005392137298753549</v>
      </c>
      <c r="R86" s="664">
        <f t="shared" si="17"/>
        <v>0.00561642100048496</v>
      </c>
      <c r="S86" s="664">
        <f t="shared" si="18"/>
        <v>0.005869114334309689</v>
      </c>
      <c r="T86" s="664">
        <f t="shared" si="19"/>
        <v>0.005786212234376305</v>
      </c>
      <c r="U86"/>
      <c r="V86" s="673">
        <f t="shared" si="20"/>
        <v>59.375</v>
      </c>
      <c r="W86" s="673">
        <f t="shared" si="21"/>
        <v>60.8974358974359</v>
      </c>
      <c r="X86" s="673">
        <f t="shared" si="22"/>
        <v>56.43564356435643</v>
      </c>
      <c r="Y86" s="673">
        <f t="shared" si="23"/>
        <v>52.77777777777778</v>
      </c>
      <c r="Z86" s="673">
        <f t="shared" si="24"/>
        <v>52.77777777777778</v>
      </c>
    </row>
    <row r="87" spans="1:26" ht="15.75">
      <c r="A87" s="517">
        <f>'Budget with Assumptions'!A87</f>
        <v>0</v>
      </c>
      <c r="B87" s="52"/>
      <c r="C87" s="52"/>
      <c r="D87" s="278">
        <f>'Budget with Assumptions'!J87</f>
        <v>0</v>
      </c>
      <c r="E87" s="649"/>
      <c r="F87" s="278">
        <f>'Budget with Assumptions'!L87</f>
        <v>0</v>
      </c>
      <c r="G87" s="649"/>
      <c r="H87" s="278">
        <f>'Budget with Assumptions'!N87</f>
        <v>0</v>
      </c>
      <c r="I87" s="649"/>
      <c r="J87" s="278">
        <f>'Budget with Assumptions'!P87</f>
        <v>0</v>
      </c>
      <c r="K87" s="650"/>
      <c r="L87" s="278">
        <f>'Budget with Assumptions'!R87</f>
        <v>0</v>
      </c>
      <c r="M87" s="638"/>
      <c r="N87" s="278">
        <f>'Budget with Assumptions'!T87</f>
        <v>0</v>
      </c>
      <c r="O87"/>
      <c r="P87" s="664">
        <f t="shared" si="15"/>
        <v>0</v>
      </c>
      <c r="Q87" s="664">
        <f t="shared" si="16"/>
        <v>0</v>
      </c>
      <c r="R87" s="664">
        <f t="shared" si="17"/>
        <v>0</v>
      </c>
      <c r="S87" s="664">
        <f t="shared" si="18"/>
        <v>0</v>
      </c>
      <c r="T87" s="664">
        <f t="shared" si="19"/>
        <v>0</v>
      </c>
      <c r="U87"/>
      <c r="V87" s="673">
        <f t="shared" si="20"/>
        <v>0</v>
      </c>
      <c r="W87" s="673">
        <f t="shared" si="21"/>
        <v>0</v>
      </c>
      <c r="X87" s="673">
        <f t="shared" si="22"/>
        <v>0</v>
      </c>
      <c r="Y87" s="673">
        <f t="shared" si="23"/>
        <v>0</v>
      </c>
      <c r="Z87" s="673">
        <f t="shared" si="24"/>
        <v>0</v>
      </c>
    </row>
    <row r="88" spans="1:26" ht="15.75">
      <c r="A88" s="517">
        <f>'Budget with Assumptions'!A88</f>
        <v>0</v>
      </c>
      <c r="B88" s="52"/>
      <c r="C88" s="52"/>
      <c r="D88" s="278">
        <f>'Budget with Assumptions'!J88</f>
        <v>0</v>
      </c>
      <c r="E88" s="649"/>
      <c r="F88" s="278">
        <f>'Budget with Assumptions'!L88</f>
        <v>0</v>
      </c>
      <c r="G88" s="649"/>
      <c r="H88" s="278">
        <f>'Budget with Assumptions'!N88</f>
        <v>0</v>
      </c>
      <c r="I88" s="649"/>
      <c r="J88" s="278">
        <f>'Budget with Assumptions'!P88</f>
        <v>0</v>
      </c>
      <c r="K88" s="650"/>
      <c r="L88" s="278">
        <f>'Budget with Assumptions'!R88</f>
        <v>0</v>
      </c>
      <c r="M88" s="638"/>
      <c r="N88" s="278">
        <f>'Budget with Assumptions'!T88</f>
        <v>0</v>
      </c>
      <c r="O88"/>
      <c r="P88" s="664">
        <f t="shared" si="15"/>
        <v>0</v>
      </c>
      <c r="Q88" s="664">
        <f t="shared" si="16"/>
        <v>0</v>
      </c>
      <c r="R88" s="664">
        <f t="shared" si="17"/>
        <v>0</v>
      </c>
      <c r="S88" s="664">
        <f t="shared" si="18"/>
        <v>0</v>
      </c>
      <c r="T88" s="664">
        <f t="shared" si="19"/>
        <v>0</v>
      </c>
      <c r="U88"/>
      <c r="V88" s="673">
        <f t="shared" si="20"/>
        <v>0</v>
      </c>
      <c r="W88" s="673">
        <f t="shared" si="21"/>
        <v>0</v>
      </c>
      <c r="X88" s="673">
        <f t="shared" si="22"/>
        <v>0</v>
      </c>
      <c r="Y88" s="673">
        <f t="shared" si="23"/>
        <v>0</v>
      </c>
      <c r="Z88" s="673">
        <f t="shared" si="24"/>
        <v>0</v>
      </c>
    </row>
    <row r="89" spans="1:26" ht="15.75">
      <c r="A89" s="517">
        <f>'Budget with Assumptions'!A89</f>
        <v>0</v>
      </c>
      <c r="B89" s="52"/>
      <c r="C89" s="52"/>
      <c r="D89" s="278">
        <f>'Budget with Assumptions'!J89</f>
        <v>0</v>
      </c>
      <c r="E89" s="649"/>
      <c r="F89" s="278">
        <f>'Budget with Assumptions'!L89</f>
        <v>0</v>
      </c>
      <c r="G89" s="649"/>
      <c r="H89" s="278">
        <f>'Budget with Assumptions'!N89</f>
        <v>0</v>
      </c>
      <c r="I89" s="649"/>
      <c r="J89" s="278">
        <f>'Budget with Assumptions'!P89</f>
        <v>0</v>
      </c>
      <c r="K89" s="650"/>
      <c r="L89" s="278">
        <f>'Budget with Assumptions'!R89</f>
        <v>0</v>
      </c>
      <c r="M89" s="638"/>
      <c r="N89" s="278">
        <f>'Budget with Assumptions'!T89</f>
        <v>0</v>
      </c>
      <c r="O89"/>
      <c r="P89" s="664">
        <f t="shared" si="15"/>
        <v>0</v>
      </c>
      <c r="Q89" s="664">
        <f t="shared" si="16"/>
        <v>0</v>
      </c>
      <c r="R89" s="664">
        <f t="shared" si="17"/>
        <v>0</v>
      </c>
      <c r="S89" s="664">
        <f t="shared" si="18"/>
        <v>0</v>
      </c>
      <c r="T89" s="664">
        <f t="shared" si="19"/>
        <v>0</v>
      </c>
      <c r="U89"/>
      <c r="V89" s="673">
        <f t="shared" si="20"/>
        <v>0</v>
      </c>
      <c r="W89" s="673">
        <f t="shared" si="21"/>
        <v>0</v>
      </c>
      <c r="X89" s="673">
        <f t="shared" si="22"/>
        <v>0</v>
      </c>
      <c r="Y89" s="673">
        <f t="shared" si="23"/>
        <v>0</v>
      </c>
      <c r="Z89" s="673">
        <f t="shared" si="24"/>
        <v>0</v>
      </c>
    </row>
    <row r="90" spans="1:26" ht="15.75">
      <c r="A90" s="517">
        <f>'Budget with Assumptions'!A90</f>
        <v>0</v>
      </c>
      <c r="B90" s="52"/>
      <c r="C90" s="52"/>
      <c r="D90" s="278">
        <f>'Budget with Assumptions'!J90</f>
        <v>0</v>
      </c>
      <c r="E90" s="649"/>
      <c r="F90" s="278">
        <f>'Budget with Assumptions'!L90</f>
        <v>0</v>
      </c>
      <c r="G90" s="649"/>
      <c r="H90" s="278">
        <f>'Budget with Assumptions'!N90</f>
        <v>0</v>
      </c>
      <c r="I90" s="649"/>
      <c r="J90" s="278">
        <f>'Budget with Assumptions'!P90</f>
        <v>0</v>
      </c>
      <c r="K90" s="650"/>
      <c r="L90" s="278">
        <f>'Budget with Assumptions'!R90</f>
        <v>0</v>
      </c>
      <c r="M90" s="638"/>
      <c r="N90" s="278">
        <f>'Budget with Assumptions'!T90</f>
        <v>0</v>
      </c>
      <c r="O90"/>
      <c r="P90" s="664">
        <f t="shared" si="15"/>
        <v>0</v>
      </c>
      <c r="Q90" s="664">
        <f t="shared" si="16"/>
        <v>0</v>
      </c>
      <c r="R90" s="664">
        <f t="shared" si="17"/>
        <v>0</v>
      </c>
      <c r="S90" s="664">
        <f t="shared" si="18"/>
        <v>0</v>
      </c>
      <c r="T90" s="664">
        <f t="shared" si="19"/>
        <v>0</v>
      </c>
      <c r="U90"/>
      <c r="V90" s="673">
        <f t="shared" si="20"/>
        <v>0</v>
      </c>
      <c r="W90" s="673">
        <f t="shared" si="21"/>
        <v>0</v>
      </c>
      <c r="X90" s="673">
        <f t="shared" si="22"/>
        <v>0</v>
      </c>
      <c r="Y90" s="673">
        <f t="shared" si="23"/>
        <v>0</v>
      </c>
      <c r="Z90" s="673">
        <f t="shared" si="24"/>
        <v>0</v>
      </c>
    </row>
    <row r="91" spans="2:26" ht="16.5" thickBot="1">
      <c r="B91" s="52"/>
      <c r="C91" s="52"/>
      <c r="D91" s="656"/>
      <c r="E91" s="649"/>
      <c r="F91" s="656"/>
      <c r="G91" s="649"/>
      <c r="H91" s="656"/>
      <c r="I91" s="649"/>
      <c r="J91" s="656"/>
      <c r="K91" s="650"/>
      <c r="L91" s="630"/>
      <c r="M91" s="638"/>
      <c r="N91" s="630"/>
      <c r="O91"/>
      <c r="P91" s="665"/>
      <c r="Q91" s="665"/>
      <c r="R91" s="665"/>
      <c r="S91" s="665"/>
      <c r="T91" s="665"/>
      <c r="U91"/>
      <c r="V91" s="547"/>
      <c r="W91" s="547"/>
      <c r="X91" s="547"/>
      <c r="Y91" s="547"/>
      <c r="Z91" s="547"/>
    </row>
    <row r="92" spans="1:26" ht="16.5" thickBot="1">
      <c r="A92" s="296" t="str">
        <f>'Budget with Assumptions'!H92</f>
        <v>Total Personnel Costs</v>
      </c>
      <c r="B92" s="42"/>
      <c r="C92" s="42"/>
      <c r="D92" s="369">
        <f>SUM(D69:D90)</f>
        <v>98342.5625</v>
      </c>
      <c r="E92" s="274"/>
      <c r="F92" s="369">
        <f>SUM(F69:F90)</f>
        <v>1460115.0744</v>
      </c>
      <c r="G92" s="274"/>
      <c r="H92" s="369">
        <f>SUM(H69:H90)</f>
        <v>1904825.14925</v>
      </c>
      <c r="I92" s="274"/>
      <c r="J92" s="369">
        <f>SUM(J69:J90)</f>
        <v>2273724.6122929994</v>
      </c>
      <c r="K92" s="275"/>
      <c r="L92" s="369">
        <f>SUM(L69:L90)</f>
        <v>2555139.3219924606</v>
      </c>
      <c r="M92" s="623"/>
      <c r="N92" s="369">
        <f>SUM(N69:N90)</f>
        <v>2602663.0804323093</v>
      </c>
      <c r="O92"/>
      <c r="P92" s="511">
        <f>SUM(P69:P90)</f>
        <v>0.5093408711487739</v>
      </c>
      <c r="Q92" s="511">
        <f>SUM(Q69:Q90)</f>
        <v>0.5405830913091958</v>
      </c>
      <c r="R92" s="511">
        <f>SUM(R69:R90)</f>
        <v>0.5600962570965758</v>
      </c>
      <c r="S92" s="511">
        <f>SUM(S69:S90)</f>
        <v>0.5637746173257253</v>
      </c>
      <c r="T92" s="511">
        <f>SUM(T69:T90)</f>
        <v>0.5661489081938702</v>
      </c>
      <c r="U92"/>
      <c r="V92" s="513">
        <f>SUM(V69:V90)</f>
        <v>6518.370867857143</v>
      </c>
      <c r="W92" s="513">
        <f>SUM(W69:W90)</f>
        <v>6105.208811698717</v>
      </c>
      <c r="X92" s="513">
        <f>SUM(X69:X90)</f>
        <v>5628.031218547029</v>
      </c>
      <c r="Y92" s="513">
        <f>SUM(Y69:Y90)</f>
        <v>5069.720876969169</v>
      </c>
      <c r="Z92" s="513">
        <f>SUM(Z69:Z90)</f>
        <v>5164.014048476804</v>
      </c>
    </row>
    <row r="93" spans="1:26" ht="16.5" thickBot="1">
      <c r="A93" s="49"/>
      <c r="B93" s="38"/>
      <c r="C93" s="38"/>
      <c r="D93" s="547"/>
      <c r="E93" s="547"/>
      <c r="F93" s="547"/>
      <c r="G93" s="547"/>
      <c r="H93" s="547"/>
      <c r="I93" s="547"/>
      <c r="J93" s="547"/>
      <c r="K93" s="624"/>
      <c r="L93" s="547"/>
      <c r="M93" s="624"/>
      <c r="N93" s="547"/>
      <c r="P93" s="665"/>
      <c r="Q93" s="665"/>
      <c r="R93" s="665"/>
      <c r="S93" s="665"/>
      <c r="T93" s="665"/>
      <c r="V93" s="547"/>
      <c r="W93" s="547"/>
      <c r="X93" s="547"/>
      <c r="Y93" s="547"/>
      <c r="Z93" s="547"/>
    </row>
    <row r="94" spans="1:26" ht="18.75" thickBot="1">
      <c r="A94" s="510" t="s">
        <v>130</v>
      </c>
      <c r="B94" s="50"/>
      <c r="C94" s="50"/>
      <c r="D94" s="655"/>
      <c r="E94" s="649"/>
      <c r="F94" s="655"/>
      <c r="G94" s="649"/>
      <c r="H94" s="655"/>
      <c r="I94" s="649"/>
      <c r="J94" s="655"/>
      <c r="K94" s="650"/>
      <c r="L94" s="68"/>
      <c r="M94" s="638"/>
      <c r="N94" s="68"/>
      <c r="O94"/>
      <c r="P94" s="665"/>
      <c r="Q94" s="665"/>
      <c r="R94" s="665"/>
      <c r="S94" s="665"/>
      <c r="T94" s="665"/>
      <c r="U94"/>
      <c r="V94" s="547"/>
      <c r="W94" s="547"/>
      <c r="X94" s="547"/>
      <c r="Y94" s="547"/>
      <c r="Z94" s="547"/>
    </row>
    <row r="95" spans="1:26" ht="15.75">
      <c r="A95" s="517" t="str">
        <f>'Budget with Assumptions'!A95</f>
        <v>Office Supplies</v>
      </c>
      <c r="B95" s="38"/>
      <c r="C95" s="38"/>
      <c r="D95" s="278">
        <f>'Budget with Assumptions'!J95</f>
        <v>0</v>
      </c>
      <c r="E95" s="649"/>
      <c r="F95" s="278">
        <f>'Budget with Assumptions'!L95</f>
        <v>4928</v>
      </c>
      <c r="G95" s="649"/>
      <c r="H95" s="278">
        <f>'Budget with Assumptions'!N95</f>
        <v>6864</v>
      </c>
      <c r="I95" s="649"/>
      <c r="J95" s="278">
        <f>'Budget with Assumptions'!P95</f>
        <v>8888</v>
      </c>
      <c r="K95" s="650"/>
      <c r="L95" s="278">
        <f>'Budget with Assumptions'!R95</f>
        <v>11088</v>
      </c>
      <c r="M95" s="638"/>
      <c r="N95" s="278">
        <f>'Budget with Assumptions'!T95</f>
        <v>11088</v>
      </c>
      <c r="O95"/>
      <c r="P95" s="664">
        <f aca="true" t="shared" si="25" ref="P95:P114">F95/$F$159</f>
        <v>0.001719064378574816</v>
      </c>
      <c r="Q95" s="664">
        <f aca="true" t="shared" si="26" ref="Q95:Q114">H95/$H$159</f>
        <v>0.001947980548349703</v>
      </c>
      <c r="R95" s="664">
        <f aca="true" t="shared" si="27" ref="R95:R114">J95/$J$159</f>
        <v>0.0021894188531715055</v>
      </c>
      <c r="S95" s="664">
        <f aca="true" t="shared" si="28" ref="S95:S114">L95/$L$159</f>
        <v>0.0024464939751438286</v>
      </c>
      <c r="T95" s="664">
        <f aca="true" t="shared" si="29" ref="T95:T114">N95/$N$159</f>
        <v>0.0024119368892768596</v>
      </c>
      <c r="U95"/>
      <c r="V95" s="673">
        <f>F95/$F$178</f>
        <v>22</v>
      </c>
      <c r="W95" s="673">
        <f>H95/$H$178</f>
        <v>22</v>
      </c>
      <c r="X95" s="673">
        <f>J95/$J$178</f>
        <v>22</v>
      </c>
      <c r="Y95" s="673">
        <f>L95/$L$178</f>
        <v>22</v>
      </c>
      <c r="Z95" s="673">
        <f>N95/$N$178</f>
        <v>22</v>
      </c>
    </row>
    <row r="96" spans="1:26" ht="15.75">
      <c r="A96" s="517" t="str">
        <f>'Budget with Assumptions'!A96</f>
        <v>Furniture</v>
      </c>
      <c r="B96" s="42"/>
      <c r="C96" s="42"/>
      <c r="D96" s="278">
        <f>'Budget with Assumptions'!J96</f>
        <v>0</v>
      </c>
      <c r="E96" s="649"/>
      <c r="F96" s="278">
        <f>'Budget with Assumptions'!L96</f>
        <v>5000</v>
      </c>
      <c r="G96" s="649"/>
      <c r="H96" s="278">
        <f>'Budget with Assumptions'!N96</f>
        <v>1000</v>
      </c>
      <c r="I96" s="649"/>
      <c r="J96" s="278">
        <f>'Budget with Assumptions'!P96</f>
        <v>150</v>
      </c>
      <c r="K96" s="650"/>
      <c r="L96" s="278">
        <f>'Budget with Assumptions'!R96</f>
        <v>150</v>
      </c>
      <c r="M96" s="638"/>
      <c r="N96" s="278">
        <f>'Budget with Assumptions'!T96</f>
        <v>150</v>
      </c>
      <c r="O96"/>
      <c r="P96" s="664">
        <f t="shared" si="25"/>
        <v>0.0017441805789111364</v>
      </c>
      <c r="Q96" s="664">
        <f t="shared" si="26"/>
        <v>0.0002837966999343973</v>
      </c>
      <c r="R96" s="664">
        <f t="shared" si="27"/>
        <v>3.6950138161085264E-05</v>
      </c>
      <c r="S96" s="664">
        <f t="shared" si="28"/>
        <v>3.309650940400201E-05</v>
      </c>
      <c r="T96" s="664">
        <f t="shared" si="29"/>
        <v>3.262901635926488E-05</v>
      </c>
      <c r="U96"/>
      <c r="V96" s="673">
        <f aca="true" t="shared" si="30" ref="V96:V114">F96/$F$178</f>
        <v>22.321428571428573</v>
      </c>
      <c r="W96" s="673">
        <f aca="true" t="shared" si="31" ref="W96:W114">H96/$H$178</f>
        <v>3.2051282051282053</v>
      </c>
      <c r="X96" s="673">
        <f aca="true" t="shared" si="32" ref="X96:X114">J96/$J$178</f>
        <v>0.3712871287128713</v>
      </c>
      <c r="Y96" s="673">
        <f aca="true" t="shared" si="33" ref="Y96:Y114">L96/$L$178</f>
        <v>0.2976190476190476</v>
      </c>
      <c r="Z96" s="673">
        <f aca="true" t="shared" si="34" ref="Z96:Z114">N96/$N$178</f>
        <v>0.2976190476190476</v>
      </c>
    </row>
    <row r="97" spans="1:26" ht="15.75">
      <c r="A97" s="517" t="str">
        <f>'Budget with Assumptions'!A97</f>
        <v>Telecommunications and Internet</v>
      </c>
      <c r="B97" s="42"/>
      <c r="C97" s="42"/>
      <c r="D97" s="278">
        <f>'Budget with Assumptions'!J97</f>
        <v>11400</v>
      </c>
      <c r="E97" s="649"/>
      <c r="F97" s="278">
        <f>'Budget with Assumptions'!L97</f>
        <v>172444</v>
      </c>
      <c r="G97" s="649"/>
      <c r="H97" s="278">
        <f>'Budget with Assumptions'!N97</f>
        <v>107587</v>
      </c>
      <c r="I97" s="649"/>
      <c r="J97" s="278">
        <f>'Budget with Assumptions'!P97</f>
        <v>113116</v>
      </c>
      <c r="K97" s="650"/>
      <c r="L97" s="278">
        <f>'Budget with Assumptions'!R97</f>
        <v>125286</v>
      </c>
      <c r="M97" s="638"/>
      <c r="N97" s="278">
        <f>'Budget with Assumptions'!T97</f>
        <v>126774</v>
      </c>
      <c r="O97"/>
      <c r="P97" s="664">
        <f t="shared" si="25"/>
        <v>0.0601546951499504</v>
      </c>
      <c r="Q97" s="664">
        <f t="shared" si="26"/>
        <v>0.030532835555842002</v>
      </c>
      <c r="R97" s="664">
        <f t="shared" si="27"/>
        <v>0.027864345521528805</v>
      </c>
      <c r="S97" s="664">
        <f t="shared" si="28"/>
        <v>0.02764352851459864</v>
      </c>
      <c r="T97" s="664">
        <f t="shared" si="29"/>
        <v>0.027576739466196303</v>
      </c>
      <c r="U97"/>
      <c r="V97" s="673">
        <f t="shared" si="30"/>
        <v>769.8392857142857</v>
      </c>
      <c r="W97" s="673">
        <f t="shared" si="31"/>
        <v>344.83012820512823</v>
      </c>
      <c r="X97" s="673">
        <f t="shared" si="32"/>
        <v>279.990099009901</v>
      </c>
      <c r="Y97" s="673">
        <f t="shared" si="33"/>
        <v>248.58333333333334</v>
      </c>
      <c r="Z97" s="673">
        <f t="shared" si="34"/>
        <v>251.53571428571428</v>
      </c>
    </row>
    <row r="98" spans="1:26" ht="15.75">
      <c r="A98" s="517" t="str">
        <f>'Budget with Assumptions'!A98</f>
        <v>Administrative Equipment</v>
      </c>
      <c r="B98" s="42"/>
      <c r="C98" s="42"/>
      <c r="D98" s="278">
        <f>'Budget with Assumptions'!J98</f>
        <v>0</v>
      </c>
      <c r="E98" s="649"/>
      <c r="F98" s="278">
        <f>'Budget with Assumptions'!L98</f>
        <v>0</v>
      </c>
      <c r="G98" s="649"/>
      <c r="H98" s="278">
        <f>'Budget with Assumptions'!N98</f>
        <v>0</v>
      </c>
      <c r="I98" s="649"/>
      <c r="J98" s="278">
        <f>'Budget with Assumptions'!P98</f>
        <v>0</v>
      </c>
      <c r="K98" s="650"/>
      <c r="L98" s="278">
        <f>'Budget with Assumptions'!R98</f>
        <v>0</v>
      </c>
      <c r="M98" s="638"/>
      <c r="N98" s="278">
        <f>'Budget with Assumptions'!T98</f>
        <v>0</v>
      </c>
      <c r="O98"/>
      <c r="P98" s="664">
        <f t="shared" si="25"/>
        <v>0</v>
      </c>
      <c r="Q98" s="664">
        <f t="shared" si="26"/>
        <v>0</v>
      </c>
      <c r="R98" s="664">
        <f t="shared" si="27"/>
        <v>0</v>
      </c>
      <c r="S98" s="664">
        <f t="shared" si="28"/>
        <v>0</v>
      </c>
      <c r="T98" s="664">
        <f t="shared" si="29"/>
        <v>0</v>
      </c>
      <c r="U98"/>
      <c r="V98" s="673">
        <f t="shared" si="30"/>
        <v>0</v>
      </c>
      <c r="W98" s="673">
        <f t="shared" si="31"/>
        <v>0</v>
      </c>
      <c r="X98" s="673">
        <f t="shared" si="32"/>
        <v>0</v>
      </c>
      <c r="Y98" s="673">
        <f t="shared" si="33"/>
        <v>0</v>
      </c>
      <c r="Z98" s="673">
        <f t="shared" si="34"/>
        <v>0</v>
      </c>
    </row>
    <row r="99" spans="1:26" ht="15.75">
      <c r="A99" s="517" t="str">
        <f>'Budget with Assumptions'!A99</f>
        <v>Accounting &amp; Audit (Contractual)</v>
      </c>
      <c r="B99" s="42"/>
      <c r="C99" s="42"/>
      <c r="D99" s="278">
        <f>'Budget with Assumptions'!J99</f>
        <v>10000</v>
      </c>
      <c r="E99" s="649"/>
      <c r="F99" s="278">
        <f>'Budget with Assumptions'!L99</f>
        <v>29000</v>
      </c>
      <c r="G99" s="649"/>
      <c r="H99" s="278">
        <f>'Budget with Assumptions'!N99</f>
        <v>29000</v>
      </c>
      <c r="I99" s="649"/>
      <c r="J99" s="278">
        <f>'Budget with Assumptions'!P99</f>
        <v>29000</v>
      </c>
      <c r="K99" s="650"/>
      <c r="L99" s="278">
        <f>'Budget with Assumptions'!R99</f>
        <v>29000</v>
      </c>
      <c r="M99" s="638"/>
      <c r="N99" s="278">
        <f>'Budget with Assumptions'!T99</f>
        <v>29000</v>
      </c>
      <c r="O99"/>
      <c r="P99" s="664">
        <f t="shared" si="25"/>
        <v>0.010116247357684592</v>
      </c>
      <c r="Q99" s="664">
        <f t="shared" si="26"/>
        <v>0.00823010429809752</v>
      </c>
      <c r="R99" s="664">
        <f t="shared" si="27"/>
        <v>0.007143693377809818</v>
      </c>
      <c r="S99" s="664">
        <f t="shared" si="28"/>
        <v>0.006398658484773722</v>
      </c>
      <c r="T99" s="664">
        <f t="shared" si="29"/>
        <v>0.006308276496124543</v>
      </c>
      <c r="U99"/>
      <c r="V99" s="673">
        <f t="shared" si="30"/>
        <v>129.46428571428572</v>
      </c>
      <c r="W99" s="673">
        <f t="shared" si="31"/>
        <v>92.94871794871794</v>
      </c>
      <c r="X99" s="673">
        <f t="shared" si="32"/>
        <v>71.78217821782178</v>
      </c>
      <c r="Y99" s="673">
        <f t="shared" si="33"/>
        <v>57.53968253968254</v>
      </c>
      <c r="Z99" s="673">
        <f t="shared" si="34"/>
        <v>57.53968253968254</v>
      </c>
    </row>
    <row r="100" spans="1:26" ht="15.75">
      <c r="A100" s="517" t="str">
        <f>'Budget with Assumptions'!A100</f>
        <v>Legal (Contractual)</v>
      </c>
      <c r="B100" s="42"/>
      <c r="C100" s="42"/>
      <c r="D100" s="278">
        <f>'Budget with Assumptions'!J100</f>
        <v>10000</v>
      </c>
      <c r="E100" s="649"/>
      <c r="F100" s="278">
        <f>'Budget with Assumptions'!L100</f>
        <v>10000</v>
      </c>
      <c r="G100" s="649"/>
      <c r="H100" s="278">
        <f>'Budget with Assumptions'!N100</f>
        <v>10000</v>
      </c>
      <c r="I100" s="649"/>
      <c r="J100" s="278">
        <f>'Budget with Assumptions'!P100</f>
        <v>10000</v>
      </c>
      <c r="K100" s="650"/>
      <c r="L100" s="278">
        <f>'Budget with Assumptions'!R100</f>
        <v>10000</v>
      </c>
      <c r="M100" s="638"/>
      <c r="N100" s="278">
        <f>'Budget with Assumptions'!T100</f>
        <v>10000</v>
      </c>
      <c r="O100"/>
      <c r="P100" s="664">
        <f t="shared" si="25"/>
        <v>0.0034883611578222728</v>
      </c>
      <c r="Q100" s="664">
        <f t="shared" si="26"/>
        <v>0.002837966999343973</v>
      </c>
      <c r="R100" s="664">
        <f t="shared" si="27"/>
        <v>0.002463342544072351</v>
      </c>
      <c r="S100" s="664">
        <f t="shared" si="28"/>
        <v>0.002206433960266801</v>
      </c>
      <c r="T100" s="664">
        <f t="shared" si="29"/>
        <v>0.0021752677572843254</v>
      </c>
      <c r="U100"/>
      <c r="V100" s="673">
        <f t="shared" si="30"/>
        <v>44.642857142857146</v>
      </c>
      <c r="W100" s="673">
        <f t="shared" si="31"/>
        <v>32.05128205128205</v>
      </c>
      <c r="X100" s="673">
        <f t="shared" si="32"/>
        <v>24.752475247524753</v>
      </c>
      <c r="Y100" s="673">
        <f t="shared" si="33"/>
        <v>19.841269841269842</v>
      </c>
      <c r="Z100" s="673">
        <f t="shared" si="34"/>
        <v>19.841269841269842</v>
      </c>
    </row>
    <row r="101" spans="1:26" ht="15.75">
      <c r="A101" s="517" t="str">
        <f>'Budget with Assumptions'!A101</f>
        <v>Payroll Services (Contractual)</v>
      </c>
      <c r="B101" s="42"/>
      <c r="C101" s="42"/>
      <c r="D101" s="278">
        <f>'Budget with Assumptions'!J101</f>
        <v>5000</v>
      </c>
      <c r="E101" s="649"/>
      <c r="F101" s="278">
        <f>'Budget with Assumptions'!L101</f>
        <v>11000</v>
      </c>
      <c r="G101" s="649"/>
      <c r="H101" s="278">
        <f>'Budget with Assumptions'!N101</f>
        <v>11000</v>
      </c>
      <c r="I101" s="649"/>
      <c r="J101" s="278">
        <f>'Budget with Assumptions'!P101</f>
        <v>11000</v>
      </c>
      <c r="K101" s="650"/>
      <c r="L101" s="278">
        <f>'Budget with Assumptions'!R101</f>
        <v>11000</v>
      </c>
      <c r="M101" s="638"/>
      <c r="N101" s="278">
        <f>'Budget with Assumptions'!T101</f>
        <v>11000</v>
      </c>
      <c r="O101"/>
      <c r="P101" s="664">
        <f t="shared" si="25"/>
        <v>0.0038371972736045003</v>
      </c>
      <c r="Q101" s="664">
        <f t="shared" si="26"/>
        <v>0.00312176369927837</v>
      </c>
      <c r="R101" s="664">
        <f t="shared" si="27"/>
        <v>0.002709676798479586</v>
      </c>
      <c r="S101" s="664">
        <f t="shared" si="28"/>
        <v>0.0024270773562934805</v>
      </c>
      <c r="T101" s="664">
        <f t="shared" si="29"/>
        <v>0.002392794533012758</v>
      </c>
      <c r="U101"/>
      <c r="V101" s="673">
        <f t="shared" si="30"/>
        <v>49.107142857142854</v>
      </c>
      <c r="W101" s="673">
        <f t="shared" si="31"/>
        <v>35.256410256410255</v>
      </c>
      <c r="X101" s="673">
        <f t="shared" si="32"/>
        <v>27.22772277227723</v>
      </c>
      <c r="Y101" s="673">
        <f t="shared" si="33"/>
        <v>21.825396825396826</v>
      </c>
      <c r="Z101" s="673">
        <f t="shared" si="34"/>
        <v>21.825396825396826</v>
      </c>
    </row>
    <row r="102" spans="1:26" ht="15.75">
      <c r="A102" s="517" t="str">
        <f>'Budget with Assumptions'!A102</f>
        <v>Printing &amp; Copying</v>
      </c>
      <c r="B102" s="42"/>
      <c r="C102" s="42"/>
      <c r="D102" s="278">
        <f>'Budget with Assumptions'!J102</f>
        <v>0</v>
      </c>
      <c r="E102" s="649"/>
      <c r="F102" s="278">
        <f>'Budget with Assumptions'!L102</f>
        <v>14560</v>
      </c>
      <c r="G102" s="649"/>
      <c r="H102" s="278">
        <f>'Budget with Assumptions'!N102</f>
        <v>20280</v>
      </c>
      <c r="I102" s="649"/>
      <c r="J102" s="278">
        <f>'Budget with Assumptions'!P102</f>
        <v>26260</v>
      </c>
      <c r="K102" s="650"/>
      <c r="L102" s="278">
        <f>'Budget with Assumptions'!R102</f>
        <v>32760</v>
      </c>
      <c r="M102" s="638"/>
      <c r="N102" s="278">
        <f>'Budget with Assumptions'!T102</f>
        <v>32760</v>
      </c>
      <c r="O102"/>
      <c r="P102" s="664">
        <f t="shared" si="25"/>
        <v>0.0050790538457892295</v>
      </c>
      <c r="Q102" s="664">
        <f t="shared" si="26"/>
        <v>0.005755397074669577</v>
      </c>
      <c r="R102" s="664">
        <f t="shared" si="27"/>
        <v>0.006468737520733993</v>
      </c>
      <c r="S102" s="664">
        <f t="shared" si="28"/>
        <v>0.007228277653834039</v>
      </c>
      <c r="T102" s="664">
        <f t="shared" si="29"/>
        <v>0.007126177172863449</v>
      </c>
      <c r="U102"/>
      <c r="V102" s="673">
        <f t="shared" si="30"/>
        <v>65</v>
      </c>
      <c r="W102" s="673">
        <f t="shared" si="31"/>
        <v>65</v>
      </c>
      <c r="X102" s="673">
        <f t="shared" si="32"/>
        <v>65</v>
      </c>
      <c r="Y102" s="673">
        <f t="shared" si="33"/>
        <v>65</v>
      </c>
      <c r="Z102" s="673">
        <f t="shared" si="34"/>
        <v>65</v>
      </c>
    </row>
    <row r="103" spans="1:26" ht="15.75">
      <c r="A103" s="517" t="str">
        <f>'Budget with Assumptions'!A103</f>
        <v>Postage &amp; Shipping</v>
      </c>
      <c r="B103" s="42"/>
      <c r="C103" s="42"/>
      <c r="D103" s="278">
        <f>'Budget with Assumptions'!J103</f>
        <v>500</v>
      </c>
      <c r="E103" s="649"/>
      <c r="F103" s="278">
        <f>'Budget with Assumptions'!L103</f>
        <v>500</v>
      </c>
      <c r="G103" s="649"/>
      <c r="H103" s="278">
        <f>'Budget with Assumptions'!N103</f>
        <v>500</v>
      </c>
      <c r="I103" s="649"/>
      <c r="J103" s="278">
        <f>'Budget with Assumptions'!P103</f>
        <v>500</v>
      </c>
      <c r="K103" s="650"/>
      <c r="L103" s="278">
        <f>'Budget with Assumptions'!R103</f>
        <v>500</v>
      </c>
      <c r="M103" s="638"/>
      <c r="N103" s="278">
        <f>'Budget with Assumptions'!T103</f>
        <v>500</v>
      </c>
      <c r="O103"/>
      <c r="P103" s="664">
        <f t="shared" si="25"/>
        <v>0.00017441805789111364</v>
      </c>
      <c r="Q103" s="664">
        <f t="shared" si="26"/>
        <v>0.00014189834996719864</v>
      </c>
      <c r="R103" s="664">
        <f t="shared" si="27"/>
        <v>0.00012316712720361755</v>
      </c>
      <c r="S103" s="664">
        <f t="shared" si="28"/>
        <v>0.00011032169801334003</v>
      </c>
      <c r="T103" s="664">
        <f t="shared" si="29"/>
        <v>0.00010876338786421625</v>
      </c>
      <c r="U103"/>
      <c r="V103" s="673">
        <f t="shared" si="30"/>
        <v>2.232142857142857</v>
      </c>
      <c r="W103" s="673">
        <f t="shared" si="31"/>
        <v>1.6025641025641026</v>
      </c>
      <c r="X103" s="673">
        <f t="shared" si="32"/>
        <v>1.2376237623762376</v>
      </c>
      <c r="Y103" s="673">
        <f t="shared" si="33"/>
        <v>0.9920634920634921</v>
      </c>
      <c r="Z103" s="673">
        <f t="shared" si="34"/>
        <v>0.9920634920634921</v>
      </c>
    </row>
    <row r="104" spans="1:26" ht="15.75">
      <c r="A104" s="517" t="str">
        <f>'Budget with Assumptions'!A104</f>
        <v>Other Contractual Services</v>
      </c>
      <c r="B104" s="42"/>
      <c r="C104" s="42"/>
      <c r="D104" s="278">
        <f>'Budget with Assumptions'!J104</f>
        <v>7625</v>
      </c>
      <c r="E104" s="649"/>
      <c r="F104" s="278">
        <f>'Budget with Assumptions'!L104</f>
        <v>7625</v>
      </c>
      <c r="G104" s="649"/>
      <c r="H104" s="278">
        <f>'Budget with Assumptions'!N104</f>
        <v>6375</v>
      </c>
      <c r="I104" s="649"/>
      <c r="J104" s="278">
        <f>'Budget with Assumptions'!P104</f>
        <v>6375</v>
      </c>
      <c r="K104" s="650"/>
      <c r="L104" s="278">
        <f>'Budget with Assumptions'!R104</f>
        <v>6375</v>
      </c>
      <c r="M104" s="638"/>
      <c r="N104" s="278">
        <f>'Budget with Assumptions'!T104</f>
        <v>6375</v>
      </c>
      <c r="O104"/>
      <c r="P104" s="664">
        <f t="shared" si="25"/>
        <v>0.002659875382839483</v>
      </c>
      <c r="Q104" s="664">
        <f t="shared" si="26"/>
        <v>0.0018092039620817826</v>
      </c>
      <c r="R104" s="664">
        <f t="shared" si="27"/>
        <v>0.0015703808718461236</v>
      </c>
      <c r="S104" s="664">
        <f t="shared" si="28"/>
        <v>0.0014066016496700855</v>
      </c>
      <c r="T104" s="664">
        <f t="shared" si="29"/>
        <v>0.0013867331952687573</v>
      </c>
      <c r="U104"/>
      <c r="V104" s="673">
        <f t="shared" si="30"/>
        <v>34.04017857142857</v>
      </c>
      <c r="W104" s="673">
        <f t="shared" si="31"/>
        <v>20.432692307692307</v>
      </c>
      <c r="X104" s="673">
        <f t="shared" si="32"/>
        <v>15.779702970297029</v>
      </c>
      <c r="Y104" s="673">
        <f t="shared" si="33"/>
        <v>12.648809523809524</v>
      </c>
      <c r="Z104" s="673">
        <f t="shared" si="34"/>
        <v>12.648809523809524</v>
      </c>
    </row>
    <row r="105" spans="1:26" ht="15.75">
      <c r="A105" s="517" t="str">
        <f>'Budget with Assumptions'!A105</f>
        <v>Travel</v>
      </c>
      <c r="B105" s="42"/>
      <c r="C105" s="42"/>
      <c r="D105" s="278">
        <f>'Budget with Assumptions'!J105</f>
        <v>3500</v>
      </c>
      <c r="E105" s="649"/>
      <c r="F105" s="278">
        <f>'Budget with Assumptions'!L105</f>
        <v>3500</v>
      </c>
      <c r="G105" s="649"/>
      <c r="H105" s="278">
        <f>'Budget with Assumptions'!N105</f>
        <v>3500</v>
      </c>
      <c r="I105" s="649"/>
      <c r="J105" s="278">
        <f>'Budget with Assumptions'!P105</f>
        <v>3500</v>
      </c>
      <c r="K105" s="650"/>
      <c r="L105" s="278">
        <f>'Budget with Assumptions'!R105</f>
        <v>3500</v>
      </c>
      <c r="M105" s="638"/>
      <c r="N105" s="278">
        <f>'Budget with Assumptions'!T105</f>
        <v>3500</v>
      </c>
      <c r="O105"/>
      <c r="P105" s="664">
        <f t="shared" si="25"/>
        <v>0.0012209264052377956</v>
      </c>
      <c r="Q105" s="664">
        <f t="shared" si="26"/>
        <v>0.0009932884497703906</v>
      </c>
      <c r="R105" s="664">
        <f t="shared" si="27"/>
        <v>0.0008621698904253228</v>
      </c>
      <c r="S105" s="664">
        <f t="shared" si="28"/>
        <v>0.0007722518860933803</v>
      </c>
      <c r="T105" s="664">
        <f t="shared" si="29"/>
        <v>0.0007613437150495138</v>
      </c>
      <c r="U105"/>
      <c r="V105" s="673">
        <f t="shared" si="30"/>
        <v>15.625</v>
      </c>
      <c r="W105" s="673">
        <f t="shared" si="31"/>
        <v>11.217948717948717</v>
      </c>
      <c r="X105" s="673">
        <f t="shared" si="32"/>
        <v>8.663366336633663</v>
      </c>
      <c r="Y105" s="673">
        <f t="shared" si="33"/>
        <v>6.944444444444445</v>
      </c>
      <c r="Z105" s="673">
        <f t="shared" si="34"/>
        <v>6.944444444444445</v>
      </c>
    </row>
    <row r="106" spans="1:26" ht="15.75">
      <c r="A106" s="517" t="str">
        <f>'Budget with Assumptions'!A106</f>
        <v>CPS Administrative Fee</v>
      </c>
      <c r="B106" s="42"/>
      <c r="C106" s="42"/>
      <c r="D106" s="278">
        <f>'Budget with Assumptions'!J106</f>
        <v>0</v>
      </c>
      <c r="E106" s="649"/>
      <c r="F106" s="278">
        <f>'Budget with Assumptions'!L106</f>
        <v>48766.3083</v>
      </c>
      <c r="G106" s="649"/>
      <c r="H106" s="278">
        <f>'Budget with Assumptions'!N106</f>
        <v>67565.58899999999</v>
      </c>
      <c r="I106" s="649"/>
      <c r="J106" s="278">
        <f>'Budget with Assumptions'!P106</f>
        <v>86903.7474</v>
      </c>
      <c r="K106" s="650"/>
      <c r="L106" s="278">
        <f>'Budget with Assumptions'!R106</f>
        <v>107680.97039999999</v>
      </c>
      <c r="M106" s="638"/>
      <c r="N106" s="278">
        <f>'Budget with Assumptions'!T106</f>
        <v>107680.97039999999</v>
      </c>
      <c r="O106"/>
      <c r="P106" s="664">
        <f t="shared" si="25"/>
        <v>0.01701144956841059</v>
      </c>
      <c r="Q106" s="664">
        <f t="shared" si="26"/>
        <v>0.019174891187323812</v>
      </c>
      <c r="R106" s="664">
        <f t="shared" si="27"/>
        <v>0.02140736982097369</v>
      </c>
      <c r="S106" s="664">
        <f t="shared" si="28"/>
        <v>0.02375909499650441</v>
      </c>
      <c r="T106" s="664">
        <f t="shared" si="29"/>
        <v>0.023423494298420777</v>
      </c>
      <c r="U106"/>
      <c r="V106" s="673">
        <f t="shared" si="30"/>
        <v>217.70673348214285</v>
      </c>
      <c r="W106" s="673">
        <f t="shared" si="31"/>
        <v>216.55637499999997</v>
      </c>
      <c r="X106" s="673">
        <f t="shared" si="32"/>
        <v>215.10828564356433</v>
      </c>
      <c r="Y106" s="673">
        <f t="shared" si="33"/>
        <v>213.65271904761903</v>
      </c>
      <c r="Z106" s="673">
        <f t="shared" si="34"/>
        <v>213.65271904761903</v>
      </c>
    </row>
    <row r="107" spans="1:26" ht="15.75">
      <c r="A107" s="517" t="str">
        <f>'Budget with Assumptions'!A107</f>
        <v>Asset Tracking</v>
      </c>
      <c r="B107" s="42"/>
      <c r="C107" s="42"/>
      <c r="D107" s="278">
        <f>'Budget with Assumptions'!J107</f>
        <v>5000</v>
      </c>
      <c r="E107" s="649"/>
      <c r="F107" s="278">
        <f>'Budget with Assumptions'!L107</f>
        <v>500</v>
      </c>
      <c r="G107" s="649"/>
      <c r="H107" s="278">
        <f>'Budget with Assumptions'!N107</f>
        <v>500</v>
      </c>
      <c r="I107" s="649"/>
      <c r="J107" s="278">
        <f>'Budget with Assumptions'!P107</f>
        <v>500</v>
      </c>
      <c r="K107" s="650"/>
      <c r="L107" s="278">
        <f>'Budget with Assumptions'!R107</f>
        <v>500</v>
      </c>
      <c r="M107" s="638"/>
      <c r="N107" s="278">
        <f>'Budget with Assumptions'!T107</f>
        <v>500</v>
      </c>
      <c r="O107"/>
      <c r="P107" s="664">
        <f t="shared" si="25"/>
        <v>0.00017441805789111364</v>
      </c>
      <c r="Q107" s="664">
        <f t="shared" si="26"/>
        <v>0.00014189834996719864</v>
      </c>
      <c r="R107" s="664">
        <f t="shared" si="27"/>
        <v>0.00012316712720361755</v>
      </c>
      <c r="S107" s="664">
        <f t="shared" si="28"/>
        <v>0.00011032169801334003</v>
      </c>
      <c r="T107" s="664">
        <f t="shared" si="29"/>
        <v>0.00010876338786421625</v>
      </c>
      <c r="U107"/>
      <c r="V107" s="673">
        <f t="shared" si="30"/>
        <v>2.232142857142857</v>
      </c>
      <c r="W107" s="673">
        <f t="shared" si="31"/>
        <v>1.6025641025641026</v>
      </c>
      <c r="X107" s="673">
        <f t="shared" si="32"/>
        <v>1.2376237623762376</v>
      </c>
      <c r="Y107" s="673">
        <f t="shared" si="33"/>
        <v>0.9920634920634921</v>
      </c>
      <c r="Z107" s="673">
        <f t="shared" si="34"/>
        <v>0.9920634920634921</v>
      </c>
    </row>
    <row r="108" spans="1:26" ht="15.75">
      <c r="A108" s="517">
        <f>'Budget with Assumptions'!A108</f>
        <v>0</v>
      </c>
      <c r="B108" s="46"/>
      <c r="C108" s="46"/>
      <c r="D108" s="278">
        <f>'Budget with Assumptions'!J108</f>
        <v>0</v>
      </c>
      <c r="E108" s="649"/>
      <c r="F108" s="278">
        <f>'Budget with Assumptions'!L108</f>
        <v>0</v>
      </c>
      <c r="G108" s="649"/>
      <c r="H108" s="278">
        <f>'Budget with Assumptions'!N108</f>
        <v>0</v>
      </c>
      <c r="I108" s="649"/>
      <c r="J108" s="278">
        <f>'Budget with Assumptions'!P108</f>
        <v>0</v>
      </c>
      <c r="K108" s="650"/>
      <c r="L108" s="278">
        <f>'Budget with Assumptions'!R108</f>
        <v>0</v>
      </c>
      <c r="M108" s="638"/>
      <c r="N108" s="278">
        <f>'Budget with Assumptions'!T108</f>
        <v>0</v>
      </c>
      <c r="O108"/>
      <c r="P108" s="664">
        <f t="shared" si="25"/>
        <v>0</v>
      </c>
      <c r="Q108" s="664">
        <f t="shared" si="26"/>
        <v>0</v>
      </c>
      <c r="R108" s="664">
        <f t="shared" si="27"/>
        <v>0</v>
      </c>
      <c r="S108" s="664">
        <f t="shared" si="28"/>
        <v>0</v>
      </c>
      <c r="T108" s="664">
        <f t="shared" si="29"/>
        <v>0</v>
      </c>
      <c r="U108"/>
      <c r="V108" s="673">
        <f t="shared" si="30"/>
        <v>0</v>
      </c>
      <c r="W108" s="673">
        <f t="shared" si="31"/>
        <v>0</v>
      </c>
      <c r="X108" s="673">
        <f t="shared" si="32"/>
        <v>0</v>
      </c>
      <c r="Y108" s="673">
        <f t="shared" si="33"/>
        <v>0</v>
      </c>
      <c r="Z108" s="673">
        <f t="shared" si="34"/>
        <v>0</v>
      </c>
    </row>
    <row r="109" spans="1:26" ht="15.75">
      <c r="A109" s="517">
        <f>'Budget with Assumptions'!A109</f>
        <v>0</v>
      </c>
      <c r="B109" s="46"/>
      <c r="C109" s="46"/>
      <c r="D109" s="278">
        <f>'Budget with Assumptions'!J109</f>
        <v>0</v>
      </c>
      <c r="E109" s="649"/>
      <c r="F109" s="278">
        <f>'Budget with Assumptions'!L109</f>
        <v>0</v>
      </c>
      <c r="G109" s="649"/>
      <c r="H109" s="278">
        <f>'Budget with Assumptions'!N109</f>
        <v>0</v>
      </c>
      <c r="I109" s="649"/>
      <c r="J109" s="278">
        <f>'Budget with Assumptions'!P109</f>
        <v>0</v>
      </c>
      <c r="K109" s="650"/>
      <c r="L109" s="278">
        <f>'Budget with Assumptions'!R109</f>
        <v>0</v>
      </c>
      <c r="M109" s="638"/>
      <c r="N109" s="278">
        <f>'Budget with Assumptions'!T109</f>
        <v>0</v>
      </c>
      <c r="O109"/>
      <c r="P109" s="664">
        <f t="shared" si="25"/>
        <v>0</v>
      </c>
      <c r="Q109" s="664">
        <f t="shared" si="26"/>
        <v>0</v>
      </c>
      <c r="R109" s="664">
        <f t="shared" si="27"/>
        <v>0</v>
      </c>
      <c r="S109" s="664">
        <f t="shared" si="28"/>
        <v>0</v>
      </c>
      <c r="T109" s="664">
        <f t="shared" si="29"/>
        <v>0</v>
      </c>
      <c r="U109"/>
      <c r="V109" s="673">
        <f t="shared" si="30"/>
        <v>0</v>
      </c>
      <c r="W109" s="673">
        <f t="shared" si="31"/>
        <v>0</v>
      </c>
      <c r="X109" s="673">
        <f t="shared" si="32"/>
        <v>0</v>
      </c>
      <c r="Y109" s="673">
        <f t="shared" si="33"/>
        <v>0</v>
      </c>
      <c r="Z109" s="673">
        <f t="shared" si="34"/>
        <v>0</v>
      </c>
    </row>
    <row r="110" spans="1:26" ht="15.75">
      <c r="A110" s="517">
        <f>'Budget with Assumptions'!A110</f>
        <v>0</v>
      </c>
      <c r="B110" s="46"/>
      <c r="C110" s="46"/>
      <c r="D110" s="278">
        <f>'Budget with Assumptions'!J110</f>
        <v>0</v>
      </c>
      <c r="E110" s="649"/>
      <c r="F110" s="278">
        <f>'Budget with Assumptions'!L110</f>
        <v>0</v>
      </c>
      <c r="G110" s="649"/>
      <c r="H110" s="278">
        <f>'Budget with Assumptions'!N110</f>
        <v>0</v>
      </c>
      <c r="I110" s="649"/>
      <c r="J110" s="278">
        <f>'Budget with Assumptions'!P110</f>
        <v>0</v>
      </c>
      <c r="K110" s="650"/>
      <c r="L110" s="278">
        <f>'Budget with Assumptions'!R110</f>
        <v>0</v>
      </c>
      <c r="M110" s="638"/>
      <c r="N110" s="278">
        <f>'Budget with Assumptions'!T110</f>
        <v>0</v>
      </c>
      <c r="O110"/>
      <c r="P110" s="664">
        <f t="shared" si="25"/>
        <v>0</v>
      </c>
      <c r="Q110" s="664">
        <f t="shared" si="26"/>
        <v>0</v>
      </c>
      <c r="R110" s="664">
        <f t="shared" si="27"/>
        <v>0</v>
      </c>
      <c r="S110" s="664">
        <f t="shared" si="28"/>
        <v>0</v>
      </c>
      <c r="T110" s="664">
        <f t="shared" si="29"/>
        <v>0</v>
      </c>
      <c r="U110"/>
      <c r="V110" s="673">
        <f t="shared" si="30"/>
        <v>0</v>
      </c>
      <c r="W110" s="673">
        <f t="shared" si="31"/>
        <v>0</v>
      </c>
      <c r="X110" s="673">
        <f t="shared" si="32"/>
        <v>0</v>
      </c>
      <c r="Y110" s="673">
        <f t="shared" si="33"/>
        <v>0</v>
      </c>
      <c r="Z110" s="673">
        <f t="shared" si="34"/>
        <v>0</v>
      </c>
    </row>
    <row r="111" spans="1:26" ht="15.75">
      <c r="A111" s="517">
        <f>'Budget with Assumptions'!A111</f>
        <v>0</v>
      </c>
      <c r="B111" s="46"/>
      <c r="C111" s="46"/>
      <c r="D111" s="278">
        <f>'Budget with Assumptions'!J111</f>
        <v>0</v>
      </c>
      <c r="E111" s="649"/>
      <c r="F111" s="278">
        <f>'Budget with Assumptions'!L111</f>
        <v>0</v>
      </c>
      <c r="G111" s="649"/>
      <c r="H111" s="278">
        <f>'Budget with Assumptions'!N111</f>
        <v>0</v>
      </c>
      <c r="I111" s="649"/>
      <c r="J111" s="278">
        <f>'Budget with Assumptions'!P111</f>
        <v>0</v>
      </c>
      <c r="K111" s="650"/>
      <c r="L111" s="278">
        <f>'Budget with Assumptions'!R111</f>
        <v>0</v>
      </c>
      <c r="M111" s="638"/>
      <c r="N111" s="278">
        <f>'Budget with Assumptions'!T111</f>
        <v>0</v>
      </c>
      <c r="O111"/>
      <c r="P111" s="664">
        <f t="shared" si="25"/>
        <v>0</v>
      </c>
      <c r="Q111" s="664">
        <f t="shared" si="26"/>
        <v>0</v>
      </c>
      <c r="R111" s="664">
        <f t="shared" si="27"/>
        <v>0</v>
      </c>
      <c r="S111" s="664">
        <f t="shared" si="28"/>
        <v>0</v>
      </c>
      <c r="T111" s="664">
        <f t="shared" si="29"/>
        <v>0</v>
      </c>
      <c r="U111"/>
      <c r="V111" s="673">
        <f t="shared" si="30"/>
        <v>0</v>
      </c>
      <c r="W111" s="673">
        <f t="shared" si="31"/>
        <v>0</v>
      </c>
      <c r="X111" s="673">
        <f t="shared" si="32"/>
        <v>0</v>
      </c>
      <c r="Y111" s="673">
        <f t="shared" si="33"/>
        <v>0</v>
      </c>
      <c r="Z111" s="673">
        <f t="shared" si="34"/>
        <v>0</v>
      </c>
    </row>
    <row r="112" spans="1:26" ht="15.75">
      <c r="A112" s="517">
        <f>'Budget with Assumptions'!A112</f>
        <v>0</v>
      </c>
      <c r="B112" s="46"/>
      <c r="C112" s="46"/>
      <c r="D112" s="278">
        <f>'Budget with Assumptions'!J112</f>
        <v>0</v>
      </c>
      <c r="E112" s="649"/>
      <c r="F112" s="278">
        <f>'Budget with Assumptions'!L112</f>
        <v>0</v>
      </c>
      <c r="G112" s="649"/>
      <c r="H112" s="278">
        <f>'Budget with Assumptions'!N112</f>
        <v>0</v>
      </c>
      <c r="I112" s="649"/>
      <c r="J112" s="278">
        <f>'Budget with Assumptions'!P112</f>
        <v>0</v>
      </c>
      <c r="K112" s="650"/>
      <c r="L112" s="278">
        <f>'Budget with Assumptions'!R112</f>
        <v>0</v>
      </c>
      <c r="M112" s="638"/>
      <c r="N112" s="278">
        <f>'Budget with Assumptions'!T112</f>
        <v>0</v>
      </c>
      <c r="O112"/>
      <c r="P112" s="664">
        <f t="shared" si="25"/>
        <v>0</v>
      </c>
      <c r="Q112" s="664">
        <f t="shared" si="26"/>
        <v>0</v>
      </c>
      <c r="R112" s="664">
        <f t="shared" si="27"/>
        <v>0</v>
      </c>
      <c r="S112" s="664">
        <f t="shared" si="28"/>
        <v>0</v>
      </c>
      <c r="T112" s="664">
        <f t="shared" si="29"/>
        <v>0</v>
      </c>
      <c r="U112"/>
      <c r="V112" s="673">
        <f t="shared" si="30"/>
        <v>0</v>
      </c>
      <c r="W112" s="673">
        <f t="shared" si="31"/>
        <v>0</v>
      </c>
      <c r="X112" s="673">
        <f t="shared" si="32"/>
        <v>0</v>
      </c>
      <c r="Y112" s="673">
        <f t="shared" si="33"/>
        <v>0</v>
      </c>
      <c r="Z112" s="673">
        <f t="shared" si="34"/>
        <v>0</v>
      </c>
    </row>
    <row r="113" spans="1:26" ht="15.75">
      <c r="A113" s="517">
        <f>'Budget with Assumptions'!A113</f>
        <v>0</v>
      </c>
      <c r="B113" s="46"/>
      <c r="C113" s="46"/>
      <c r="D113" s="278">
        <f>'Budget with Assumptions'!J113</f>
        <v>0</v>
      </c>
      <c r="E113" s="649"/>
      <c r="F113" s="278">
        <f>'Budget with Assumptions'!L113</f>
        <v>0</v>
      </c>
      <c r="G113" s="649"/>
      <c r="H113" s="278">
        <f>'Budget with Assumptions'!N113</f>
        <v>0</v>
      </c>
      <c r="I113" s="649"/>
      <c r="J113" s="278">
        <f>'Budget with Assumptions'!P113</f>
        <v>0</v>
      </c>
      <c r="K113" s="650"/>
      <c r="L113" s="278">
        <f>'Budget with Assumptions'!R113</f>
        <v>0</v>
      </c>
      <c r="M113" s="638"/>
      <c r="N113" s="278">
        <f>'Budget with Assumptions'!T113</f>
        <v>0</v>
      </c>
      <c r="O113"/>
      <c r="P113" s="664">
        <f t="shared" si="25"/>
        <v>0</v>
      </c>
      <c r="Q113" s="664">
        <f t="shared" si="26"/>
        <v>0</v>
      </c>
      <c r="R113" s="664">
        <f t="shared" si="27"/>
        <v>0</v>
      </c>
      <c r="S113" s="664">
        <f t="shared" si="28"/>
        <v>0</v>
      </c>
      <c r="T113" s="664">
        <f t="shared" si="29"/>
        <v>0</v>
      </c>
      <c r="U113"/>
      <c r="V113" s="673">
        <f t="shared" si="30"/>
        <v>0</v>
      </c>
      <c r="W113" s="673">
        <f t="shared" si="31"/>
        <v>0</v>
      </c>
      <c r="X113" s="673">
        <f t="shared" si="32"/>
        <v>0</v>
      </c>
      <c r="Y113" s="673">
        <f t="shared" si="33"/>
        <v>0</v>
      </c>
      <c r="Z113" s="673">
        <f t="shared" si="34"/>
        <v>0</v>
      </c>
    </row>
    <row r="114" spans="1:26" ht="15.75">
      <c r="A114" s="509">
        <f>'Budget with Assumptions'!A114</f>
        <v>0</v>
      </c>
      <c r="B114" s="46"/>
      <c r="C114" s="46"/>
      <c r="D114" s="278">
        <f>'Budget with Assumptions'!J114</f>
        <v>0</v>
      </c>
      <c r="E114" s="649"/>
      <c r="F114" s="278">
        <f>'Budget with Assumptions'!L114</f>
        <v>0</v>
      </c>
      <c r="G114" s="649"/>
      <c r="H114" s="278">
        <f>'Budget with Assumptions'!N114</f>
        <v>0</v>
      </c>
      <c r="I114" s="649"/>
      <c r="J114" s="278">
        <f>'Budget with Assumptions'!P114</f>
        <v>0</v>
      </c>
      <c r="K114" s="650"/>
      <c r="L114" s="278">
        <f>'Budget with Assumptions'!R114</f>
        <v>0</v>
      </c>
      <c r="M114" s="638"/>
      <c r="N114" s="278">
        <f>'Budget with Assumptions'!T114</f>
        <v>0</v>
      </c>
      <c r="O114"/>
      <c r="P114" s="664">
        <f t="shared" si="25"/>
        <v>0</v>
      </c>
      <c r="Q114" s="664">
        <f t="shared" si="26"/>
        <v>0</v>
      </c>
      <c r="R114" s="664">
        <f t="shared" si="27"/>
        <v>0</v>
      </c>
      <c r="S114" s="664">
        <f t="shared" si="28"/>
        <v>0</v>
      </c>
      <c r="T114" s="664">
        <f t="shared" si="29"/>
        <v>0</v>
      </c>
      <c r="U114"/>
      <c r="V114" s="673">
        <f t="shared" si="30"/>
        <v>0</v>
      </c>
      <c r="W114" s="673">
        <f t="shared" si="31"/>
        <v>0</v>
      </c>
      <c r="X114" s="673">
        <f t="shared" si="32"/>
        <v>0</v>
      </c>
      <c r="Y114" s="673">
        <f t="shared" si="33"/>
        <v>0</v>
      </c>
      <c r="Z114" s="673">
        <f t="shared" si="34"/>
        <v>0</v>
      </c>
    </row>
    <row r="115" spans="1:26" ht="16.5" thickBot="1">
      <c r="A115" s="40"/>
      <c r="B115" s="46"/>
      <c r="C115" s="46"/>
      <c r="D115" s="656"/>
      <c r="E115" s="649"/>
      <c r="F115" s="656"/>
      <c r="G115" s="649"/>
      <c r="H115" s="656"/>
      <c r="I115" s="649"/>
      <c r="J115" s="656"/>
      <c r="K115" s="650"/>
      <c r="L115" s="630"/>
      <c r="M115" s="638"/>
      <c r="N115" s="630"/>
      <c r="O115"/>
      <c r="P115" s="665"/>
      <c r="Q115" s="665"/>
      <c r="R115" s="665"/>
      <c r="S115" s="665"/>
      <c r="T115" s="665"/>
      <c r="U115"/>
      <c r="V115" s="547"/>
      <c r="W115" s="547"/>
      <c r="X115" s="547"/>
      <c r="Y115" s="547"/>
      <c r="Z115" s="547"/>
    </row>
    <row r="116" spans="1:26" ht="16.5" thickBot="1">
      <c r="A116" s="296" t="str">
        <f>'Budget with Assumptions'!H116</f>
        <v>Total Office Administration</v>
      </c>
      <c r="B116" s="42"/>
      <c r="C116" s="42"/>
      <c r="D116" s="369">
        <f>SUM(D95:D114)</f>
        <v>53025</v>
      </c>
      <c r="E116" s="274"/>
      <c r="F116" s="369">
        <f>SUM(F95:F114)</f>
        <v>307823.3083</v>
      </c>
      <c r="G116" s="274"/>
      <c r="H116" s="369">
        <f>SUM(H95:H114)</f>
        <v>264171.589</v>
      </c>
      <c r="I116" s="274"/>
      <c r="J116" s="369">
        <f>SUM(J95:J114)</f>
        <v>296192.7474</v>
      </c>
      <c r="K116" s="275"/>
      <c r="L116" s="369">
        <f>SUM(L95:L114)</f>
        <v>337839.9704</v>
      </c>
      <c r="M116" s="623"/>
      <c r="N116" s="369">
        <f>SUM(N95:N114)</f>
        <v>339327.9704</v>
      </c>
      <c r="O116"/>
      <c r="P116" s="511">
        <f>SUM(P95:P114)</f>
        <v>0.10737988721460708</v>
      </c>
      <c r="Q116" s="511">
        <f>SUM(Q95:Q114)</f>
        <v>0.07497102517462592</v>
      </c>
      <c r="R116" s="511">
        <f>SUM(R95:R114)</f>
        <v>0.07296241959160951</v>
      </c>
      <c r="S116" s="511">
        <f>SUM(S95:S114)</f>
        <v>0.07454215838260907</v>
      </c>
      <c r="T116" s="511">
        <f>SUM(T95:T114)</f>
        <v>0.07381291931558498</v>
      </c>
      <c r="U116"/>
      <c r="V116" s="513">
        <f>SUM(V95:V114)</f>
        <v>1374.2111977678574</v>
      </c>
      <c r="W116" s="513">
        <f>SUM(W95:W114)</f>
        <v>846.7038108974359</v>
      </c>
      <c r="X116" s="513">
        <f>SUM(X95:X114)</f>
        <v>733.1503648514849</v>
      </c>
      <c r="Y116" s="513">
        <f>SUM(Y95:Y114)</f>
        <v>670.3174015873016</v>
      </c>
      <c r="Z116" s="513">
        <f>SUM(Z95:Z114)</f>
        <v>673.2697825396825</v>
      </c>
    </row>
    <row r="117" spans="1:26" ht="16.5" thickBot="1">
      <c r="A117" s="53"/>
      <c r="B117" s="38"/>
      <c r="C117" s="38"/>
      <c r="D117" s="547"/>
      <c r="E117" s="547"/>
      <c r="F117" s="547"/>
      <c r="G117" s="547"/>
      <c r="H117" s="547"/>
      <c r="I117" s="547"/>
      <c r="J117" s="547"/>
      <c r="K117" s="624"/>
      <c r="L117" s="547"/>
      <c r="M117" s="624"/>
      <c r="N117" s="547"/>
      <c r="P117" s="665"/>
      <c r="Q117" s="665"/>
      <c r="R117" s="665"/>
      <c r="S117" s="665"/>
      <c r="T117" s="665"/>
      <c r="V117" s="547"/>
      <c r="W117" s="547"/>
      <c r="X117" s="547"/>
      <c r="Y117" s="547"/>
      <c r="Z117" s="547"/>
    </row>
    <row r="118" spans="1:26" ht="18.75" thickBot="1">
      <c r="A118" s="510" t="s">
        <v>197</v>
      </c>
      <c r="B118" s="55"/>
      <c r="C118" s="55"/>
      <c r="D118" s="656"/>
      <c r="E118" s="649"/>
      <c r="F118" s="656"/>
      <c r="G118" s="649"/>
      <c r="H118" s="656"/>
      <c r="I118" s="649"/>
      <c r="J118" s="656"/>
      <c r="K118" s="650"/>
      <c r="L118" s="656"/>
      <c r="M118" s="638"/>
      <c r="N118" s="656"/>
      <c r="O118"/>
      <c r="P118" s="665"/>
      <c r="Q118" s="665"/>
      <c r="R118" s="665"/>
      <c r="S118" s="665"/>
      <c r="T118" s="665"/>
      <c r="U118"/>
      <c r="V118" s="547"/>
      <c r="W118" s="547"/>
      <c r="X118" s="547"/>
      <c r="Y118" s="547"/>
      <c r="Z118" s="547"/>
    </row>
    <row r="119" spans="1:26" ht="18.75" customHeight="1">
      <c r="A119" s="517" t="str">
        <f>'Budget with Assumptions'!A119</f>
        <v>Rent</v>
      </c>
      <c r="B119" s="38"/>
      <c r="C119" s="38"/>
      <c r="D119" s="278">
        <f>'Budget with Assumptions'!J119</f>
        <v>0</v>
      </c>
      <c r="E119" s="649"/>
      <c r="F119" s="278">
        <f>'Budget with Assumptions'!L119</f>
        <v>495495</v>
      </c>
      <c r="G119" s="649"/>
      <c r="H119" s="278">
        <f>'Budget with Assumptions'!N119</f>
        <v>688738.0499999999</v>
      </c>
      <c r="I119" s="649"/>
      <c r="J119" s="278">
        <f>'Budget with Assumptions'!P119</f>
        <v>716816.1</v>
      </c>
      <c r="K119" s="650"/>
      <c r="L119" s="278">
        <f>'Budget with Assumptions'!R119</f>
        <v>744894.1499999999</v>
      </c>
      <c r="M119" s="638"/>
      <c r="N119" s="278">
        <f>'Budget with Assumptions'!T119</f>
        <v>772972.2</v>
      </c>
      <c r="O119"/>
      <c r="P119" s="664">
        <f aca="true" t="shared" si="35" ref="P119:P136">F119/$F$159</f>
        <v>0.17284655118951472</v>
      </c>
      <c r="Q119" s="664">
        <f aca="true" t="shared" si="36" ref="Q119:Q136">H119/$H$159</f>
        <v>0.1954615857092519</v>
      </c>
      <c r="R119" s="664">
        <f aca="true" t="shared" si="37" ref="R119:R136">J119/$J$159</f>
        <v>0.17657635954060205</v>
      </c>
      <c r="S119" s="664">
        <f aca="true" t="shared" si="38" ref="S119:S136">L119/$L$159</f>
        <v>0.1643559749364072</v>
      </c>
      <c r="T119" s="664">
        <f aca="true" t="shared" si="39" ref="T119:T136">N119/$N$159</f>
        <v>0.16814215039371308</v>
      </c>
      <c r="U119"/>
      <c r="V119" s="673">
        <f>F119/$F$178</f>
        <v>2212.03125</v>
      </c>
      <c r="W119" s="673">
        <f>H119/$H$178</f>
        <v>2207.4937499999996</v>
      </c>
      <c r="X119" s="673">
        <f>J119/$J$178</f>
        <v>1774.2972772277228</v>
      </c>
      <c r="Y119" s="673">
        <f>L119/$L$178</f>
        <v>1477.9645833333332</v>
      </c>
      <c r="Z119" s="673">
        <f>N119/$N$178</f>
        <v>1533.675</v>
      </c>
    </row>
    <row r="120" spans="1:26" ht="15.75">
      <c r="A120" s="517" t="str">
        <f>'Budget with Assumptions'!A120</f>
        <v>Utilities</v>
      </c>
      <c r="B120" s="42"/>
      <c r="C120" s="42"/>
      <c r="D120" s="278">
        <f>'Budget with Assumptions'!J120</f>
        <v>0</v>
      </c>
      <c r="E120" s="649"/>
      <c r="F120" s="278">
        <f>'Budget with Assumptions'!L120</f>
        <v>42188</v>
      </c>
      <c r="G120" s="649"/>
      <c r="H120" s="278">
        <f>'Budget with Assumptions'!N120</f>
        <v>43031</v>
      </c>
      <c r="I120" s="649"/>
      <c r="J120" s="278">
        <f>'Budget with Assumptions'!P120</f>
        <v>43892</v>
      </c>
      <c r="K120" s="650"/>
      <c r="L120" s="278">
        <f>'Budget with Assumptions'!R120</f>
        <v>44770</v>
      </c>
      <c r="M120" s="638"/>
      <c r="N120" s="278">
        <f>'Budget with Assumptions'!T120</f>
        <v>45665.4</v>
      </c>
      <c r="O120"/>
      <c r="P120" s="664">
        <f t="shared" si="35"/>
        <v>0.014716698052620604</v>
      </c>
      <c r="Q120" s="664">
        <f t="shared" si="36"/>
        <v>0.012212055794877049</v>
      </c>
      <c r="R120" s="664">
        <f t="shared" si="37"/>
        <v>0.010812103094442362</v>
      </c>
      <c r="S120" s="664">
        <f t="shared" si="38"/>
        <v>0.009878204840114466</v>
      </c>
      <c r="T120" s="664">
        <f t="shared" si="39"/>
        <v>0.009933447224349162</v>
      </c>
      <c r="U120"/>
      <c r="V120" s="673">
        <f aca="true" t="shared" si="40" ref="V120:V136">F120/$F$178</f>
        <v>188.33928571428572</v>
      </c>
      <c r="W120" s="673">
        <f aca="true" t="shared" si="41" ref="W120:W136">H120/$H$178</f>
        <v>137.9198717948718</v>
      </c>
      <c r="X120" s="673">
        <f aca="true" t="shared" si="42" ref="X120:X136">J120/$J$178</f>
        <v>108.64356435643565</v>
      </c>
      <c r="Y120" s="673">
        <f aca="true" t="shared" si="43" ref="Y120:Y136">L120/$L$178</f>
        <v>88.82936507936508</v>
      </c>
      <c r="Z120" s="673">
        <f aca="true" t="shared" si="44" ref="Z120:Z136">N120/$N$178</f>
        <v>90.60595238095239</v>
      </c>
    </row>
    <row r="121" spans="1:26" ht="15.75">
      <c r="A121" s="517" t="str">
        <f>'Budget with Assumptions'!A121</f>
        <v>Repairs &amp; Maintenance</v>
      </c>
      <c r="B121" s="42"/>
      <c r="C121" s="42"/>
      <c r="D121" s="278">
        <f>'Budget with Assumptions'!J121</f>
        <v>0</v>
      </c>
      <c r="E121" s="649"/>
      <c r="F121" s="278">
        <f>'Budget with Assumptions'!L121</f>
        <v>0</v>
      </c>
      <c r="G121" s="649"/>
      <c r="H121" s="278">
        <f>'Budget with Assumptions'!N121</f>
        <v>0</v>
      </c>
      <c r="I121" s="649"/>
      <c r="J121" s="278">
        <f>'Budget with Assumptions'!P121</f>
        <v>0</v>
      </c>
      <c r="K121" s="650"/>
      <c r="L121" s="278">
        <f>'Budget with Assumptions'!R121</f>
        <v>0</v>
      </c>
      <c r="M121" s="638"/>
      <c r="N121" s="278">
        <f>'Budget with Assumptions'!T121</f>
        <v>0</v>
      </c>
      <c r="O121"/>
      <c r="P121" s="664">
        <f t="shared" si="35"/>
        <v>0</v>
      </c>
      <c r="Q121" s="664">
        <f t="shared" si="36"/>
        <v>0</v>
      </c>
      <c r="R121" s="664">
        <f t="shared" si="37"/>
        <v>0</v>
      </c>
      <c r="S121" s="664">
        <f t="shared" si="38"/>
        <v>0</v>
      </c>
      <c r="T121" s="664">
        <f t="shared" si="39"/>
        <v>0</v>
      </c>
      <c r="U121"/>
      <c r="V121" s="673">
        <f t="shared" si="40"/>
        <v>0</v>
      </c>
      <c r="W121" s="673">
        <f t="shared" si="41"/>
        <v>0</v>
      </c>
      <c r="X121" s="673">
        <f t="shared" si="42"/>
        <v>0</v>
      </c>
      <c r="Y121" s="673">
        <f t="shared" si="43"/>
        <v>0</v>
      </c>
      <c r="Z121" s="673">
        <f t="shared" si="44"/>
        <v>0</v>
      </c>
    </row>
    <row r="122" spans="1:26" ht="15.75">
      <c r="A122" s="517" t="str">
        <f>'Budget with Assumptions'!A122</f>
        <v>Supplies</v>
      </c>
      <c r="B122" s="42"/>
      <c r="C122" s="42"/>
      <c r="D122" s="278">
        <f>'Budget with Assumptions'!J122</f>
        <v>0</v>
      </c>
      <c r="E122" s="649"/>
      <c r="F122" s="278">
        <f>'Budget with Assumptions'!L122</f>
        <v>0</v>
      </c>
      <c r="G122" s="649"/>
      <c r="H122" s="278">
        <f>'Budget with Assumptions'!N122</f>
        <v>0</v>
      </c>
      <c r="I122" s="649"/>
      <c r="J122" s="278">
        <f>'Budget with Assumptions'!P122</f>
        <v>0</v>
      </c>
      <c r="K122" s="650"/>
      <c r="L122" s="278">
        <f>'Budget with Assumptions'!R122</f>
        <v>0</v>
      </c>
      <c r="M122" s="638"/>
      <c r="N122" s="278">
        <f>'Budget with Assumptions'!T122</f>
        <v>0</v>
      </c>
      <c r="O122"/>
      <c r="P122" s="664">
        <f t="shared" si="35"/>
        <v>0</v>
      </c>
      <c r="Q122" s="664">
        <f t="shared" si="36"/>
        <v>0</v>
      </c>
      <c r="R122" s="664">
        <f t="shared" si="37"/>
        <v>0</v>
      </c>
      <c r="S122" s="664">
        <f t="shared" si="38"/>
        <v>0</v>
      </c>
      <c r="T122" s="664">
        <f t="shared" si="39"/>
        <v>0</v>
      </c>
      <c r="U122"/>
      <c r="V122" s="673">
        <f t="shared" si="40"/>
        <v>0</v>
      </c>
      <c r="W122" s="673">
        <f t="shared" si="41"/>
        <v>0</v>
      </c>
      <c r="X122" s="673">
        <f t="shared" si="42"/>
        <v>0</v>
      </c>
      <c r="Y122" s="673">
        <f t="shared" si="43"/>
        <v>0</v>
      </c>
      <c r="Z122" s="673">
        <f t="shared" si="44"/>
        <v>0</v>
      </c>
    </row>
    <row r="123" spans="1:26" ht="15.75">
      <c r="A123" s="517" t="str">
        <f>'Budget with Assumptions'!A123</f>
        <v>Contracted Services-Security</v>
      </c>
      <c r="B123" s="42"/>
      <c r="C123" s="42"/>
      <c r="D123" s="278">
        <f>'Budget with Assumptions'!J123</f>
        <v>0</v>
      </c>
      <c r="E123" s="649"/>
      <c r="F123" s="278">
        <f>'Budget with Assumptions'!L123</f>
        <v>0</v>
      </c>
      <c r="G123" s="649"/>
      <c r="H123" s="278">
        <f>'Budget with Assumptions'!N123</f>
        <v>0</v>
      </c>
      <c r="I123" s="649"/>
      <c r="J123" s="278">
        <f>'Budget with Assumptions'!P123</f>
        <v>0</v>
      </c>
      <c r="K123" s="650"/>
      <c r="L123" s="278">
        <f>'Budget with Assumptions'!R123</f>
        <v>0</v>
      </c>
      <c r="M123" s="638"/>
      <c r="N123" s="278">
        <f>'Budget with Assumptions'!T123</f>
        <v>0</v>
      </c>
      <c r="O123"/>
      <c r="P123" s="664">
        <f t="shared" si="35"/>
        <v>0</v>
      </c>
      <c r="Q123" s="664">
        <f t="shared" si="36"/>
        <v>0</v>
      </c>
      <c r="R123" s="664">
        <f t="shared" si="37"/>
        <v>0</v>
      </c>
      <c r="S123" s="664">
        <f t="shared" si="38"/>
        <v>0</v>
      </c>
      <c r="T123" s="664">
        <f t="shared" si="39"/>
        <v>0</v>
      </c>
      <c r="U123"/>
      <c r="V123" s="673">
        <f t="shared" si="40"/>
        <v>0</v>
      </c>
      <c r="W123" s="673">
        <f t="shared" si="41"/>
        <v>0</v>
      </c>
      <c r="X123" s="673">
        <f t="shared" si="42"/>
        <v>0</v>
      </c>
      <c r="Y123" s="673">
        <f t="shared" si="43"/>
        <v>0</v>
      </c>
      <c r="Z123" s="673">
        <f t="shared" si="44"/>
        <v>0</v>
      </c>
    </row>
    <row r="124" spans="1:26" ht="15.75">
      <c r="A124" s="517" t="str">
        <f>'Budget with Assumptions'!A124</f>
        <v>Contracted Services-Custodial</v>
      </c>
      <c r="B124" s="42"/>
      <c r="C124" s="42"/>
      <c r="D124" s="278">
        <f>'Budget with Assumptions'!J124</f>
        <v>0</v>
      </c>
      <c r="E124" s="649"/>
      <c r="F124" s="278">
        <f>'Budget with Assumptions'!L124</f>
        <v>0</v>
      </c>
      <c r="G124" s="649"/>
      <c r="H124" s="278">
        <f>'Budget with Assumptions'!N124</f>
        <v>0</v>
      </c>
      <c r="I124" s="649"/>
      <c r="J124" s="278">
        <f>'Budget with Assumptions'!P124</f>
        <v>0</v>
      </c>
      <c r="K124" s="650"/>
      <c r="L124" s="278">
        <f>'Budget with Assumptions'!R124</f>
        <v>0</v>
      </c>
      <c r="M124" s="638"/>
      <c r="N124" s="278">
        <f>'Budget with Assumptions'!T124</f>
        <v>0</v>
      </c>
      <c r="O124"/>
      <c r="P124" s="664">
        <f t="shared" si="35"/>
        <v>0</v>
      </c>
      <c r="Q124" s="664">
        <f t="shared" si="36"/>
        <v>0</v>
      </c>
      <c r="R124" s="664">
        <f t="shared" si="37"/>
        <v>0</v>
      </c>
      <c r="S124" s="664">
        <f t="shared" si="38"/>
        <v>0</v>
      </c>
      <c r="T124" s="664">
        <f t="shared" si="39"/>
        <v>0</v>
      </c>
      <c r="U124"/>
      <c r="V124" s="673">
        <f t="shared" si="40"/>
        <v>0</v>
      </c>
      <c r="W124" s="673">
        <f t="shared" si="41"/>
        <v>0</v>
      </c>
      <c r="X124" s="673">
        <f t="shared" si="42"/>
        <v>0</v>
      </c>
      <c r="Y124" s="673">
        <f t="shared" si="43"/>
        <v>0</v>
      </c>
      <c r="Z124" s="673">
        <f t="shared" si="44"/>
        <v>0</v>
      </c>
    </row>
    <row r="125" spans="1:26" ht="15.75">
      <c r="A125" s="517" t="str">
        <f>'Budget with Assumptions'!A125</f>
        <v>Contracted Services-(Trash Removal, Snow Removal, Grounds, etc.)</v>
      </c>
      <c r="B125" s="42"/>
      <c r="C125" s="42"/>
      <c r="D125" s="278">
        <f>'Budget with Assumptions'!J125</f>
        <v>0</v>
      </c>
      <c r="E125" s="649"/>
      <c r="F125" s="278">
        <f>'Budget with Assumptions'!L125</f>
        <v>0</v>
      </c>
      <c r="G125" s="649"/>
      <c r="H125" s="278">
        <f>'Budget with Assumptions'!N125</f>
        <v>0</v>
      </c>
      <c r="I125" s="649"/>
      <c r="J125" s="278">
        <f>'Budget with Assumptions'!P125</f>
        <v>0</v>
      </c>
      <c r="K125" s="650"/>
      <c r="L125" s="278">
        <f>'Budget with Assumptions'!R125</f>
        <v>0</v>
      </c>
      <c r="M125" s="638"/>
      <c r="N125" s="278">
        <f>'Budget with Assumptions'!T125</f>
        <v>0</v>
      </c>
      <c r="O125"/>
      <c r="P125" s="664">
        <f t="shared" si="35"/>
        <v>0</v>
      </c>
      <c r="Q125" s="664">
        <f t="shared" si="36"/>
        <v>0</v>
      </c>
      <c r="R125" s="664">
        <f t="shared" si="37"/>
        <v>0</v>
      </c>
      <c r="S125" s="664">
        <f t="shared" si="38"/>
        <v>0</v>
      </c>
      <c r="T125" s="664">
        <f t="shared" si="39"/>
        <v>0</v>
      </c>
      <c r="U125"/>
      <c r="V125" s="673">
        <f t="shared" si="40"/>
        <v>0</v>
      </c>
      <c r="W125" s="673">
        <f t="shared" si="41"/>
        <v>0</v>
      </c>
      <c r="X125" s="673">
        <f t="shared" si="42"/>
        <v>0</v>
      </c>
      <c r="Y125" s="673">
        <f t="shared" si="43"/>
        <v>0</v>
      </c>
      <c r="Z125" s="673">
        <f t="shared" si="44"/>
        <v>0</v>
      </c>
    </row>
    <row r="126" spans="1:26" ht="15.75">
      <c r="A126" s="517" t="str">
        <f>'Budget with Assumptions'!A126</f>
        <v>Contracted Services-Other</v>
      </c>
      <c r="B126" s="42"/>
      <c r="C126" s="42"/>
      <c r="D126" s="278">
        <f>'Budget with Assumptions'!J126</f>
        <v>0</v>
      </c>
      <c r="E126" s="649"/>
      <c r="F126" s="278">
        <f>'Budget with Assumptions'!L126</f>
        <v>0</v>
      </c>
      <c r="G126" s="649"/>
      <c r="H126" s="278">
        <f>'Budget with Assumptions'!N126</f>
        <v>0</v>
      </c>
      <c r="I126" s="649"/>
      <c r="J126" s="278">
        <f>'Budget with Assumptions'!P126</f>
        <v>0</v>
      </c>
      <c r="K126" s="650"/>
      <c r="L126" s="278">
        <f>'Budget with Assumptions'!R126</f>
        <v>0</v>
      </c>
      <c r="M126" s="638"/>
      <c r="N126" s="278">
        <f>'Budget with Assumptions'!T126</f>
        <v>0</v>
      </c>
      <c r="O126"/>
      <c r="P126" s="664">
        <f t="shared" si="35"/>
        <v>0</v>
      </c>
      <c r="Q126" s="664">
        <f t="shared" si="36"/>
        <v>0</v>
      </c>
      <c r="R126" s="664">
        <f t="shared" si="37"/>
        <v>0</v>
      </c>
      <c r="S126" s="664">
        <f t="shared" si="38"/>
        <v>0</v>
      </c>
      <c r="T126" s="664">
        <f t="shared" si="39"/>
        <v>0</v>
      </c>
      <c r="U126"/>
      <c r="V126" s="673">
        <f t="shared" si="40"/>
        <v>0</v>
      </c>
      <c r="W126" s="673">
        <f t="shared" si="41"/>
        <v>0</v>
      </c>
      <c r="X126" s="673">
        <f t="shared" si="42"/>
        <v>0</v>
      </c>
      <c r="Y126" s="673">
        <f t="shared" si="43"/>
        <v>0</v>
      </c>
      <c r="Z126" s="673">
        <f t="shared" si="44"/>
        <v>0</v>
      </c>
    </row>
    <row r="127" spans="1:26" ht="15.75">
      <c r="A127" s="517" t="str">
        <f>'Budget with Assumptions'!A127</f>
        <v>Property Insurance</v>
      </c>
      <c r="B127" s="46"/>
      <c r="C127" s="46"/>
      <c r="D127" s="278">
        <f>'Budget with Assumptions'!J127</f>
        <v>0</v>
      </c>
      <c r="E127" s="649"/>
      <c r="F127" s="278">
        <f>'Budget with Assumptions'!L127</f>
        <v>0</v>
      </c>
      <c r="G127" s="649"/>
      <c r="H127" s="278">
        <f>'Budget with Assumptions'!N127</f>
        <v>0</v>
      </c>
      <c r="I127" s="649"/>
      <c r="J127" s="278">
        <f>'Budget with Assumptions'!P127</f>
        <v>0</v>
      </c>
      <c r="K127" s="650"/>
      <c r="L127" s="278">
        <f>'Budget with Assumptions'!R127</f>
        <v>0</v>
      </c>
      <c r="M127" s="638"/>
      <c r="N127" s="278">
        <f>'Budget with Assumptions'!T127</f>
        <v>0</v>
      </c>
      <c r="O127"/>
      <c r="P127" s="664">
        <f t="shared" si="35"/>
        <v>0</v>
      </c>
      <c r="Q127" s="664">
        <f t="shared" si="36"/>
        <v>0</v>
      </c>
      <c r="R127" s="664">
        <f t="shared" si="37"/>
        <v>0</v>
      </c>
      <c r="S127" s="664">
        <f t="shared" si="38"/>
        <v>0</v>
      </c>
      <c r="T127" s="664">
        <f t="shared" si="39"/>
        <v>0</v>
      </c>
      <c r="U127"/>
      <c r="V127" s="673">
        <f t="shared" si="40"/>
        <v>0</v>
      </c>
      <c r="W127" s="673">
        <f t="shared" si="41"/>
        <v>0</v>
      </c>
      <c r="X127" s="673">
        <f t="shared" si="42"/>
        <v>0</v>
      </c>
      <c r="Y127" s="673">
        <f t="shared" si="43"/>
        <v>0</v>
      </c>
      <c r="Z127" s="673">
        <f t="shared" si="44"/>
        <v>0</v>
      </c>
    </row>
    <row r="128" spans="1:26" ht="15.75">
      <c r="A128" s="517" t="str">
        <f>'Budget with Assumptions'!A128</f>
        <v>Facility Loan Debt Service (P &amp; I)</v>
      </c>
      <c r="B128" s="46"/>
      <c r="C128" s="46"/>
      <c r="D128" s="278">
        <f>'Budget with Assumptions'!J128</f>
        <v>0</v>
      </c>
      <c r="E128" s="649"/>
      <c r="F128" s="278">
        <f>'Budget with Assumptions'!L128</f>
        <v>170743.44</v>
      </c>
      <c r="G128" s="649"/>
      <c r="H128" s="278">
        <f>'Budget with Assumptions'!N128</f>
        <v>170743.44</v>
      </c>
      <c r="I128" s="649"/>
      <c r="J128" s="278">
        <f>'Budget with Assumptions'!P128</f>
        <v>170743.44</v>
      </c>
      <c r="K128" s="650"/>
      <c r="L128" s="278">
        <f>'Budget with Assumptions'!R128</f>
        <v>170743.44</v>
      </c>
      <c r="M128" s="638"/>
      <c r="N128" s="278">
        <f>'Budget with Assumptions'!T128</f>
        <v>170743.44</v>
      </c>
      <c r="O128"/>
      <c r="P128" s="664">
        <f t="shared" si="35"/>
        <v>0.05956147840489578</v>
      </c>
      <c r="Q128" s="664">
        <f t="shared" si="36"/>
        <v>0.04845642480744677</v>
      </c>
      <c r="R128" s="664">
        <f t="shared" si="37"/>
        <v>0.04205995798732648</v>
      </c>
      <c r="S128" s="664">
        <f t="shared" si="38"/>
        <v>0.037673412450877686</v>
      </c>
      <c r="T128" s="664">
        <f t="shared" si="39"/>
        <v>0.03714126997998107</v>
      </c>
      <c r="U128"/>
      <c r="V128" s="673">
        <f t="shared" si="40"/>
        <v>762.2475000000001</v>
      </c>
      <c r="W128" s="673">
        <f t="shared" si="41"/>
        <v>547.2546153846154</v>
      </c>
      <c r="X128" s="673">
        <f t="shared" si="42"/>
        <v>422.6322772277228</v>
      </c>
      <c r="Y128" s="673">
        <f t="shared" si="43"/>
        <v>338.7766666666667</v>
      </c>
      <c r="Z128" s="673">
        <f t="shared" si="44"/>
        <v>338.7766666666667</v>
      </c>
    </row>
    <row r="129" spans="1:26" ht="15.75">
      <c r="A129" s="517" t="str">
        <f>'Budget with Assumptions'!A129</f>
        <v>Asbestos Inspection and Management</v>
      </c>
      <c r="B129" s="46"/>
      <c r="C129" s="46"/>
      <c r="D129" s="278">
        <f>'Budget with Assumptions'!J129</f>
        <v>10000</v>
      </c>
      <c r="E129" s="649"/>
      <c r="F129" s="278">
        <f>'Budget with Assumptions'!L129</f>
        <v>0</v>
      </c>
      <c r="G129" s="649"/>
      <c r="H129" s="278">
        <f>'Budget with Assumptions'!N129</f>
        <v>0</v>
      </c>
      <c r="I129" s="649"/>
      <c r="J129" s="278">
        <f>'Budget with Assumptions'!P129</f>
        <v>5000</v>
      </c>
      <c r="K129" s="650"/>
      <c r="L129" s="278">
        <f>'Budget with Assumptions'!R129</f>
        <v>0</v>
      </c>
      <c r="M129" s="638"/>
      <c r="N129" s="278">
        <f>'Budget with Assumptions'!T129</f>
        <v>0</v>
      </c>
      <c r="O129"/>
      <c r="P129" s="664">
        <f t="shared" si="35"/>
        <v>0</v>
      </c>
      <c r="Q129" s="664">
        <f t="shared" si="36"/>
        <v>0</v>
      </c>
      <c r="R129" s="664">
        <f t="shared" si="37"/>
        <v>0.0012316712720361754</v>
      </c>
      <c r="S129" s="664">
        <f t="shared" si="38"/>
        <v>0</v>
      </c>
      <c r="T129" s="664">
        <f t="shared" si="39"/>
        <v>0</v>
      </c>
      <c r="U129"/>
      <c r="V129" s="673">
        <f t="shared" si="40"/>
        <v>0</v>
      </c>
      <c r="W129" s="673">
        <f t="shared" si="41"/>
        <v>0</v>
      </c>
      <c r="X129" s="673">
        <f t="shared" si="42"/>
        <v>12.376237623762377</v>
      </c>
      <c r="Y129" s="673">
        <f t="shared" si="43"/>
        <v>0</v>
      </c>
      <c r="Z129" s="673">
        <f t="shared" si="44"/>
        <v>0</v>
      </c>
    </row>
    <row r="130" spans="1:26" ht="15.75">
      <c r="A130" s="517" t="str">
        <f>'Budget with Assumptions'!A130</f>
        <v>Origination Fee</v>
      </c>
      <c r="B130" s="46"/>
      <c r="C130" s="46"/>
      <c r="D130" s="278">
        <f>'Budget with Assumptions'!J130</f>
        <v>0</v>
      </c>
      <c r="E130" s="649"/>
      <c r="F130" s="278">
        <f>'Budget with Assumptions'!L130</f>
        <v>17556.1103</v>
      </c>
      <c r="G130" s="649"/>
      <c r="H130" s="278">
        <f>'Budget with Assumptions'!N130</f>
        <v>0</v>
      </c>
      <c r="I130" s="649"/>
      <c r="J130" s="278">
        <f>'Budget with Assumptions'!P130</f>
        <v>0</v>
      </c>
      <c r="K130" s="650"/>
      <c r="L130" s="278">
        <f>'Budget with Assumptions'!R130</f>
        <v>0</v>
      </c>
      <c r="M130" s="638"/>
      <c r="N130" s="278">
        <f>'Budget with Assumptions'!T130</f>
        <v>0</v>
      </c>
      <c r="O130"/>
      <c r="P130" s="664">
        <f t="shared" si="35"/>
        <v>0.006124205325296353</v>
      </c>
      <c r="Q130" s="664">
        <f t="shared" si="36"/>
        <v>0</v>
      </c>
      <c r="R130" s="664">
        <f t="shared" si="37"/>
        <v>0</v>
      </c>
      <c r="S130" s="664">
        <f t="shared" si="38"/>
        <v>0</v>
      </c>
      <c r="T130" s="664">
        <f t="shared" si="39"/>
        <v>0</v>
      </c>
      <c r="U130"/>
      <c r="V130" s="673">
        <f t="shared" si="40"/>
        <v>78.37549241071429</v>
      </c>
      <c r="W130" s="673">
        <f t="shared" si="41"/>
        <v>0</v>
      </c>
      <c r="X130" s="673">
        <f t="shared" si="42"/>
        <v>0</v>
      </c>
      <c r="Y130" s="673">
        <f t="shared" si="43"/>
        <v>0</v>
      </c>
      <c r="Z130" s="673">
        <f t="shared" si="44"/>
        <v>0</v>
      </c>
    </row>
    <row r="131" spans="1:26" ht="15.75">
      <c r="A131" s="517">
        <f>'Budget with Assumptions'!A131</f>
        <v>0</v>
      </c>
      <c r="B131" s="46"/>
      <c r="C131" s="46"/>
      <c r="D131" s="278">
        <f>'Budget with Assumptions'!J131</f>
        <v>0</v>
      </c>
      <c r="E131" s="649"/>
      <c r="F131" s="278">
        <f>'Budget with Assumptions'!L131</f>
        <v>0</v>
      </c>
      <c r="G131" s="649"/>
      <c r="H131" s="278">
        <f>'Budget with Assumptions'!N131</f>
        <v>0</v>
      </c>
      <c r="I131" s="649"/>
      <c r="J131" s="278">
        <f>'Budget with Assumptions'!P131</f>
        <v>0</v>
      </c>
      <c r="K131" s="650"/>
      <c r="L131" s="278">
        <f>'Budget with Assumptions'!R131</f>
        <v>0</v>
      </c>
      <c r="M131" s="638"/>
      <c r="N131" s="278">
        <f>'Budget with Assumptions'!T131</f>
        <v>0</v>
      </c>
      <c r="O131"/>
      <c r="P131" s="664">
        <f t="shared" si="35"/>
        <v>0</v>
      </c>
      <c r="Q131" s="664">
        <f t="shared" si="36"/>
        <v>0</v>
      </c>
      <c r="R131" s="664">
        <f t="shared" si="37"/>
        <v>0</v>
      </c>
      <c r="S131" s="664">
        <f t="shared" si="38"/>
        <v>0</v>
      </c>
      <c r="T131" s="664">
        <f t="shared" si="39"/>
        <v>0</v>
      </c>
      <c r="U131"/>
      <c r="V131" s="673">
        <f t="shared" si="40"/>
        <v>0</v>
      </c>
      <c r="W131" s="673">
        <f t="shared" si="41"/>
        <v>0</v>
      </c>
      <c r="X131" s="673">
        <f t="shared" si="42"/>
        <v>0</v>
      </c>
      <c r="Y131" s="673">
        <f t="shared" si="43"/>
        <v>0</v>
      </c>
      <c r="Z131" s="673">
        <f t="shared" si="44"/>
        <v>0</v>
      </c>
    </row>
    <row r="132" spans="1:26" ht="15.75">
      <c r="A132" s="517">
        <f>'Budget with Assumptions'!A132</f>
        <v>0</v>
      </c>
      <c r="B132" s="46"/>
      <c r="C132" s="46"/>
      <c r="D132" s="278">
        <f>'Budget with Assumptions'!J132</f>
        <v>0</v>
      </c>
      <c r="E132" s="649"/>
      <c r="F132" s="278">
        <f>'Budget with Assumptions'!L132</f>
        <v>0</v>
      </c>
      <c r="G132" s="649"/>
      <c r="H132" s="278">
        <f>'Budget with Assumptions'!N132</f>
        <v>0</v>
      </c>
      <c r="I132" s="649"/>
      <c r="J132" s="278">
        <f>'Budget with Assumptions'!P132</f>
        <v>0</v>
      </c>
      <c r="K132" s="650"/>
      <c r="L132" s="278">
        <f>'Budget with Assumptions'!R132</f>
        <v>0</v>
      </c>
      <c r="M132" s="638"/>
      <c r="N132" s="278">
        <f>'Budget with Assumptions'!T132</f>
        <v>0</v>
      </c>
      <c r="O132"/>
      <c r="P132" s="664">
        <f t="shared" si="35"/>
        <v>0</v>
      </c>
      <c r="Q132" s="664">
        <f t="shared" si="36"/>
        <v>0</v>
      </c>
      <c r="R132" s="664">
        <f t="shared" si="37"/>
        <v>0</v>
      </c>
      <c r="S132" s="664">
        <f t="shared" si="38"/>
        <v>0</v>
      </c>
      <c r="T132" s="664">
        <f t="shared" si="39"/>
        <v>0</v>
      </c>
      <c r="U132"/>
      <c r="V132" s="673">
        <f t="shared" si="40"/>
        <v>0</v>
      </c>
      <c r="W132" s="673">
        <f t="shared" si="41"/>
        <v>0</v>
      </c>
      <c r="X132" s="673">
        <f t="shared" si="42"/>
        <v>0</v>
      </c>
      <c r="Y132" s="673">
        <f t="shared" si="43"/>
        <v>0</v>
      </c>
      <c r="Z132" s="673">
        <f t="shared" si="44"/>
        <v>0</v>
      </c>
    </row>
    <row r="133" spans="1:26" ht="15.75">
      <c r="A133" s="517">
        <f>'Budget with Assumptions'!A133</f>
        <v>0</v>
      </c>
      <c r="B133" s="46"/>
      <c r="C133" s="46"/>
      <c r="D133" s="278">
        <f>'Budget with Assumptions'!J133</f>
        <v>0</v>
      </c>
      <c r="E133" s="649"/>
      <c r="F133" s="278">
        <f>'Budget with Assumptions'!L133</f>
        <v>0</v>
      </c>
      <c r="G133" s="649"/>
      <c r="H133" s="278">
        <f>'Budget with Assumptions'!N133</f>
        <v>0</v>
      </c>
      <c r="I133" s="649"/>
      <c r="J133" s="278">
        <f>'Budget with Assumptions'!P133</f>
        <v>0</v>
      </c>
      <c r="K133" s="650"/>
      <c r="L133" s="278">
        <f>'Budget with Assumptions'!R133</f>
        <v>0</v>
      </c>
      <c r="M133" s="638"/>
      <c r="N133" s="278">
        <f>'Budget with Assumptions'!T133</f>
        <v>0</v>
      </c>
      <c r="O133"/>
      <c r="P133" s="664">
        <f t="shared" si="35"/>
        <v>0</v>
      </c>
      <c r="Q133" s="664">
        <f t="shared" si="36"/>
        <v>0</v>
      </c>
      <c r="R133" s="664">
        <f t="shared" si="37"/>
        <v>0</v>
      </c>
      <c r="S133" s="664">
        <f t="shared" si="38"/>
        <v>0</v>
      </c>
      <c r="T133" s="664">
        <f t="shared" si="39"/>
        <v>0</v>
      </c>
      <c r="U133"/>
      <c r="V133" s="673">
        <f t="shared" si="40"/>
        <v>0</v>
      </c>
      <c r="W133" s="673">
        <f t="shared" si="41"/>
        <v>0</v>
      </c>
      <c r="X133" s="673">
        <f t="shared" si="42"/>
        <v>0</v>
      </c>
      <c r="Y133" s="673">
        <f t="shared" si="43"/>
        <v>0</v>
      </c>
      <c r="Z133" s="673">
        <f t="shared" si="44"/>
        <v>0</v>
      </c>
    </row>
    <row r="134" spans="1:26" ht="15.75">
      <c r="A134" s="517">
        <f>'Budget with Assumptions'!A134</f>
        <v>0</v>
      </c>
      <c r="B134" s="46"/>
      <c r="C134" s="46"/>
      <c r="D134" s="278">
        <f>'Budget with Assumptions'!J134</f>
        <v>0</v>
      </c>
      <c r="E134" s="649"/>
      <c r="F134" s="278">
        <f>'Budget with Assumptions'!L134</f>
        <v>0</v>
      </c>
      <c r="G134" s="649"/>
      <c r="H134" s="278">
        <f>'Budget with Assumptions'!N134</f>
        <v>0</v>
      </c>
      <c r="I134" s="649"/>
      <c r="J134" s="278">
        <f>'Budget with Assumptions'!P134</f>
        <v>0</v>
      </c>
      <c r="K134" s="650"/>
      <c r="L134" s="278">
        <f>'Budget with Assumptions'!R134</f>
        <v>0</v>
      </c>
      <c r="M134" s="638"/>
      <c r="N134" s="278">
        <f>'Budget with Assumptions'!T134</f>
        <v>0</v>
      </c>
      <c r="O134"/>
      <c r="P134" s="664">
        <f t="shared" si="35"/>
        <v>0</v>
      </c>
      <c r="Q134" s="664">
        <f t="shared" si="36"/>
        <v>0</v>
      </c>
      <c r="R134" s="664">
        <f t="shared" si="37"/>
        <v>0</v>
      </c>
      <c r="S134" s="664">
        <f t="shared" si="38"/>
        <v>0</v>
      </c>
      <c r="T134" s="664">
        <f t="shared" si="39"/>
        <v>0</v>
      </c>
      <c r="U134"/>
      <c r="V134" s="673">
        <f t="shared" si="40"/>
        <v>0</v>
      </c>
      <c r="W134" s="673">
        <f t="shared" si="41"/>
        <v>0</v>
      </c>
      <c r="X134" s="673">
        <f t="shared" si="42"/>
        <v>0</v>
      </c>
      <c r="Y134" s="673">
        <f t="shared" si="43"/>
        <v>0</v>
      </c>
      <c r="Z134" s="673">
        <f t="shared" si="44"/>
        <v>0</v>
      </c>
    </row>
    <row r="135" spans="1:26" ht="15.75">
      <c r="A135" s="517">
        <f>'Budget with Assumptions'!A135</f>
        <v>0</v>
      </c>
      <c r="B135" s="46"/>
      <c r="C135" s="46"/>
      <c r="D135" s="278">
        <f>'Budget with Assumptions'!J135</f>
        <v>0</v>
      </c>
      <c r="E135" s="649"/>
      <c r="F135" s="278">
        <f>'Budget with Assumptions'!L135</f>
        <v>0</v>
      </c>
      <c r="G135" s="649"/>
      <c r="H135" s="278">
        <f>'Budget with Assumptions'!N135</f>
        <v>0</v>
      </c>
      <c r="I135" s="649"/>
      <c r="J135" s="278">
        <f>'Budget with Assumptions'!P135</f>
        <v>0</v>
      </c>
      <c r="K135" s="650"/>
      <c r="L135" s="278">
        <f>'Budget with Assumptions'!R135</f>
        <v>0</v>
      </c>
      <c r="M135" s="638"/>
      <c r="N135" s="278">
        <f>'Budget with Assumptions'!T135</f>
        <v>0</v>
      </c>
      <c r="O135"/>
      <c r="P135" s="664">
        <f t="shared" si="35"/>
        <v>0</v>
      </c>
      <c r="Q135" s="664">
        <f t="shared" si="36"/>
        <v>0</v>
      </c>
      <c r="R135" s="664">
        <f t="shared" si="37"/>
        <v>0</v>
      </c>
      <c r="S135" s="664">
        <f t="shared" si="38"/>
        <v>0</v>
      </c>
      <c r="T135" s="664">
        <f t="shared" si="39"/>
        <v>0</v>
      </c>
      <c r="U135"/>
      <c r="V135" s="673">
        <f t="shared" si="40"/>
        <v>0</v>
      </c>
      <c r="W135" s="673">
        <f t="shared" si="41"/>
        <v>0</v>
      </c>
      <c r="X135" s="673">
        <f t="shared" si="42"/>
        <v>0</v>
      </c>
      <c r="Y135" s="673">
        <f t="shared" si="43"/>
        <v>0</v>
      </c>
      <c r="Z135" s="673">
        <f t="shared" si="44"/>
        <v>0</v>
      </c>
    </row>
    <row r="136" spans="1:26" ht="15.75">
      <c r="A136" s="517">
        <f>'Budget with Assumptions'!A136</f>
        <v>0</v>
      </c>
      <c r="B136" s="46"/>
      <c r="C136" s="46"/>
      <c r="D136" s="278">
        <f>'Budget with Assumptions'!J136</f>
        <v>0</v>
      </c>
      <c r="E136" s="649"/>
      <c r="F136" s="278">
        <f>'Budget with Assumptions'!L136</f>
        <v>0</v>
      </c>
      <c r="G136" s="649"/>
      <c r="H136" s="278">
        <f>'Budget with Assumptions'!N136</f>
        <v>0</v>
      </c>
      <c r="I136" s="649"/>
      <c r="J136" s="278">
        <f>'Budget with Assumptions'!P136</f>
        <v>0</v>
      </c>
      <c r="K136" s="650"/>
      <c r="L136" s="278">
        <f>'Budget with Assumptions'!R136</f>
        <v>0</v>
      </c>
      <c r="M136" s="638"/>
      <c r="N136" s="278">
        <f>'Budget with Assumptions'!T136</f>
        <v>0</v>
      </c>
      <c r="O136"/>
      <c r="P136" s="664">
        <f t="shared" si="35"/>
        <v>0</v>
      </c>
      <c r="Q136" s="664">
        <f t="shared" si="36"/>
        <v>0</v>
      </c>
      <c r="R136" s="664">
        <f t="shared" si="37"/>
        <v>0</v>
      </c>
      <c r="S136" s="664">
        <f t="shared" si="38"/>
        <v>0</v>
      </c>
      <c r="T136" s="664">
        <f t="shared" si="39"/>
        <v>0</v>
      </c>
      <c r="U136"/>
      <c r="V136" s="673">
        <f t="shared" si="40"/>
        <v>0</v>
      </c>
      <c r="W136" s="673">
        <f t="shared" si="41"/>
        <v>0</v>
      </c>
      <c r="X136" s="673">
        <f t="shared" si="42"/>
        <v>0</v>
      </c>
      <c r="Y136" s="673">
        <f t="shared" si="43"/>
        <v>0</v>
      </c>
      <c r="Z136" s="673">
        <f t="shared" si="44"/>
        <v>0</v>
      </c>
    </row>
    <row r="137" spans="1:26" ht="16.5" thickBot="1">
      <c r="A137" s="45"/>
      <c r="B137" s="46"/>
      <c r="C137" s="46"/>
      <c r="D137" s="656"/>
      <c r="E137" s="649"/>
      <c r="F137" s="656"/>
      <c r="G137" s="649"/>
      <c r="H137" s="656"/>
      <c r="I137" s="649"/>
      <c r="J137" s="656"/>
      <c r="K137" s="650"/>
      <c r="L137" s="630"/>
      <c r="M137" s="638"/>
      <c r="N137" s="630"/>
      <c r="O137"/>
      <c r="P137" s="665"/>
      <c r="Q137" s="665"/>
      <c r="R137" s="665"/>
      <c r="S137" s="665"/>
      <c r="T137" s="665"/>
      <c r="U137"/>
      <c r="V137" s="547"/>
      <c r="W137" s="547"/>
      <c r="X137" s="547"/>
      <c r="Y137" s="547"/>
      <c r="Z137" s="547"/>
    </row>
    <row r="138" spans="1:26" ht="16.5" thickBot="1">
      <c r="A138" s="296" t="str">
        <f>'Budget with Assumptions'!H138</f>
        <v>Total Occupancy</v>
      </c>
      <c r="B138" s="46"/>
      <c r="C138" s="46"/>
      <c r="D138" s="369">
        <f>SUM(D119:D136)</f>
        <v>10000</v>
      </c>
      <c r="E138" s="274"/>
      <c r="F138" s="369">
        <f>SUM(F119:F136)</f>
        <v>725982.5503</v>
      </c>
      <c r="G138" s="274"/>
      <c r="H138" s="369">
        <f>SUM(H119:H136)</f>
        <v>902512.49</v>
      </c>
      <c r="I138" s="274"/>
      <c r="J138" s="369">
        <f>SUM(J119:J136)</f>
        <v>936451.54</v>
      </c>
      <c r="K138" s="275"/>
      <c r="L138" s="369">
        <f>SUM(L119:L136)</f>
        <v>960407.5899999999</v>
      </c>
      <c r="M138" s="623"/>
      <c r="N138" s="369">
        <f>SUM(N119:N136)</f>
        <v>989381.04</v>
      </c>
      <c r="O138"/>
      <c r="P138" s="511">
        <f>SUM(P119:P136)</f>
        <v>0.2532489329723275</v>
      </c>
      <c r="Q138" s="511">
        <f>SUM(Q119:Q136)</f>
        <v>0.2561300663115757</v>
      </c>
      <c r="R138" s="511">
        <f>SUM(R119:R136)</f>
        <v>0.23068009189440708</v>
      </c>
      <c r="S138" s="511">
        <f>SUM(S119:S136)</f>
        <v>0.21190759222739936</v>
      </c>
      <c r="T138" s="511">
        <f>SUM(T119:T136)</f>
        <v>0.21521686759804332</v>
      </c>
      <c r="U138"/>
      <c r="V138" s="513">
        <f>SUM(V119:V136)</f>
        <v>3240.993528125</v>
      </c>
      <c r="W138" s="513">
        <f>SUM(W119:W136)</f>
        <v>2892.668237179487</v>
      </c>
      <c r="X138" s="513">
        <f>SUM(X119:X136)</f>
        <v>2317.9493564356435</v>
      </c>
      <c r="Y138" s="513">
        <f>SUM(Y119:Y136)</f>
        <v>1905.5706150793649</v>
      </c>
      <c r="Z138" s="513">
        <f>SUM(Z119:Z136)</f>
        <v>1963.057619047619</v>
      </c>
    </row>
    <row r="139" spans="1:26" ht="16.5" thickBot="1">
      <c r="A139" s="57"/>
      <c r="B139" s="38"/>
      <c r="C139" s="38"/>
      <c r="D139" s="656"/>
      <c r="E139" s="657"/>
      <c r="F139" s="656"/>
      <c r="G139" s="657"/>
      <c r="H139" s="656"/>
      <c r="I139" s="657"/>
      <c r="J139" s="656"/>
      <c r="K139" s="658"/>
      <c r="L139" s="630"/>
      <c r="M139" s="632"/>
      <c r="N139" s="630"/>
      <c r="O139"/>
      <c r="P139" s="665"/>
      <c r="Q139" s="665"/>
      <c r="R139" s="665"/>
      <c r="S139" s="665"/>
      <c r="T139" s="665"/>
      <c r="U139"/>
      <c r="V139" s="547"/>
      <c r="W139" s="547"/>
      <c r="X139" s="547"/>
      <c r="Y139" s="547"/>
      <c r="Z139" s="547"/>
    </row>
    <row r="140" spans="1:26" ht="16.5" thickBot="1">
      <c r="A140" s="202" t="str">
        <f>'Budget with Assumptions'!H140</f>
        <v>Education Management Organization Fee</v>
      </c>
      <c r="B140" s="58"/>
      <c r="C140" s="58"/>
      <c r="D140" s="278">
        <f>'Budget with Assumptions'!J140</f>
        <v>0</v>
      </c>
      <c r="E140" s="274"/>
      <c r="F140" s="278">
        <f>'Budget with Assumptions'!L140</f>
        <v>0</v>
      </c>
      <c r="G140" s="649"/>
      <c r="H140" s="278">
        <f>'Budget with Assumptions'!N140</f>
        <v>0</v>
      </c>
      <c r="I140" s="649"/>
      <c r="J140" s="278">
        <f>'Budget with Assumptions'!P140</f>
        <v>0</v>
      </c>
      <c r="K140" s="650"/>
      <c r="L140" s="278">
        <f>'Budget with Assumptions'!R140</f>
        <v>0</v>
      </c>
      <c r="M140" s="638"/>
      <c r="N140" s="278">
        <f>'Budget with Assumptions'!T140</f>
        <v>0</v>
      </c>
      <c r="O140"/>
      <c r="P140" s="666">
        <f>F140/$F$159</f>
        <v>0</v>
      </c>
      <c r="Q140" s="666">
        <f>H140/$H$159</f>
        <v>0</v>
      </c>
      <c r="R140" s="666">
        <f>J140/$J$159</f>
        <v>0</v>
      </c>
      <c r="S140" s="666">
        <f>L140/$L$159</f>
        <v>0</v>
      </c>
      <c r="T140" s="666">
        <f>N140/$N$159</f>
        <v>0</v>
      </c>
      <c r="U140"/>
      <c r="V140" s="671">
        <f>F140/$F$178</f>
        <v>0</v>
      </c>
      <c r="W140" s="671">
        <f>H140/$H$178</f>
        <v>0</v>
      </c>
      <c r="X140" s="671">
        <f>J140/$J$178</f>
        <v>0</v>
      </c>
      <c r="Y140" s="671">
        <f>L140/$L$178</f>
        <v>0</v>
      </c>
      <c r="Z140" s="671">
        <f>N140/$N$178</f>
        <v>0</v>
      </c>
    </row>
    <row r="141" spans="1:26" ht="18.75" customHeight="1" thickBot="1">
      <c r="A141" s="57"/>
      <c r="B141" s="38"/>
      <c r="C141" s="38"/>
      <c r="D141" s="547"/>
      <c r="E141" s="547"/>
      <c r="F141" s="547"/>
      <c r="G141" s="547"/>
      <c r="H141" s="547"/>
      <c r="I141" s="547"/>
      <c r="J141" s="547"/>
      <c r="K141" s="624"/>
      <c r="L141" s="547"/>
      <c r="M141" s="624"/>
      <c r="N141" s="547"/>
      <c r="P141" s="665"/>
      <c r="Q141" s="665"/>
      <c r="R141" s="665"/>
      <c r="S141" s="665"/>
      <c r="T141" s="665"/>
      <c r="V141" s="547"/>
      <c r="W141" s="547"/>
      <c r="X141" s="547"/>
      <c r="Y141" s="547"/>
      <c r="Z141" s="547"/>
    </row>
    <row r="142" spans="1:26" ht="18.75" thickBot="1">
      <c r="A142" s="510" t="s">
        <v>198</v>
      </c>
      <c r="B142" s="58"/>
      <c r="C142" s="58"/>
      <c r="D142" s="656"/>
      <c r="E142" s="657"/>
      <c r="F142" s="656"/>
      <c r="G142" s="657"/>
      <c r="H142" s="656"/>
      <c r="I142" s="657"/>
      <c r="J142" s="656"/>
      <c r="K142" s="658"/>
      <c r="L142" s="630"/>
      <c r="M142" s="632"/>
      <c r="N142" s="630"/>
      <c r="O142"/>
      <c r="P142" s="665"/>
      <c r="Q142" s="665"/>
      <c r="R142" s="665"/>
      <c r="S142" s="665"/>
      <c r="T142" s="665"/>
      <c r="U142"/>
      <c r="V142" s="547"/>
      <c r="W142" s="547"/>
      <c r="X142" s="547"/>
      <c r="Y142" s="547"/>
      <c r="Z142" s="547"/>
    </row>
    <row r="143" spans="1:26" ht="18.75" customHeight="1">
      <c r="A143" s="517" t="str">
        <f>'Budget with Assumptions'!A143</f>
        <v>Non-Facility Loan Payments (P &amp; I)</v>
      </c>
      <c r="B143" s="55"/>
      <c r="C143" s="55"/>
      <c r="D143" s="278">
        <f>'Budget with Assumptions'!J143</f>
        <v>0</v>
      </c>
      <c r="E143" s="649"/>
      <c r="F143" s="278">
        <f>'Budget with Assumptions'!L143</f>
        <v>0</v>
      </c>
      <c r="G143" s="649"/>
      <c r="H143" s="278">
        <f>'Budget with Assumptions'!N143</f>
        <v>0</v>
      </c>
      <c r="I143" s="649"/>
      <c r="J143" s="278">
        <f>'Budget with Assumptions'!P143</f>
        <v>0</v>
      </c>
      <c r="K143" s="650"/>
      <c r="L143" s="278">
        <f>'Budget with Assumptions'!R143</f>
        <v>0</v>
      </c>
      <c r="M143" s="638"/>
      <c r="N143" s="278">
        <f>'Budget with Assumptions'!T143</f>
        <v>0</v>
      </c>
      <c r="O143"/>
      <c r="P143" s="664">
        <f>F143/$F$159</f>
        <v>0</v>
      </c>
      <c r="Q143" s="664">
        <f>H143/$H$159</f>
        <v>0</v>
      </c>
      <c r="R143" s="664">
        <f>J143/$J$159</f>
        <v>0</v>
      </c>
      <c r="S143" s="664">
        <f>L143/$L$159</f>
        <v>0</v>
      </c>
      <c r="T143" s="664">
        <f>N143/$N$159</f>
        <v>0</v>
      </c>
      <c r="U143"/>
      <c r="V143" s="673">
        <f>F143/$F$178</f>
        <v>0</v>
      </c>
      <c r="W143" s="673">
        <f>H143/$H$178</f>
        <v>0</v>
      </c>
      <c r="X143" s="673">
        <f>J143/$J$178</f>
        <v>0</v>
      </c>
      <c r="Y143" s="673">
        <f>L143/$L$178</f>
        <v>0</v>
      </c>
      <c r="Z143" s="673">
        <f>N143/$N$178</f>
        <v>0</v>
      </c>
    </row>
    <row r="144" spans="1:26" ht="15.75">
      <c r="A144" s="517" t="str">
        <f>'Budget with Assumptions'!A144</f>
        <v>Fundraising Expense</v>
      </c>
      <c r="B144" s="42"/>
      <c r="C144" s="42"/>
      <c r="D144" s="278">
        <f>'Budget with Assumptions'!J144</f>
        <v>0</v>
      </c>
      <c r="E144" s="649"/>
      <c r="F144" s="278">
        <f>'Budget with Assumptions'!L144</f>
        <v>0</v>
      </c>
      <c r="G144" s="649"/>
      <c r="H144" s="278">
        <f>'Budget with Assumptions'!N144</f>
        <v>0</v>
      </c>
      <c r="I144" s="649"/>
      <c r="J144" s="278">
        <f>'Budget with Assumptions'!P144</f>
        <v>0</v>
      </c>
      <c r="K144" s="650"/>
      <c r="L144" s="278">
        <f>'Budget with Assumptions'!R144</f>
        <v>0</v>
      </c>
      <c r="M144" s="638"/>
      <c r="N144" s="278">
        <f>'Budget with Assumptions'!T144</f>
        <v>0</v>
      </c>
      <c r="O144"/>
      <c r="P144" s="664">
        <f aca="true" t="shared" si="45" ref="P144:P155">F144/$F$159</f>
        <v>0</v>
      </c>
      <c r="Q144" s="664">
        <f aca="true" t="shared" si="46" ref="Q144:Q155">H144/$H$159</f>
        <v>0</v>
      </c>
      <c r="R144" s="664">
        <f aca="true" t="shared" si="47" ref="R144:R155">J144/$J$159</f>
        <v>0</v>
      </c>
      <c r="S144" s="664">
        <f aca="true" t="shared" si="48" ref="S144:S155">L144/$L$159</f>
        <v>0</v>
      </c>
      <c r="T144" s="664">
        <f aca="true" t="shared" si="49" ref="T144:T155">N144/$N$159</f>
        <v>0</v>
      </c>
      <c r="U144"/>
      <c r="V144" s="673">
        <f aca="true" t="shared" si="50" ref="V144:V155">F144/$F$178</f>
        <v>0</v>
      </c>
      <c r="W144" s="673">
        <f aca="true" t="shared" si="51" ref="W144:W155">H144/$H$178</f>
        <v>0</v>
      </c>
      <c r="X144" s="673">
        <f aca="true" t="shared" si="52" ref="X144:X155">J144/$J$178</f>
        <v>0</v>
      </c>
      <c r="Y144" s="673">
        <f aca="true" t="shared" si="53" ref="Y144:Y155">L144/$L$178</f>
        <v>0</v>
      </c>
      <c r="Z144" s="673">
        <f aca="true" t="shared" si="54" ref="Z144:Z155">N144/$N$178</f>
        <v>0</v>
      </c>
    </row>
    <row r="145" spans="1:26" ht="15.75">
      <c r="A145" s="517" t="str">
        <f>'Budget with Assumptions'!A145</f>
        <v>Contingency</v>
      </c>
      <c r="B145" s="42"/>
      <c r="C145" s="42"/>
      <c r="D145" s="278">
        <f>'Budget with Assumptions'!J145</f>
        <v>0</v>
      </c>
      <c r="E145" s="649"/>
      <c r="F145" s="278">
        <f>'Budget with Assumptions'!L145</f>
        <v>0</v>
      </c>
      <c r="G145" s="649"/>
      <c r="H145" s="278">
        <f>'Budget with Assumptions'!N145</f>
        <v>0</v>
      </c>
      <c r="I145" s="649"/>
      <c r="J145" s="278">
        <f>'Budget with Assumptions'!P145</f>
        <v>0</v>
      </c>
      <c r="K145" s="650"/>
      <c r="L145" s="278">
        <f>'Budget with Assumptions'!R145</f>
        <v>0</v>
      </c>
      <c r="M145" s="638"/>
      <c r="N145" s="278">
        <f>'Budget with Assumptions'!T145</f>
        <v>0</v>
      </c>
      <c r="P145" s="664">
        <f t="shared" si="45"/>
        <v>0</v>
      </c>
      <c r="Q145" s="664">
        <f t="shared" si="46"/>
        <v>0</v>
      </c>
      <c r="R145" s="664">
        <f t="shared" si="47"/>
        <v>0</v>
      </c>
      <c r="S145" s="664">
        <f t="shared" si="48"/>
        <v>0</v>
      </c>
      <c r="T145" s="664">
        <f t="shared" si="49"/>
        <v>0</v>
      </c>
      <c r="U145"/>
      <c r="V145" s="673">
        <f t="shared" si="50"/>
        <v>0</v>
      </c>
      <c r="W145" s="673">
        <f t="shared" si="51"/>
        <v>0</v>
      </c>
      <c r="X145" s="673">
        <f t="shared" si="52"/>
        <v>0</v>
      </c>
      <c r="Y145" s="673">
        <f t="shared" si="53"/>
        <v>0</v>
      </c>
      <c r="Z145" s="673">
        <f t="shared" si="54"/>
        <v>0</v>
      </c>
    </row>
    <row r="146" spans="1:26" ht="15.75">
      <c r="A146" s="517" t="str">
        <f>'Budget with Assumptions'!A146</f>
        <v>Liability Insurance</v>
      </c>
      <c r="B146" s="42"/>
      <c r="C146" s="42"/>
      <c r="D146" s="278">
        <f>'Budget with Assumptions'!J146</f>
        <v>0</v>
      </c>
      <c r="E146" s="649"/>
      <c r="F146" s="278">
        <f>'Budget with Assumptions'!L146</f>
        <v>20000</v>
      </c>
      <c r="G146" s="649"/>
      <c r="H146" s="278">
        <f>'Budget with Assumptions'!N146</f>
        <v>20000</v>
      </c>
      <c r="I146" s="649"/>
      <c r="J146" s="278">
        <f>'Budget with Assumptions'!P146</f>
        <v>20000</v>
      </c>
      <c r="K146" s="650"/>
      <c r="L146" s="278">
        <f>'Budget with Assumptions'!R146</f>
        <v>20000</v>
      </c>
      <c r="M146" s="638"/>
      <c r="N146" s="278">
        <f>'Budget with Assumptions'!T146</f>
        <v>20000</v>
      </c>
      <c r="P146" s="664">
        <f t="shared" si="45"/>
        <v>0.0069767223156445455</v>
      </c>
      <c r="Q146" s="664">
        <f t="shared" si="46"/>
        <v>0.005675933998687946</v>
      </c>
      <c r="R146" s="664">
        <f t="shared" si="47"/>
        <v>0.004926685088144702</v>
      </c>
      <c r="S146" s="664">
        <f t="shared" si="48"/>
        <v>0.004412867920533602</v>
      </c>
      <c r="T146" s="664">
        <f t="shared" si="49"/>
        <v>0.004350535514568651</v>
      </c>
      <c r="U146"/>
      <c r="V146" s="673">
        <f t="shared" si="50"/>
        <v>89.28571428571429</v>
      </c>
      <c r="W146" s="673">
        <f t="shared" si="51"/>
        <v>64.1025641025641</v>
      </c>
      <c r="X146" s="673">
        <f t="shared" si="52"/>
        <v>49.504950495049506</v>
      </c>
      <c r="Y146" s="673">
        <f t="shared" si="53"/>
        <v>39.682539682539684</v>
      </c>
      <c r="Z146" s="673">
        <f t="shared" si="54"/>
        <v>39.682539682539684</v>
      </c>
    </row>
    <row r="147" spans="1:26" ht="15.75" customHeight="1" hidden="1">
      <c r="A147" s="517" t="str">
        <f>'Budget with Assumptions'!A147</f>
        <v>Replacement Reserve</v>
      </c>
      <c r="B147" s="42"/>
      <c r="C147" s="42"/>
      <c r="D147" s="278">
        <f>'Budget with Assumptions'!J147</f>
        <v>0</v>
      </c>
      <c r="E147" s="649"/>
      <c r="F147" s="278">
        <f>'Budget with Assumptions'!L147</f>
        <v>0</v>
      </c>
      <c r="G147" s="649"/>
      <c r="H147" s="278">
        <f>'Budget with Assumptions'!N147</f>
        <v>0</v>
      </c>
      <c r="I147" s="649"/>
      <c r="J147" s="278">
        <f>'Budget with Assumptions'!P147</f>
        <v>0</v>
      </c>
      <c r="K147" s="650"/>
      <c r="L147" s="278">
        <f>'Budget with Assumptions'!R147</f>
        <v>0</v>
      </c>
      <c r="M147" s="638"/>
      <c r="N147" s="278">
        <f>'Budget with Assumptions'!T147</f>
        <v>0</v>
      </c>
      <c r="P147" s="664">
        <f t="shared" si="45"/>
        <v>0</v>
      </c>
      <c r="Q147" s="664">
        <f t="shared" si="46"/>
        <v>0</v>
      </c>
      <c r="R147" s="664">
        <f t="shared" si="47"/>
        <v>0</v>
      </c>
      <c r="S147" s="664">
        <f t="shared" si="48"/>
        <v>0</v>
      </c>
      <c r="T147" s="664">
        <f t="shared" si="49"/>
        <v>0</v>
      </c>
      <c r="U147"/>
      <c r="V147" s="673">
        <f t="shared" si="50"/>
        <v>0</v>
      </c>
      <c r="W147" s="673">
        <f t="shared" si="51"/>
        <v>0</v>
      </c>
      <c r="X147" s="673">
        <f t="shared" si="52"/>
        <v>0</v>
      </c>
      <c r="Y147" s="673">
        <f t="shared" si="53"/>
        <v>0</v>
      </c>
      <c r="Z147" s="673">
        <f t="shared" si="54"/>
        <v>0</v>
      </c>
    </row>
    <row r="148" spans="1:26" ht="15.75">
      <c r="A148" s="517" t="str">
        <f>'Budget with Assumptions'!A148</f>
        <v>Directors and Officers' Insurance</v>
      </c>
      <c r="B148" s="42"/>
      <c r="C148" s="42"/>
      <c r="D148" s="278">
        <f>'Budget with Assumptions'!J148</f>
        <v>4000</v>
      </c>
      <c r="E148" s="649"/>
      <c r="F148" s="278">
        <f>'Budget with Assumptions'!L148</f>
        <v>4000</v>
      </c>
      <c r="G148" s="649"/>
      <c r="H148" s="278">
        <f>'Budget with Assumptions'!N148</f>
        <v>4000</v>
      </c>
      <c r="I148" s="649"/>
      <c r="J148" s="278">
        <f>'Budget with Assumptions'!P148</f>
        <v>4000</v>
      </c>
      <c r="K148" s="650"/>
      <c r="L148" s="278">
        <f>'Budget with Assumptions'!R148</f>
        <v>4000</v>
      </c>
      <c r="M148" s="638"/>
      <c r="N148" s="278">
        <f>'Budget with Assumptions'!T148</f>
        <v>4000</v>
      </c>
      <c r="P148" s="664">
        <f t="shared" si="45"/>
        <v>0.001395344463128909</v>
      </c>
      <c r="Q148" s="664">
        <f t="shared" si="46"/>
        <v>0.0011351867997375891</v>
      </c>
      <c r="R148" s="664">
        <f t="shared" si="47"/>
        <v>0.0009853370176289404</v>
      </c>
      <c r="S148" s="664">
        <f t="shared" si="48"/>
        <v>0.0008825735841067202</v>
      </c>
      <c r="T148" s="664">
        <f t="shared" si="49"/>
        <v>0.00087010710291373</v>
      </c>
      <c r="U148"/>
      <c r="V148" s="673">
        <f t="shared" si="50"/>
        <v>17.857142857142858</v>
      </c>
      <c r="W148" s="673">
        <f t="shared" si="51"/>
        <v>12.820512820512821</v>
      </c>
      <c r="X148" s="673">
        <f t="shared" si="52"/>
        <v>9.900990099009901</v>
      </c>
      <c r="Y148" s="673">
        <f t="shared" si="53"/>
        <v>7.936507936507937</v>
      </c>
      <c r="Z148" s="673">
        <f t="shared" si="54"/>
        <v>7.936507936507937</v>
      </c>
    </row>
    <row r="149" spans="1:26" ht="15.75">
      <c r="A149" s="517" t="str">
        <f>'Budget with Assumptions'!A149</f>
        <v>Automobile Insurance</v>
      </c>
      <c r="B149" s="42"/>
      <c r="C149" s="42"/>
      <c r="D149" s="278">
        <f>'Budget with Assumptions'!J149</f>
        <v>0</v>
      </c>
      <c r="E149" s="649"/>
      <c r="F149" s="278">
        <f>'Budget with Assumptions'!L149</f>
        <v>0</v>
      </c>
      <c r="G149" s="649"/>
      <c r="H149" s="278">
        <f>'Budget with Assumptions'!N149</f>
        <v>0</v>
      </c>
      <c r="I149" s="649"/>
      <c r="J149" s="278">
        <f>'Budget with Assumptions'!P149</f>
        <v>0</v>
      </c>
      <c r="K149" s="650"/>
      <c r="L149" s="278">
        <f>'Budget with Assumptions'!R149</f>
        <v>0</v>
      </c>
      <c r="M149" s="638"/>
      <c r="N149" s="278">
        <f>'Budget with Assumptions'!T149</f>
        <v>0</v>
      </c>
      <c r="P149" s="664">
        <f t="shared" si="45"/>
        <v>0</v>
      </c>
      <c r="Q149" s="664">
        <f t="shared" si="46"/>
        <v>0</v>
      </c>
      <c r="R149" s="664">
        <f t="shared" si="47"/>
        <v>0</v>
      </c>
      <c r="S149" s="664">
        <f t="shared" si="48"/>
        <v>0</v>
      </c>
      <c r="T149" s="664">
        <f t="shared" si="49"/>
        <v>0</v>
      </c>
      <c r="U149"/>
      <c r="V149" s="673">
        <f t="shared" si="50"/>
        <v>0</v>
      </c>
      <c r="W149" s="673">
        <f t="shared" si="51"/>
        <v>0</v>
      </c>
      <c r="X149" s="673">
        <f t="shared" si="52"/>
        <v>0</v>
      </c>
      <c r="Y149" s="673">
        <f t="shared" si="53"/>
        <v>0</v>
      </c>
      <c r="Z149" s="673">
        <f t="shared" si="54"/>
        <v>0</v>
      </c>
    </row>
    <row r="150" spans="1:26" ht="15.75">
      <c r="A150" s="517" t="str">
        <f>'Budget with Assumptions'!A150</f>
        <v>Indemnity Insurance</v>
      </c>
      <c r="B150" s="42"/>
      <c r="C150" s="42"/>
      <c r="D150" s="278">
        <f>'Budget with Assumptions'!J150</f>
        <v>0</v>
      </c>
      <c r="E150" s="649"/>
      <c r="F150" s="278">
        <f>'Budget with Assumptions'!L150</f>
        <v>0</v>
      </c>
      <c r="G150" s="649"/>
      <c r="H150" s="278">
        <f>'Budget with Assumptions'!N150</f>
        <v>0</v>
      </c>
      <c r="I150" s="649"/>
      <c r="J150" s="278">
        <f>'Budget with Assumptions'!P150</f>
        <v>0</v>
      </c>
      <c r="K150" s="650"/>
      <c r="L150" s="278">
        <f>'Budget with Assumptions'!R150</f>
        <v>0</v>
      </c>
      <c r="M150" s="638"/>
      <c r="N150" s="278">
        <f>'Budget with Assumptions'!T150</f>
        <v>0</v>
      </c>
      <c r="P150" s="664">
        <f t="shared" si="45"/>
        <v>0</v>
      </c>
      <c r="Q150" s="664">
        <f t="shared" si="46"/>
        <v>0</v>
      </c>
      <c r="R150" s="664">
        <f t="shared" si="47"/>
        <v>0</v>
      </c>
      <c r="S150" s="664">
        <f t="shared" si="48"/>
        <v>0</v>
      </c>
      <c r="T150" s="664">
        <f t="shared" si="49"/>
        <v>0</v>
      </c>
      <c r="U150"/>
      <c r="V150" s="673">
        <f t="shared" si="50"/>
        <v>0</v>
      </c>
      <c r="W150" s="673">
        <f t="shared" si="51"/>
        <v>0</v>
      </c>
      <c r="X150" s="673">
        <f t="shared" si="52"/>
        <v>0</v>
      </c>
      <c r="Y150" s="673">
        <f t="shared" si="53"/>
        <v>0</v>
      </c>
      <c r="Z150" s="673">
        <f t="shared" si="54"/>
        <v>0</v>
      </c>
    </row>
    <row r="151" spans="1:26" ht="15.75">
      <c r="A151" s="517" t="str">
        <f>'Budget with Assumptions'!A151</f>
        <v>Other Insurance</v>
      </c>
      <c r="B151" s="42"/>
      <c r="C151" s="42"/>
      <c r="D151" s="278">
        <f>'Budget with Assumptions'!J151</f>
        <v>0</v>
      </c>
      <c r="E151" s="649"/>
      <c r="F151" s="278">
        <f>'Budget with Assumptions'!L151</f>
        <v>0</v>
      </c>
      <c r="G151" s="649"/>
      <c r="H151" s="278">
        <f>'Budget with Assumptions'!N151</f>
        <v>0</v>
      </c>
      <c r="I151" s="649"/>
      <c r="J151" s="278">
        <f>'Budget with Assumptions'!P151</f>
        <v>0</v>
      </c>
      <c r="K151" s="650"/>
      <c r="L151" s="278">
        <f>'Budget with Assumptions'!R151</f>
        <v>0</v>
      </c>
      <c r="M151" s="638"/>
      <c r="N151" s="278">
        <f>'Budget with Assumptions'!T151</f>
        <v>0</v>
      </c>
      <c r="P151" s="664">
        <f t="shared" si="45"/>
        <v>0</v>
      </c>
      <c r="Q151" s="664">
        <f t="shared" si="46"/>
        <v>0</v>
      </c>
      <c r="R151" s="664">
        <f t="shared" si="47"/>
        <v>0</v>
      </c>
      <c r="S151" s="664">
        <f t="shared" si="48"/>
        <v>0</v>
      </c>
      <c r="T151" s="664">
        <f t="shared" si="49"/>
        <v>0</v>
      </c>
      <c r="U151"/>
      <c r="V151" s="673">
        <f t="shared" si="50"/>
        <v>0</v>
      </c>
      <c r="W151" s="673">
        <f t="shared" si="51"/>
        <v>0</v>
      </c>
      <c r="X151" s="673">
        <f t="shared" si="52"/>
        <v>0</v>
      </c>
      <c r="Y151" s="673">
        <f t="shared" si="53"/>
        <v>0</v>
      </c>
      <c r="Z151" s="673">
        <f t="shared" si="54"/>
        <v>0</v>
      </c>
    </row>
    <row r="152" spans="1:26" ht="15.75">
      <c r="A152" s="517">
        <f>'Budget with Assumptions'!A152</f>
        <v>0</v>
      </c>
      <c r="B152" s="42"/>
      <c r="C152" s="42"/>
      <c r="D152" s="278">
        <f>'Budget with Assumptions'!J152</f>
        <v>0</v>
      </c>
      <c r="E152" s="649"/>
      <c r="F152" s="278">
        <f>'Budget with Assumptions'!L152</f>
        <v>0</v>
      </c>
      <c r="G152" s="649"/>
      <c r="H152" s="278">
        <f>'Budget with Assumptions'!N152</f>
        <v>0</v>
      </c>
      <c r="I152" s="649"/>
      <c r="J152" s="278">
        <f>'Budget with Assumptions'!P152</f>
        <v>0</v>
      </c>
      <c r="K152" s="650"/>
      <c r="L152" s="278">
        <f>'Budget with Assumptions'!R152</f>
        <v>0</v>
      </c>
      <c r="M152" s="638"/>
      <c r="N152" s="278">
        <f>'Budget with Assumptions'!T152</f>
        <v>0</v>
      </c>
      <c r="P152" s="664">
        <f t="shared" si="45"/>
        <v>0</v>
      </c>
      <c r="Q152" s="664">
        <f t="shared" si="46"/>
        <v>0</v>
      </c>
      <c r="R152" s="664">
        <f t="shared" si="47"/>
        <v>0</v>
      </c>
      <c r="S152" s="664">
        <f t="shared" si="48"/>
        <v>0</v>
      </c>
      <c r="T152" s="664">
        <f t="shared" si="49"/>
        <v>0</v>
      </c>
      <c r="U152"/>
      <c r="V152" s="673">
        <f>F152/$F$178</f>
        <v>0</v>
      </c>
      <c r="W152" s="673">
        <f>H152/$H$178</f>
        <v>0</v>
      </c>
      <c r="X152" s="673">
        <f>J152/$J$178</f>
        <v>0</v>
      </c>
      <c r="Y152" s="673">
        <f>L152/$L$178</f>
        <v>0</v>
      </c>
      <c r="Z152" s="673">
        <f>N152/$N$178</f>
        <v>0</v>
      </c>
    </row>
    <row r="153" spans="1:26" ht="15.75">
      <c r="A153" s="517">
        <f>'Budget with Assumptions'!A153</f>
        <v>0</v>
      </c>
      <c r="B153" s="42"/>
      <c r="C153" s="42"/>
      <c r="D153" s="278">
        <f>'Budget with Assumptions'!J153</f>
        <v>0</v>
      </c>
      <c r="E153" s="649"/>
      <c r="F153" s="278">
        <f>'Budget with Assumptions'!L153</f>
        <v>0</v>
      </c>
      <c r="G153" s="649"/>
      <c r="H153" s="278">
        <f>'Budget with Assumptions'!N153</f>
        <v>0</v>
      </c>
      <c r="I153" s="649"/>
      <c r="J153" s="278">
        <f>'Budget with Assumptions'!P153</f>
        <v>0</v>
      </c>
      <c r="K153" s="650"/>
      <c r="L153" s="278">
        <f>'Budget with Assumptions'!R153</f>
        <v>0</v>
      </c>
      <c r="M153" s="638"/>
      <c r="N153" s="278">
        <f>'Budget with Assumptions'!T153</f>
        <v>0</v>
      </c>
      <c r="P153" s="664">
        <f t="shared" si="45"/>
        <v>0</v>
      </c>
      <c r="Q153" s="664">
        <f t="shared" si="46"/>
        <v>0</v>
      </c>
      <c r="R153" s="664">
        <f t="shared" si="47"/>
        <v>0</v>
      </c>
      <c r="S153" s="664">
        <f t="shared" si="48"/>
        <v>0</v>
      </c>
      <c r="T153" s="664">
        <f t="shared" si="49"/>
        <v>0</v>
      </c>
      <c r="U153"/>
      <c r="V153" s="673">
        <f>F153/$F$178</f>
        <v>0</v>
      </c>
      <c r="W153" s="673">
        <f>H153/$H$178</f>
        <v>0</v>
      </c>
      <c r="X153" s="673">
        <f>J153/$J$178</f>
        <v>0</v>
      </c>
      <c r="Y153" s="673">
        <f>L153/$L$178</f>
        <v>0</v>
      </c>
      <c r="Z153" s="673">
        <f>N153/$N$178</f>
        <v>0</v>
      </c>
    </row>
    <row r="154" spans="1:26" ht="15.75">
      <c r="A154" s="517">
        <f>'Budget with Assumptions'!A154</f>
        <v>0</v>
      </c>
      <c r="B154" s="46"/>
      <c r="C154" s="46"/>
      <c r="D154" s="278">
        <f>'Budget with Assumptions'!J154</f>
        <v>0</v>
      </c>
      <c r="E154" s="649"/>
      <c r="F154" s="278">
        <f>'Budget with Assumptions'!L154</f>
        <v>0</v>
      </c>
      <c r="G154" s="649"/>
      <c r="H154" s="278">
        <f>'Budget with Assumptions'!N154</f>
        <v>0</v>
      </c>
      <c r="I154" s="649"/>
      <c r="J154" s="278">
        <f>'Budget with Assumptions'!P154</f>
        <v>0</v>
      </c>
      <c r="K154" s="650"/>
      <c r="L154" s="278">
        <f>'Budget with Assumptions'!R154</f>
        <v>0</v>
      </c>
      <c r="M154" s="638"/>
      <c r="N154" s="278">
        <f>'Budget with Assumptions'!T154</f>
        <v>0</v>
      </c>
      <c r="P154" s="664">
        <f t="shared" si="45"/>
        <v>0</v>
      </c>
      <c r="Q154" s="664">
        <f t="shared" si="46"/>
        <v>0</v>
      </c>
      <c r="R154" s="664">
        <f t="shared" si="47"/>
        <v>0</v>
      </c>
      <c r="S154" s="664">
        <f t="shared" si="48"/>
        <v>0</v>
      </c>
      <c r="T154" s="664">
        <f t="shared" si="49"/>
        <v>0</v>
      </c>
      <c r="U154"/>
      <c r="V154" s="673">
        <f t="shared" si="50"/>
        <v>0</v>
      </c>
      <c r="W154" s="673">
        <f t="shared" si="51"/>
        <v>0</v>
      </c>
      <c r="X154" s="673">
        <f t="shared" si="52"/>
        <v>0</v>
      </c>
      <c r="Y154" s="673">
        <f t="shared" si="53"/>
        <v>0</v>
      </c>
      <c r="Z154" s="673">
        <f t="shared" si="54"/>
        <v>0</v>
      </c>
    </row>
    <row r="155" spans="1:26" ht="15.75">
      <c r="A155" s="517">
        <f>'Budget with Assumptions'!A155</f>
        <v>0</v>
      </c>
      <c r="B155" s="46"/>
      <c r="C155" s="46"/>
      <c r="D155" s="278">
        <f>'Budget with Assumptions'!J155</f>
        <v>0</v>
      </c>
      <c r="E155" s="649"/>
      <c r="F155" s="278">
        <f>'Budget with Assumptions'!L155</f>
        <v>0</v>
      </c>
      <c r="G155" s="649"/>
      <c r="H155" s="278">
        <f>'Budget with Assumptions'!N155</f>
        <v>0</v>
      </c>
      <c r="I155" s="649"/>
      <c r="J155" s="278">
        <f>'Budget with Assumptions'!P155</f>
        <v>0</v>
      </c>
      <c r="K155" s="650"/>
      <c r="L155" s="278">
        <f>'Budget with Assumptions'!R155</f>
        <v>0</v>
      </c>
      <c r="M155" s="638"/>
      <c r="N155" s="278">
        <f>'Budget with Assumptions'!T155</f>
        <v>0</v>
      </c>
      <c r="P155" s="664">
        <f t="shared" si="45"/>
        <v>0</v>
      </c>
      <c r="Q155" s="664">
        <f t="shared" si="46"/>
        <v>0</v>
      </c>
      <c r="R155" s="664">
        <f t="shared" si="47"/>
        <v>0</v>
      </c>
      <c r="S155" s="664">
        <f t="shared" si="48"/>
        <v>0</v>
      </c>
      <c r="T155" s="664">
        <f t="shared" si="49"/>
        <v>0</v>
      </c>
      <c r="U155"/>
      <c r="V155" s="673">
        <f t="shared" si="50"/>
        <v>0</v>
      </c>
      <c r="W155" s="673">
        <f t="shared" si="51"/>
        <v>0</v>
      </c>
      <c r="X155" s="673">
        <f t="shared" si="52"/>
        <v>0</v>
      </c>
      <c r="Y155" s="673">
        <f t="shared" si="53"/>
        <v>0</v>
      </c>
      <c r="Z155" s="673">
        <f t="shared" si="54"/>
        <v>0</v>
      </c>
    </row>
    <row r="156" spans="1:26" ht="16.5" thickBot="1">
      <c r="A156" s="40"/>
      <c r="B156" s="46"/>
      <c r="C156" s="46"/>
      <c r="D156" s="656"/>
      <c r="E156" s="649"/>
      <c r="F156" s="656"/>
      <c r="G156" s="649"/>
      <c r="H156" s="656"/>
      <c r="I156" s="649"/>
      <c r="J156" s="656"/>
      <c r="K156" s="650"/>
      <c r="L156" s="630"/>
      <c r="M156" s="638"/>
      <c r="N156" s="630"/>
      <c r="P156" s="665"/>
      <c r="Q156" s="665"/>
      <c r="R156" s="665"/>
      <c r="S156" s="665"/>
      <c r="T156" s="665"/>
      <c r="U156"/>
      <c r="V156" s="547"/>
      <c r="W156" s="547"/>
      <c r="X156" s="547"/>
      <c r="Y156" s="547"/>
      <c r="Z156" s="547"/>
    </row>
    <row r="157" spans="1:26" ht="16.5" thickBot="1">
      <c r="A157" s="202" t="s">
        <v>16</v>
      </c>
      <c r="B157" s="42"/>
      <c r="C157" s="42"/>
      <c r="D157" s="369">
        <f>SUM(D143:D155)</f>
        <v>4000</v>
      </c>
      <c r="E157" s="274"/>
      <c r="F157" s="369">
        <f>SUM(F143:F155)</f>
        <v>24000</v>
      </c>
      <c r="G157" s="274"/>
      <c r="H157" s="369">
        <f>SUM(H143:H155)</f>
        <v>24000</v>
      </c>
      <c r="I157" s="274"/>
      <c r="J157" s="369">
        <f>SUM(J143:J155)</f>
        <v>24000</v>
      </c>
      <c r="K157" s="275"/>
      <c r="L157" s="369">
        <f>SUM(L143:L155)</f>
        <v>24000</v>
      </c>
      <c r="M157" s="623"/>
      <c r="N157" s="369">
        <f>SUM(N143:N155)</f>
        <v>24000</v>
      </c>
      <c r="O157" s="99"/>
      <c r="P157" s="511">
        <f>SUM(P143:P155)</f>
        <v>0.008372066778773455</v>
      </c>
      <c r="Q157" s="511">
        <f>SUM(Q143:Q155)</f>
        <v>0.006811120798425535</v>
      </c>
      <c r="R157" s="511">
        <f>SUM(R143:R155)</f>
        <v>0.005912022105773642</v>
      </c>
      <c r="S157" s="511">
        <f>SUM(S143:S155)</f>
        <v>0.005295441504640322</v>
      </c>
      <c r="T157" s="511">
        <f>SUM(T143:T155)</f>
        <v>0.0052206426174823805</v>
      </c>
      <c r="U157"/>
      <c r="V157" s="513">
        <f>SUM(V143:V155)</f>
        <v>107.14285714285715</v>
      </c>
      <c r="W157" s="513">
        <f>SUM(W143:W155)</f>
        <v>76.92307692307692</v>
      </c>
      <c r="X157" s="513">
        <f>SUM(X143:X155)</f>
        <v>59.40594059405941</v>
      </c>
      <c r="Y157" s="513">
        <f>SUM(Y143:Y155)</f>
        <v>47.61904761904762</v>
      </c>
      <c r="Z157" s="513">
        <f>SUM(Z143:Z155)</f>
        <v>47.61904761904762</v>
      </c>
    </row>
    <row r="158" spans="1:26" ht="16.5" thickBot="1">
      <c r="A158" s="61"/>
      <c r="B158" s="38"/>
      <c r="C158" s="38"/>
      <c r="D158" s="547"/>
      <c r="E158" s="547"/>
      <c r="F158" s="547"/>
      <c r="G158" s="547"/>
      <c r="H158" s="547"/>
      <c r="I158" s="547"/>
      <c r="J158" s="547"/>
      <c r="K158" s="624"/>
      <c r="L158" s="547"/>
      <c r="M158" s="624"/>
      <c r="N158" s="547"/>
      <c r="P158" s="665"/>
      <c r="Q158" s="665"/>
      <c r="R158" s="665"/>
      <c r="S158" s="665"/>
      <c r="T158" s="665"/>
      <c r="V158" s="547"/>
      <c r="W158" s="547"/>
      <c r="X158" s="547"/>
      <c r="Y158" s="547"/>
      <c r="Z158" s="547"/>
    </row>
    <row r="159" spans="1:26" ht="16.5" thickBot="1">
      <c r="A159" s="205" t="s">
        <v>17</v>
      </c>
      <c r="B159" s="62"/>
      <c r="C159" s="62"/>
      <c r="D159" s="369">
        <f>D64+D92+D116+D138+D140+D157</f>
        <v>227607.5625</v>
      </c>
      <c r="E159" s="625"/>
      <c r="F159" s="369">
        <f>F64+F92+F116+F138+F140+F157</f>
        <v>2866675.653</v>
      </c>
      <c r="G159" s="625"/>
      <c r="H159" s="369">
        <f>H64+H92+H116+H138+H140+H157</f>
        <v>3523649.1482500006</v>
      </c>
      <c r="I159" s="625"/>
      <c r="J159" s="369">
        <f>J64+J92+J116+J138+J140+J157</f>
        <v>4059524.739692999</v>
      </c>
      <c r="K159" s="626"/>
      <c r="L159" s="369">
        <f>L64+L92+L116+L138+L140+L157</f>
        <v>4532200.002392461</v>
      </c>
      <c r="M159" s="627"/>
      <c r="N159" s="369">
        <f>N64+N92+N116+N138+N140+N157</f>
        <v>4597135.210832309</v>
      </c>
      <c r="P159" s="669">
        <f>P64+P92+P116+P138+P140+P157</f>
        <v>1.0000000000000002</v>
      </c>
      <c r="Q159" s="669">
        <f>Q64+Q92+Q116+Q138+Q140+Q157</f>
        <v>0.9999999999999999</v>
      </c>
      <c r="R159" s="669">
        <f>R64+R92+R116+R138+R140+R157</f>
        <v>1.0000000000000002</v>
      </c>
      <c r="S159" s="669">
        <f>S64+S92+S116+S138+S140+S157</f>
        <v>1</v>
      </c>
      <c r="T159" s="669">
        <f>T64+T92+T116+T138+T140+T157</f>
        <v>1</v>
      </c>
      <c r="U159"/>
      <c r="V159" s="674">
        <f>V64+V92+V116+V138+V140+V157</f>
        <v>12797.659165178571</v>
      </c>
      <c r="W159" s="674">
        <f>W64+W92+W116+W138+W140+W157</f>
        <v>11293.74727003205</v>
      </c>
      <c r="X159" s="674">
        <f>X64+X92+X116+X138+X140+X157</f>
        <v>10048.328563596533</v>
      </c>
      <c r="Y159" s="674">
        <f>Y64+Y92+Y116+Y138+Y140+Y157</f>
        <v>8992.460322207264</v>
      </c>
      <c r="Z159" s="674">
        <f>Z64+Z92+Z116+Z138+Z140+Z157</f>
        <v>9121.300021492678</v>
      </c>
    </row>
    <row r="160" spans="1:14" ht="16.5" thickBot="1">
      <c r="A160" s="200"/>
      <c r="B160" s="64"/>
      <c r="C160" s="64"/>
      <c r="D160" s="547"/>
      <c r="E160" s="547"/>
      <c r="F160" s="547"/>
      <c r="G160" s="547"/>
      <c r="H160" s="547"/>
      <c r="I160" s="547"/>
      <c r="J160" s="547"/>
      <c r="K160" s="624"/>
      <c r="L160" s="547"/>
      <c r="M160" s="624"/>
      <c r="N160" s="547"/>
    </row>
    <row r="161" spans="1:26" ht="16.5" thickBot="1">
      <c r="A161" s="288" t="s">
        <v>22</v>
      </c>
      <c r="B161" s="62"/>
      <c r="C161" s="62"/>
      <c r="D161" s="628">
        <f>D35-D159</f>
        <v>337392.4375</v>
      </c>
      <c r="E161" s="629"/>
      <c r="F161" s="628">
        <f>F35-F159</f>
        <v>58864.70699999994</v>
      </c>
      <c r="G161" s="629"/>
      <c r="H161" s="628">
        <f>H35-H159</f>
        <v>330971.0117499996</v>
      </c>
      <c r="I161" s="625"/>
      <c r="J161" s="628">
        <f>J35-J159</f>
        <v>455612.12030700035</v>
      </c>
      <c r="K161" s="626"/>
      <c r="L161" s="628">
        <f>L35-L159</f>
        <v>996982.0224075392</v>
      </c>
      <c r="M161" s="679"/>
      <c r="N161" s="628">
        <f>N35-N159</f>
        <v>1021410.5852636909</v>
      </c>
      <c r="P161" s="508"/>
      <c r="Q161" s="508"/>
      <c r="R161" s="508"/>
      <c r="S161" s="508"/>
      <c r="T161" s="508"/>
      <c r="U161"/>
      <c r="V161"/>
      <c r="W161"/>
      <c r="X161"/>
      <c r="Y161"/>
      <c r="Z161"/>
    </row>
    <row r="162" spans="1:26" ht="16.5" thickBot="1">
      <c r="A162" s="284"/>
      <c r="B162" s="287"/>
      <c r="C162" s="281"/>
      <c r="D162" s="630"/>
      <c r="E162" s="630"/>
      <c r="F162" s="630"/>
      <c r="G162" s="630"/>
      <c r="H162" s="630"/>
      <c r="I162" s="630"/>
      <c r="J162" s="630"/>
      <c r="K162" s="631"/>
      <c r="L162" s="630"/>
      <c r="M162" s="632"/>
      <c r="N162" s="630"/>
      <c r="P162" s="508"/>
      <c r="Q162" s="508"/>
      <c r="R162" s="508"/>
      <c r="S162" s="508"/>
      <c r="T162" s="508"/>
      <c r="U162"/>
      <c r="V162" s="512"/>
      <c r="W162" s="512"/>
      <c r="X162" s="512"/>
      <c r="Y162" s="512"/>
      <c r="Z162" s="512"/>
    </row>
    <row r="163" spans="1:26" ht="16.5" thickBot="1">
      <c r="A163" s="285" t="s">
        <v>168</v>
      </c>
      <c r="B163" s="56"/>
      <c r="C163" s="56"/>
      <c r="D163" s="367">
        <f>0</f>
        <v>0</v>
      </c>
      <c r="E163" s="630"/>
      <c r="F163" s="371">
        <f>D165</f>
        <v>337392.4375</v>
      </c>
      <c r="G163" s="633"/>
      <c r="H163" s="371">
        <f>F165</f>
        <v>396257.14449999994</v>
      </c>
      <c r="I163" s="633"/>
      <c r="J163" s="371">
        <f>H165</f>
        <v>727228.1562499995</v>
      </c>
      <c r="K163" s="634"/>
      <c r="L163" s="371">
        <f>J165</f>
        <v>1182840.276557</v>
      </c>
      <c r="M163" s="634"/>
      <c r="N163" s="371">
        <f>L165</f>
        <v>2179822.298964539</v>
      </c>
      <c r="P163" s="508"/>
      <c r="Q163" s="508"/>
      <c r="R163" s="508"/>
      <c r="S163" s="508"/>
      <c r="T163" s="508"/>
      <c r="U163"/>
      <c r="V163" s="512"/>
      <c r="W163" s="512"/>
      <c r="X163" s="512"/>
      <c r="Y163" s="512"/>
      <c r="Z163" s="512"/>
    </row>
    <row r="164" spans="1:26" ht="16.5" thickBot="1">
      <c r="A164" s="286" t="s">
        <v>169</v>
      </c>
      <c r="B164" s="56"/>
      <c r="C164" s="56"/>
      <c r="D164" s="371">
        <f>D161</f>
        <v>337392.4375</v>
      </c>
      <c r="E164" s="68"/>
      <c r="F164" s="371">
        <f>F161</f>
        <v>58864.70699999994</v>
      </c>
      <c r="G164" s="463"/>
      <c r="H164" s="371">
        <f>H161</f>
        <v>330971.0117499996</v>
      </c>
      <c r="I164" s="463"/>
      <c r="J164" s="371">
        <f>J161</f>
        <v>455612.12030700035</v>
      </c>
      <c r="K164" s="464"/>
      <c r="L164" s="371">
        <f>L161</f>
        <v>996982.0224075392</v>
      </c>
      <c r="M164" s="464"/>
      <c r="N164" s="371">
        <f>N161</f>
        <v>1021410.5852636909</v>
      </c>
      <c r="O164"/>
      <c r="P164" s="508"/>
      <c r="Q164" s="508"/>
      <c r="R164" s="508"/>
      <c r="S164" s="508"/>
      <c r="T164" s="508"/>
      <c r="U164"/>
      <c r="V164"/>
      <c r="W164"/>
      <c r="X164"/>
      <c r="Y164"/>
      <c r="Z164"/>
    </row>
    <row r="165" spans="1:26" ht="16.5" thickBot="1">
      <c r="A165" s="342" t="s">
        <v>170</v>
      </c>
      <c r="B165" s="67"/>
      <c r="C165" s="67"/>
      <c r="D165" s="371">
        <f>D163+D164</f>
        <v>337392.4375</v>
      </c>
      <c r="E165" s="67"/>
      <c r="F165" s="371">
        <f>F163+F164</f>
        <v>396257.14449999994</v>
      </c>
      <c r="G165" s="635"/>
      <c r="H165" s="371">
        <f>H163+H164</f>
        <v>727228.1562499995</v>
      </c>
      <c r="I165" s="635"/>
      <c r="J165" s="371">
        <f>J163+J164</f>
        <v>1182840.276557</v>
      </c>
      <c r="K165" s="636"/>
      <c r="L165" s="371">
        <f>L163+L164</f>
        <v>2179822.298964539</v>
      </c>
      <c r="M165" s="464"/>
      <c r="N165" s="371">
        <f>N163+N164</f>
        <v>3201232.88422823</v>
      </c>
      <c r="O165"/>
      <c r="P165" s="508"/>
      <c r="Q165" s="508"/>
      <c r="R165" s="508"/>
      <c r="S165" s="508"/>
      <c r="T165" s="508"/>
      <c r="U165"/>
      <c r="V165"/>
      <c r="W165"/>
      <c r="X165"/>
      <c r="Y165"/>
      <c r="Z165"/>
    </row>
    <row r="166" spans="1:26" ht="15.75">
      <c r="A166" s="35"/>
      <c r="B166" s="65"/>
      <c r="C166" s="65"/>
      <c r="D166" s="637"/>
      <c r="E166" s="66"/>
      <c r="F166" s="637"/>
      <c r="G166" s="66"/>
      <c r="H166" s="637"/>
      <c r="I166" s="66"/>
      <c r="J166" s="637"/>
      <c r="K166" s="623"/>
      <c r="L166" s="637"/>
      <c r="M166" s="638"/>
      <c r="N166" s="547"/>
      <c r="O166"/>
      <c r="P166" s="508"/>
      <c r="Q166" s="508"/>
      <c r="R166" s="508"/>
      <c r="S166" s="508"/>
      <c r="T166" s="508"/>
      <c r="U166"/>
      <c r="V166"/>
      <c r="W166"/>
      <c r="X166"/>
      <c r="Y166"/>
      <c r="Z166"/>
    </row>
    <row r="167" spans="1:26" ht="15.75">
      <c r="A167" s="35"/>
      <c r="B167" s="35"/>
      <c r="C167" s="35"/>
      <c r="D167" s="547"/>
      <c r="E167" s="547"/>
      <c r="F167" s="547"/>
      <c r="G167" s="547"/>
      <c r="H167" s="547"/>
      <c r="I167" s="547"/>
      <c r="J167" s="547"/>
      <c r="K167" s="624"/>
      <c r="L167" s="547"/>
      <c r="M167" s="624"/>
      <c r="N167" s="547"/>
      <c r="O167"/>
      <c r="P167" s="508"/>
      <c r="Q167" s="508"/>
      <c r="R167" s="508"/>
      <c r="S167" s="508"/>
      <c r="T167" s="508"/>
      <c r="U167"/>
      <c r="V167"/>
      <c r="W167"/>
      <c r="X167"/>
      <c r="Y167"/>
      <c r="Z167"/>
    </row>
    <row r="168" spans="1:26" ht="15.75">
      <c r="A168" s="35"/>
      <c r="B168" s="35"/>
      <c r="C168" s="35"/>
      <c r="D168" s="637"/>
      <c r="E168" s="66"/>
      <c r="F168" s="637"/>
      <c r="G168" s="66"/>
      <c r="H168" s="637"/>
      <c r="I168" s="66"/>
      <c r="J168" s="637"/>
      <c r="K168" s="623"/>
      <c r="L168" s="637"/>
      <c r="M168" s="638"/>
      <c r="N168" s="547"/>
      <c r="O168"/>
      <c r="P168" s="508"/>
      <c r="Q168" s="508"/>
      <c r="R168" s="508"/>
      <c r="S168" s="508"/>
      <c r="T168" s="508"/>
      <c r="U168"/>
      <c r="V168"/>
      <c r="W168"/>
      <c r="X168"/>
      <c r="Y168"/>
      <c r="Z168"/>
    </row>
    <row r="169" spans="2:26" ht="15.75">
      <c r="B169" s="35"/>
      <c r="C169" s="35"/>
      <c r="D169" s="637"/>
      <c r="E169" s="66"/>
      <c r="F169" s="637"/>
      <c r="G169" s="66"/>
      <c r="H169" s="637"/>
      <c r="I169" s="66"/>
      <c r="J169" s="637"/>
      <c r="K169" s="623"/>
      <c r="L169" s="637"/>
      <c r="M169" s="638"/>
      <c r="N169" s="547"/>
      <c r="O169"/>
      <c r="P169" s="508"/>
      <c r="Q169" s="508"/>
      <c r="R169" s="508"/>
      <c r="S169" s="508"/>
      <c r="T169" s="508"/>
      <c r="U169"/>
      <c r="V169"/>
      <c r="W169"/>
      <c r="X169"/>
      <c r="Y169"/>
      <c r="Z169"/>
    </row>
    <row r="170" spans="4:14" ht="12.75">
      <c r="D170" s="547"/>
      <c r="E170" s="547"/>
      <c r="F170" s="547"/>
      <c r="G170" s="547"/>
      <c r="H170" s="547"/>
      <c r="I170" s="547"/>
      <c r="J170" s="547"/>
      <c r="K170" s="624"/>
      <c r="L170" s="547"/>
      <c r="M170" s="624"/>
      <c r="N170" s="547"/>
    </row>
    <row r="171" spans="4:14" ht="12.75">
      <c r="D171" s="547"/>
      <c r="E171" s="547"/>
      <c r="F171" s="547"/>
      <c r="G171" s="547"/>
      <c r="H171" s="547"/>
      <c r="I171" s="547"/>
      <c r="J171" s="547"/>
      <c r="K171" s="624"/>
      <c r="L171" s="547"/>
      <c r="M171" s="624"/>
      <c r="N171" s="547"/>
    </row>
    <row r="172" spans="3:14" ht="12.75">
      <c r="C172" s="110"/>
      <c r="D172" s="547"/>
      <c r="E172" s="547"/>
      <c r="F172" s="547"/>
      <c r="G172" s="547"/>
      <c r="H172" s="547"/>
      <c r="I172" s="547"/>
      <c r="J172" s="547"/>
      <c r="K172" s="624"/>
      <c r="L172" s="547"/>
      <c r="M172" s="624"/>
      <c r="N172" s="547"/>
    </row>
    <row r="173" spans="3:14" ht="13.5" thickBot="1">
      <c r="C173" s="110"/>
      <c r="D173" s="547"/>
      <c r="E173" s="547"/>
      <c r="F173" s="547"/>
      <c r="G173" s="547"/>
      <c r="H173" s="547"/>
      <c r="I173" s="547"/>
      <c r="J173" s="547"/>
      <c r="K173" s="624"/>
      <c r="L173" s="547"/>
      <c r="M173" s="624"/>
      <c r="N173" s="547"/>
    </row>
    <row r="174" spans="3:14" ht="13.5" thickBot="1">
      <c r="C174" s="232"/>
      <c r="D174" s="1008" t="s">
        <v>160</v>
      </c>
      <c r="E174" s="1009"/>
      <c r="F174" s="1009"/>
      <c r="G174" s="1009"/>
      <c r="H174" s="1009"/>
      <c r="I174" s="1009"/>
      <c r="J174" s="1009"/>
      <c r="K174" s="1009"/>
      <c r="L174" s="1009"/>
      <c r="M174" s="1009"/>
      <c r="N174" s="1010"/>
    </row>
    <row r="175" spans="3:14" ht="16.5" customHeight="1" thickBot="1">
      <c r="C175" s="110"/>
      <c r="D175" s="306" t="s">
        <v>127</v>
      </c>
      <c r="E175" s="659"/>
      <c r="F175" s="319">
        <f>F9</f>
        <v>2019</v>
      </c>
      <c r="G175" s="659"/>
      <c r="H175" s="319">
        <f>H9</f>
        <v>2020</v>
      </c>
      <c r="I175" s="659"/>
      <c r="J175" s="319">
        <f>J9</f>
        <v>2021</v>
      </c>
      <c r="K175" s="659"/>
      <c r="L175" s="319">
        <f>L9</f>
        <v>2022</v>
      </c>
      <c r="M175" s="659"/>
      <c r="N175" s="319">
        <f>N9</f>
        <v>2023</v>
      </c>
    </row>
    <row r="176" spans="3:14" ht="40.5" customHeight="1" thickBot="1">
      <c r="C176" s="88"/>
      <c r="D176" s="306" t="s">
        <v>138</v>
      </c>
      <c r="E176" s="660"/>
      <c r="F176" s="817">
        <f>'Salaries - Year 1'!B80</f>
        <v>26</v>
      </c>
      <c r="G176" s="659"/>
      <c r="H176" s="817">
        <f>'Salaries - Year 2'!B80</f>
        <v>33</v>
      </c>
      <c r="I176" s="659"/>
      <c r="J176" s="817">
        <f>'Salaries - Year 3'!B80</f>
        <v>38</v>
      </c>
      <c r="K176" s="659"/>
      <c r="L176" s="817">
        <f>'Salaries - Year 4'!B80</f>
        <v>41</v>
      </c>
      <c r="M176" s="659"/>
      <c r="N176" s="817">
        <f>'Salaries - Year 5'!B80</f>
        <v>41</v>
      </c>
    </row>
    <row r="177" spans="3:14" ht="40.5" customHeight="1" thickBot="1">
      <c r="C177" s="88"/>
      <c r="D177" s="306" t="s">
        <v>139</v>
      </c>
      <c r="E177" s="660"/>
      <c r="F177" s="613">
        <f>'Salaries - Year 1'!B68</f>
        <v>1095104</v>
      </c>
      <c r="G177" s="660"/>
      <c r="H177" s="613">
        <f>'Salaries - Year 2'!B68</f>
        <v>1436998</v>
      </c>
      <c r="I177" s="660"/>
      <c r="J177" s="613">
        <f>'Salaries - Year 3'!B68</f>
        <v>1719955.24</v>
      </c>
      <c r="K177" s="660"/>
      <c r="L177" s="613">
        <f>'Salaries - Year 4'!B68</f>
        <v>1931343.1208000004</v>
      </c>
      <c r="M177" s="660"/>
      <c r="N177" s="613">
        <f>'Salaries - Year 5'!B68</f>
        <v>1969969.9832159998</v>
      </c>
    </row>
    <row r="178" spans="3:14" ht="40.5" customHeight="1" thickBot="1">
      <c r="C178" s="88"/>
      <c r="D178" s="306" t="s">
        <v>203</v>
      </c>
      <c r="E178" s="661"/>
      <c r="F178" s="444">
        <f>'Revenues-Federal &amp; State '!E101</f>
        <v>224</v>
      </c>
      <c r="G178" s="661"/>
      <c r="H178" s="444">
        <f>'Revenues-Federal &amp; State '!G101</f>
        <v>312</v>
      </c>
      <c r="I178" s="661"/>
      <c r="J178" s="444">
        <f>'Revenues-Federal &amp; State '!I101</f>
        <v>404</v>
      </c>
      <c r="K178" s="661"/>
      <c r="L178" s="444">
        <f>'Revenues-Federal &amp; State '!K101</f>
        <v>504</v>
      </c>
      <c r="M178" s="661"/>
      <c r="N178" s="444">
        <f>'Revenues-Federal &amp; State '!M101</f>
        <v>504</v>
      </c>
    </row>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r:id="rId1"/>
</worksheet>
</file>

<file path=xl/worksheets/sheet13.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B11" sqref="B11"/>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568" t="s">
        <v>273</v>
      </c>
      <c r="B1" s="1040" t="str">
        <f>'Budget with Assumptions'!A2</f>
        <v>Chicago Classical Academy</v>
      </c>
      <c r="C1" s="1041"/>
    </row>
    <row r="2" spans="1:3" ht="16.5" thickBot="1">
      <c r="A2" s="545"/>
      <c r="B2" s="546"/>
      <c r="C2" s="546"/>
    </row>
    <row r="3" spans="1:3" ht="13.5" thickBot="1">
      <c r="A3" s="1042" t="s">
        <v>293</v>
      </c>
      <c r="B3" s="1043"/>
      <c r="C3" s="1044"/>
    </row>
    <row r="4" spans="1:3" ht="12.75">
      <c r="A4" s="547"/>
      <c r="B4" s="547"/>
      <c r="C4" s="547"/>
    </row>
    <row r="5" spans="1:3" ht="13.5" thickBot="1">
      <c r="A5" s="547"/>
      <c r="B5" s="547"/>
      <c r="C5" s="547"/>
    </row>
    <row r="6" spans="1:3" ht="16.5" thickBot="1">
      <c r="A6" s="569" t="s">
        <v>331</v>
      </c>
      <c r="B6" s="570"/>
      <c r="C6" s="571"/>
    </row>
    <row r="7" spans="1:3" ht="13.5" thickBot="1">
      <c r="A7" s="572" t="s">
        <v>374</v>
      </c>
      <c r="B7" s="570"/>
      <c r="C7" s="571"/>
    </row>
    <row r="8" spans="1:3" ht="13.5" thickBot="1">
      <c r="A8" s="548"/>
      <c r="B8" s="152"/>
      <c r="C8" s="549"/>
    </row>
    <row r="9" spans="1:3" ht="12.75">
      <c r="A9" s="557" t="s">
        <v>274</v>
      </c>
      <c r="B9" s="558"/>
      <c r="C9" s="559"/>
    </row>
    <row r="10" spans="1:3" ht="12.75">
      <c r="A10" s="567" t="s">
        <v>294</v>
      </c>
      <c r="B10" s="561"/>
      <c r="C10" s="562"/>
    </row>
    <row r="11" spans="1:3" ht="12.75">
      <c r="A11" s="560" t="s">
        <v>275</v>
      </c>
      <c r="B11" s="561"/>
      <c r="C11" s="562"/>
    </row>
    <row r="12" spans="1:3" ht="13.5" thickBot="1">
      <c r="A12" s="566" t="s">
        <v>325</v>
      </c>
      <c r="B12" s="563"/>
      <c r="C12" s="564"/>
    </row>
    <row r="13" spans="1:3" ht="13.5" thickBot="1">
      <c r="A13" s="550"/>
      <c r="B13" s="97"/>
      <c r="C13" s="551"/>
    </row>
    <row r="14" spans="1:3" ht="13.5" thickBot="1">
      <c r="A14" s="452" t="s">
        <v>279</v>
      </c>
      <c r="B14" s="97"/>
      <c r="C14" s="551"/>
    </row>
    <row r="15" spans="1:3" ht="12.75">
      <c r="A15" s="573" t="s">
        <v>25</v>
      </c>
      <c r="B15" s="591">
        <v>1755611.03</v>
      </c>
      <c r="C15" s="551"/>
    </row>
    <row r="16" spans="1:3" ht="12.75">
      <c r="A16" s="574" t="s">
        <v>276</v>
      </c>
      <c r="B16" s="592">
        <f>12*15</f>
        <v>180</v>
      </c>
      <c r="C16" s="551"/>
    </row>
    <row r="17" spans="1:3" ht="13.5" thickBot="1">
      <c r="A17" s="575" t="s">
        <v>277</v>
      </c>
      <c r="B17" s="593">
        <v>0.05375</v>
      </c>
      <c r="C17" s="551"/>
    </row>
    <row r="18" spans="1:3" ht="26.25" thickBot="1">
      <c r="A18" s="576" t="s">
        <v>278</v>
      </c>
      <c r="B18" s="377">
        <f>-IF(SUM(B15:B17)=0,0,PMT(B17/12,B16,B15)*12)</f>
        <v>170743.44483252845</v>
      </c>
      <c r="C18" s="551"/>
    </row>
    <row r="19" spans="1:3" ht="12.75">
      <c r="A19" s="550"/>
      <c r="B19" s="97"/>
      <c r="C19" s="551"/>
    </row>
    <row r="20" spans="1:3" ht="12.75">
      <c r="A20" s="587"/>
      <c r="B20" s="586"/>
      <c r="C20" s="553"/>
    </row>
    <row r="22" ht="13.5" thickBot="1"/>
    <row r="23" spans="1:3" ht="16.5" thickBot="1">
      <c r="A23" s="569" t="s">
        <v>332</v>
      </c>
      <c r="B23" s="570"/>
      <c r="C23" s="571"/>
    </row>
    <row r="24" spans="1:3" ht="13.5" thickBot="1">
      <c r="A24" s="572" t="s">
        <v>333</v>
      </c>
      <c r="B24" s="570"/>
      <c r="C24" s="571"/>
    </row>
    <row r="25" spans="1:3" ht="13.5" thickBot="1">
      <c r="A25" s="550"/>
      <c r="B25" s="152"/>
      <c r="C25" s="549"/>
    </row>
    <row r="26" spans="1:3" ht="12.75">
      <c r="A26" s="565" t="s">
        <v>274</v>
      </c>
      <c r="B26" s="558"/>
      <c r="C26" s="559"/>
    </row>
    <row r="27" spans="1:3" ht="12.75">
      <c r="A27" s="567" t="s">
        <v>324</v>
      </c>
      <c r="B27" s="561"/>
      <c r="C27" s="562"/>
    </row>
    <row r="28" spans="1:3" ht="13.5" thickBot="1">
      <c r="A28" s="566" t="s">
        <v>326</v>
      </c>
      <c r="B28" s="563"/>
      <c r="C28" s="564"/>
    </row>
    <row r="29" spans="1:3" ht="12.75">
      <c r="A29" s="550"/>
      <c r="B29" s="152"/>
      <c r="C29" s="549"/>
    </row>
    <row r="30" spans="1:3" ht="13.5" thickBot="1">
      <c r="A30" s="550"/>
      <c r="B30" s="152"/>
      <c r="C30" s="549"/>
    </row>
    <row r="31" spans="1:3" ht="13.5" thickBot="1">
      <c r="A31" s="452" t="s">
        <v>283</v>
      </c>
      <c r="B31" s="152"/>
      <c r="C31" s="549"/>
    </row>
    <row r="32" spans="1:3" ht="12.75">
      <c r="A32" s="573" t="s">
        <v>25</v>
      </c>
      <c r="B32" s="591"/>
      <c r="C32" s="551"/>
    </row>
    <row r="33" spans="1:3" ht="12.75">
      <c r="A33" s="574" t="s">
        <v>276</v>
      </c>
      <c r="B33" s="592"/>
      <c r="C33" s="551"/>
    </row>
    <row r="34" spans="1:3" ht="13.5" thickBot="1">
      <c r="A34" s="575" t="s">
        <v>277</v>
      </c>
      <c r="B34" s="594"/>
      <c r="C34" s="551"/>
    </row>
    <row r="35" spans="1:3" ht="26.25" thickBot="1">
      <c r="A35" s="576" t="s">
        <v>278</v>
      </c>
      <c r="B35" s="377">
        <f>-IF(SUM(B32:B34)=0,0,PMT(B34/12,B33,B32)*12)</f>
        <v>0</v>
      </c>
      <c r="C35" s="551"/>
    </row>
    <row r="36" spans="1:3" ht="12.75">
      <c r="A36" s="554"/>
      <c r="B36" s="555"/>
      <c r="C36" s="556"/>
    </row>
    <row r="37" spans="1:3" ht="12.75">
      <c r="A37" s="552"/>
      <c r="B37" s="586"/>
      <c r="C37" s="553"/>
    </row>
    <row r="38" ht="12.75">
      <c r="A38" s="547"/>
    </row>
  </sheetData>
  <sheetProtection password="CC59"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14.xml><?xml version="1.0" encoding="utf-8"?>
<worksheet xmlns="http://schemas.openxmlformats.org/spreadsheetml/2006/main" xmlns:r="http://schemas.openxmlformats.org/officeDocument/2006/relationships">
  <dimension ref="A1:F76"/>
  <sheetViews>
    <sheetView zoomScalePageLayoutView="0" workbookViewId="0" topLeftCell="A1">
      <selection activeCell="A7" sqref="A7"/>
    </sheetView>
  </sheetViews>
  <sheetFormatPr defaultColWidth="9.140625" defaultRowHeight="12.75"/>
  <cols>
    <col min="1" max="1" width="26.28125" style="0" customWidth="1"/>
    <col min="2" max="2" width="38.421875" style="0" bestFit="1" customWidth="1"/>
    <col min="3" max="3" width="82.57421875" style="0" customWidth="1"/>
    <col min="4" max="4" width="12.7109375" style="0" bestFit="1" customWidth="1"/>
    <col min="5" max="5" width="14.7109375" style="0" bestFit="1" customWidth="1"/>
    <col min="6" max="6" width="26.57421875" style="0" bestFit="1" customWidth="1"/>
  </cols>
  <sheetData>
    <row r="1" spans="1:6" ht="13.5" thickBot="1">
      <c r="A1" s="677" t="str">
        <f>'Budget with Assumptions'!A2</f>
        <v>Chicago Classical Academy</v>
      </c>
      <c r="B1" s="534"/>
      <c r="C1" s="534"/>
      <c r="D1" s="534"/>
      <c r="E1" s="534"/>
      <c r="F1" s="436"/>
    </row>
    <row r="2" ht="12.75">
      <c r="A2" s="11"/>
    </row>
    <row r="4" spans="1:6" ht="12.75">
      <c r="A4" s="7" t="s">
        <v>261</v>
      </c>
      <c r="B4" s="7"/>
      <c r="C4" s="7"/>
      <c r="D4" s="7"/>
      <c r="E4" s="7"/>
      <c r="F4" s="7"/>
    </row>
    <row r="5" spans="1:6" ht="25.5">
      <c r="A5" s="896" t="s">
        <v>581</v>
      </c>
      <c r="B5" s="896" t="s">
        <v>582</v>
      </c>
      <c r="C5" s="896" t="s">
        <v>583</v>
      </c>
      <c r="D5" s="897" t="s">
        <v>584</v>
      </c>
      <c r="E5" s="897" t="s">
        <v>585</v>
      </c>
      <c r="F5" s="896" t="s">
        <v>586</v>
      </c>
    </row>
    <row r="6" spans="1:6" ht="38.25">
      <c r="A6" s="898" t="s">
        <v>587</v>
      </c>
      <c r="B6" s="898" t="s">
        <v>588</v>
      </c>
      <c r="C6" s="899" t="s">
        <v>589</v>
      </c>
      <c r="D6" s="898" t="s">
        <v>590</v>
      </c>
      <c r="E6" s="898" t="s">
        <v>591</v>
      </c>
      <c r="F6" s="900" t="s">
        <v>592</v>
      </c>
    </row>
    <row r="7" spans="1:6" ht="12.75">
      <c r="A7" s="901" t="s">
        <v>587</v>
      </c>
      <c r="B7" s="901" t="s">
        <v>593</v>
      </c>
      <c r="C7" s="902" t="s">
        <v>594</v>
      </c>
      <c r="D7" s="901"/>
      <c r="E7" s="901"/>
      <c r="F7" s="901"/>
    </row>
    <row r="8" spans="1:6" ht="12.75">
      <c r="A8" s="898" t="s">
        <v>587</v>
      </c>
      <c r="B8" s="899" t="s">
        <v>595</v>
      </c>
      <c r="C8" s="903" t="s">
        <v>596</v>
      </c>
      <c r="D8" s="898"/>
      <c r="E8" s="898"/>
      <c r="F8" s="898"/>
    </row>
    <row r="9" spans="1:6" ht="12.75">
      <c r="A9" s="901" t="s">
        <v>587</v>
      </c>
      <c r="B9" s="901" t="s">
        <v>597</v>
      </c>
      <c r="C9" s="902" t="s">
        <v>598</v>
      </c>
      <c r="D9" s="901"/>
      <c r="E9" s="901"/>
      <c r="F9" s="901"/>
    </row>
    <row r="10" spans="1:6" ht="12.75">
      <c r="A10" s="904" t="s">
        <v>587</v>
      </c>
      <c r="B10" s="904" t="s">
        <v>599</v>
      </c>
      <c r="C10" s="905" t="s">
        <v>600</v>
      </c>
      <c r="D10" s="904"/>
      <c r="E10" s="904"/>
      <c r="F10" s="904"/>
    </row>
    <row r="11" spans="1:6" ht="12.75">
      <c r="A11" s="901" t="s">
        <v>601</v>
      </c>
      <c r="B11" s="901" t="s">
        <v>602</v>
      </c>
      <c r="C11" s="902" t="s">
        <v>603</v>
      </c>
      <c r="D11" s="906"/>
      <c r="E11" s="907"/>
      <c r="F11" s="908"/>
    </row>
    <row r="12" spans="1:6" ht="12.75">
      <c r="A12" s="901" t="s">
        <v>601</v>
      </c>
      <c r="B12" s="901" t="s">
        <v>4</v>
      </c>
      <c r="C12" s="902" t="s">
        <v>604</v>
      </c>
      <c r="D12" s="906"/>
      <c r="E12" s="907"/>
      <c r="F12" s="908"/>
    </row>
    <row r="13" spans="1:6" ht="12.75">
      <c r="A13" s="901" t="s">
        <v>601</v>
      </c>
      <c r="B13" s="901" t="s">
        <v>605</v>
      </c>
      <c r="C13" s="902" t="s">
        <v>606</v>
      </c>
      <c r="D13" s="906"/>
      <c r="E13" s="906"/>
      <c r="F13" s="906"/>
    </row>
    <row r="14" spans="1:6" ht="12.75">
      <c r="A14" s="909" t="s">
        <v>601</v>
      </c>
      <c r="B14" s="909" t="s">
        <v>607</v>
      </c>
      <c r="C14" s="910" t="s">
        <v>608</v>
      </c>
      <c r="D14" s="909" t="s">
        <v>609</v>
      </c>
      <c r="E14" s="911" t="s">
        <v>610</v>
      </c>
      <c r="F14" s="912" t="s">
        <v>611</v>
      </c>
    </row>
    <row r="15" spans="1:6" ht="25.5">
      <c r="A15" s="909" t="s">
        <v>601</v>
      </c>
      <c r="B15" s="898" t="s">
        <v>537</v>
      </c>
      <c r="C15" s="899" t="s">
        <v>612</v>
      </c>
      <c r="D15" s="898" t="s">
        <v>613</v>
      </c>
      <c r="E15" s="913" t="s">
        <v>614</v>
      </c>
      <c r="F15" s="914" t="s">
        <v>615</v>
      </c>
    </row>
    <row r="16" spans="1:6" ht="12.75">
      <c r="A16" s="904" t="s">
        <v>601</v>
      </c>
      <c r="B16" s="904" t="s">
        <v>616</v>
      </c>
      <c r="C16" s="902" t="s">
        <v>606</v>
      </c>
      <c r="D16" s="915"/>
      <c r="E16" s="916"/>
      <c r="F16" s="917"/>
    </row>
    <row r="17" spans="1:6" ht="12.75">
      <c r="A17" s="901" t="s">
        <v>601</v>
      </c>
      <c r="B17" s="901" t="s">
        <v>617</v>
      </c>
      <c r="C17" s="902" t="s">
        <v>606</v>
      </c>
      <c r="D17" s="906"/>
      <c r="E17" s="907"/>
      <c r="F17" s="908"/>
    </row>
    <row r="18" spans="1:6" ht="12.75">
      <c r="A18" s="901" t="s">
        <v>601</v>
      </c>
      <c r="B18" s="901" t="s">
        <v>618</v>
      </c>
      <c r="C18" s="902" t="s">
        <v>619</v>
      </c>
      <c r="D18" s="901"/>
      <c r="E18" s="901"/>
      <c r="F18" s="901"/>
    </row>
    <row r="19" spans="1:6" ht="12.75">
      <c r="A19" s="918" t="s">
        <v>601</v>
      </c>
      <c r="B19" s="918" t="s">
        <v>620</v>
      </c>
      <c r="C19" s="919" t="s">
        <v>621</v>
      </c>
      <c r="D19" s="918" t="s">
        <v>622</v>
      </c>
      <c r="E19" s="920" t="s">
        <v>623</v>
      </c>
      <c r="F19" s="921" t="s">
        <v>624</v>
      </c>
    </row>
    <row r="20" spans="1:6" ht="25.5">
      <c r="A20" s="898" t="s">
        <v>601</v>
      </c>
      <c r="B20" s="898" t="s">
        <v>2</v>
      </c>
      <c r="C20" s="899" t="s">
        <v>625</v>
      </c>
      <c r="D20" s="898" t="s">
        <v>609</v>
      </c>
      <c r="E20" s="898" t="s">
        <v>610</v>
      </c>
      <c r="F20" s="900" t="s">
        <v>626</v>
      </c>
    </row>
    <row r="21" spans="1:6" ht="12.75">
      <c r="A21" s="901" t="s">
        <v>601</v>
      </c>
      <c r="B21" s="901" t="s">
        <v>627</v>
      </c>
      <c r="C21" s="902" t="s">
        <v>628</v>
      </c>
      <c r="D21" s="901"/>
      <c r="E21" s="901"/>
      <c r="F21" s="901"/>
    </row>
    <row r="22" spans="1:6" ht="12.75">
      <c r="A22" s="901" t="s">
        <v>601</v>
      </c>
      <c r="B22" s="901" t="s">
        <v>540</v>
      </c>
      <c r="C22" s="902" t="s">
        <v>629</v>
      </c>
      <c r="D22" s="901"/>
      <c r="E22" s="901"/>
      <c r="F22" s="901"/>
    </row>
    <row r="23" spans="1:6" ht="12.75">
      <c r="A23" s="901" t="s">
        <v>601</v>
      </c>
      <c r="B23" s="901" t="s">
        <v>630</v>
      </c>
      <c r="C23" s="902" t="s">
        <v>631</v>
      </c>
      <c r="D23" s="901" t="s">
        <v>609</v>
      </c>
      <c r="E23" s="901" t="s">
        <v>610</v>
      </c>
      <c r="F23" s="922" t="s">
        <v>626</v>
      </c>
    </row>
    <row r="24" spans="1:6" ht="12.75">
      <c r="A24" s="901"/>
      <c r="B24" s="901"/>
      <c r="C24" s="902"/>
      <c r="D24" s="901"/>
      <c r="E24" s="901"/>
      <c r="F24" s="922"/>
    </row>
    <row r="25" spans="1:6" ht="12.75">
      <c r="A25" s="896" t="s">
        <v>632</v>
      </c>
      <c r="B25" s="923"/>
      <c r="C25" s="924"/>
      <c r="D25" s="923"/>
      <c r="E25" s="923"/>
      <c r="F25" s="923"/>
    </row>
    <row r="26" spans="1:6" ht="25.5">
      <c r="A26" s="909"/>
      <c r="B26" s="925" t="s">
        <v>633</v>
      </c>
      <c r="C26" s="899" t="s">
        <v>634</v>
      </c>
      <c r="D26" s="898" t="s">
        <v>635</v>
      </c>
      <c r="E26" s="911" t="s">
        <v>636</v>
      </c>
      <c r="F26" s="912" t="s">
        <v>637</v>
      </c>
    </row>
    <row r="27" spans="1:6" ht="12.75">
      <c r="A27" s="909"/>
      <c r="B27" s="926" t="s">
        <v>638</v>
      </c>
      <c r="C27" s="927" t="s">
        <v>639</v>
      </c>
      <c r="D27" s="898" t="s">
        <v>635</v>
      </c>
      <c r="E27" s="911" t="s">
        <v>636</v>
      </c>
      <c r="F27" s="912" t="s">
        <v>637</v>
      </c>
    </row>
    <row r="28" spans="1:6" ht="25.5">
      <c r="A28" s="909"/>
      <c r="B28" s="925" t="s">
        <v>174</v>
      </c>
      <c r="C28" s="899" t="s">
        <v>640</v>
      </c>
      <c r="D28" s="898" t="s">
        <v>635</v>
      </c>
      <c r="E28" s="911" t="s">
        <v>636</v>
      </c>
      <c r="F28" s="912" t="s">
        <v>637</v>
      </c>
    </row>
    <row r="29" spans="1:6" ht="12.75">
      <c r="A29" s="918"/>
      <c r="B29" s="928" t="s">
        <v>6</v>
      </c>
      <c r="C29" s="929" t="s">
        <v>641</v>
      </c>
      <c r="D29" s="901" t="s">
        <v>609</v>
      </c>
      <c r="E29" s="920" t="s">
        <v>610</v>
      </c>
      <c r="F29" s="921" t="s">
        <v>611</v>
      </c>
    </row>
    <row r="30" spans="1:6" ht="12.75">
      <c r="A30" s="918"/>
      <c r="B30" s="928" t="s">
        <v>175</v>
      </c>
      <c r="C30" s="929" t="s">
        <v>642</v>
      </c>
      <c r="D30" s="901" t="s">
        <v>635</v>
      </c>
      <c r="E30" s="920" t="s">
        <v>636</v>
      </c>
      <c r="F30" s="921" t="s">
        <v>637</v>
      </c>
    </row>
    <row r="31" spans="1:6" ht="12.75">
      <c r="A31" s="918"/>
      <c r="B31" s="928" t="s">
        <v>643</v>
      </c>
      <c r="C31" s="929" t="s">
        <v>644</v>
      </c>
      <c r="D31" s="901" t="s">
        <v>635</v>
      </c>
      <c r="E31" s="920" t="s">
        <v>636</v>
      </c>
      <c r="F31" s="921" t="s">
        <v>637</v>
      </c>
    </row>
    <row r="32" spans="1:6" ht="25.5">
      <c r="A32" s="909"/>
      <c r="B32" s="925" t="s">
        <v>549</v>
      </c>
      <c r="C32" s="899" t="s">
        <v>645</v>
      </c>
      <c r="D32" s="898" t="s">
        <v>635</v>
      </c>
      <c r="E32" s="911" t="s">
        <v>636</v>
      </c>
      <c r="F32" s="912" t="s">
        <v>637</v>
      </c>
    </row>
    <row r="33" spans="1:6" ht="25.5">
      <c r="A33" s="898"/>
      <c r="B33" s="925" t="s">
        <v>177</v>
      </c>
      <c r="C33" s="899" t="s">
        <v>646</v>
      </c>
      <c r="D33" s="898"/>
      <c r="E33" s="898"/>
      <c r="F33" s="898"/>
    </row>
    <row r="34" spans="1:6" ht="25.5">
      <c r="A34" s="909"/>
      <c r="B34" s="926" t="s">
        <v>647</v>
      </c>
      <c r="C34" s="927" t="s">
        <v>648</v>
      </c>
      <c r="D34" s="930" t="s">
        <v>155</v>
      </c>
      <c r="E34" s="930"/>
      <c r="F34" s="930"/>
    </row>
    <row r="35" spans="1:6" ht="12.75">
      <c r="A35" s="918"/>
      <c r="B35" s="928" t="s">
        <v>649</v>
      </c>
      <c r="C35" s="902" t="s">
        <v>650</v>
      </c>
      <c r="D35" s="901" t="s">
        <v>609</v>
      </c>
      <c r="E35" s="931" t="s">
        <v>610</v>
      </c>
      <c r="F35" s="922" t="s">
        <v>611</v>
      </c>
    </row>
    <row r="36" spans="1:6" ht="12.75">
      <c r="A36" s="918"/>
      <c r="B36" s="928" t="s">
        <v>551</v>
      </c>
      <c r="C36" s="902" t="s">
        <v>651</v>
      </c>
      <c r="D36" s="901" t="s">
        <v>609</v>
      </c>
      <c r="E36" s="931" t="s">
        <v>610</v>
      </c>
      <c r="F36" s="922" t="s">
        <v>611</v>
      </c>
    </row>
    <row r="37" spans="1:6" ht="12.75">
      <c r="A37" s="901"/>
      <c r="B37" s="928" t="s">
        <v>540</v>
      </c>
      <c r="C37" s="902" t="s">
        <v>652</v>
      </c>
      <c r="D37" s="901"/>
      <c r="E37" s="931"/>
      <c r="F37" s="922"/>
    </row>
    <row r="38" spans="1:6" ht="12.75">
      <c r="A38" s="901"/>
      <c r="B38" s="928" t="s">
        <v>653</v>
      </c>
      <c r="C38" s="902" t="s">
        <v>654</v>
      </c>
      <c r="D38" s="901"/>
      <c r="E38" s="931"/>
      <c r="F38" s="922"/>
    </row>
    <row r="39" spans="1:6" ht="12.75">
      <c r="A39" s="932" t="s">
        <v>655</v>
      </c>
      <c r="B39" s="933"/>
      <c r="C39" s="934" t="s">
        <v>656</v>
      </c>
      <c r="D39" s="933"/>
      <c r="E39" s="933"/>
      <c r="F39" s="933"/>
    </row>
    <row r="40" spans="1:6" ht="12.75">
      <c r="A40" s="918"/>
      <c r="B40" s="935" t="s">
        <v>657</v>
      </c>
      <c r="C40" s="905" t="s">
        <v>658</v>
      </c>
      <c r="D40" s="918" t="s">
        <v>609</v>
      </c>
      <c r="E40" s="920" t="s">
        <v>610</v>
      </c>
      <c r="F40" s="921" t="s">
        <v>611</v>
      </c>
    </row>
    <row r="41" spans="1:6" ht="12.75">
      <c r="A41" s="918"/>
      <c r="B41" s="935" t="s">
        <v>659</v>
      </c>
      <c r="C41" s="905" t="s">
        <v>660</v>
      </c>
      <c r="D41" s="918" t="s">
        <v>609</v>
      </c>
      <c r="E41" s="920" t="s">
        <v>610</v>
      </c>
      <c r="F41" s="921" t="s">
        <v>611</v>
      </c>
    </row>
    <row r="42" spans="1:6" ht="25.5">
      <c r="A42" s="909"/>
      <c r="B42" s="925" t="s">
        <v>120</v>
      </c>
      <c r="C42" s="899" t="s">
        <v>661</v>
      </c>
      <c r="D42" s="898" t="s">
        <v>662</v>
      </c>
      <c r="E42" s="913" t="s">
        <v>663</v>
      </c>
      <c r="F42" s="914" t="s">
        <v>664</v>
      </c>
    </row>
    <row r="43" spans="1:6" ht="12.75">
      <c r="A43" s="901"/>
      <c r="B43" s="935" t="s">
        <v>665</v>
      </c>
      <c r="C43" s="902" t="s">
        <v>606</v>
      </c>
      <c r="D43" s="901"/>
      <c r="E43" s="931"/>
      <c r="F43" s="922"/>
    </row>
    <row r="44" spans="1:6" ht="12.75">
      <c r="A44" s="901"/>
      <c r="B44" s="928" t="s">
        <v>121</v>
      </c>
      <c r="C44" s="936" t="s">
        <v>666</v>
      </c>
      <c r="D44" s="901"/>
      <c r="E44" s="901"/>
      <c r="F44" s="901"/>
    </row>
    <row r="45" spans="1:6" ht="12.75">
      <c r="A45" s="901"/>
      <c r="B45" s="928" t="s">
        <v>122</v>
      </c>
      <c r="C45" s="902" t="s">
        <v>667</v>
      </c>
      <c r="D45" s="901"/>
      <c r="E45" s="901"/>
      <c r="F45" s="901"/>
    </row>
    <row r="46" spans="1:6" ht="12.75">
      <c r="A46" s="918"/>
      <c r="B46" s="928" t="s">
        <v>119</v>
      </c>
      <c r="C46" s="902" t="s">
        <v>668</v>
      </c>
      <c r="D46" s="901" t="s">
        <v>669</v>
      </c>
      <c r="E46" s="931" t="s">
        <v>670</v>
      </c>
      <c r="F46" s="921" t="s">
        <v>671</v>
      </c>
    </row>
    <row r="47" spans="1:6" ht="12.75">
      <c r="A47" s="918"/>
      <c r="B47" s="937" t="s">
        <v>672</v>
      </c>
      <c r="C47" s="919" t="s">
        <v>673</v>
      </c>
      <c r="D47" s="918" t="s">
        <v>155</v>
      </c>
      <c r="E47" s="918"/>
      <c r="F47" s="918"/>
    </row>
    <row r="48" spans="1:6" ht="12.75">
      <c r="A48" s="901"/>
      <c r="B48" s="928" t="s">
        <v>8</v>
      </c>
      <c r="C48" s="902" t="s">
        <v>674</v>
      </c>
      <c r="D48" s="901" t="s">
        <v>675</v>
      </c>
      <c r="E48" s="901"/>
      <c r="F48" s="922" t="s">
        <v>676</v>
      </c>
    </row>
    <row r="49" spans="1:6" ht="25.5">
      <c r="A49" s="909"/>
      <c r="B49" s="938" t="s">
        <v>9</v>
      </c>
      <c r="C49" s="910" t="s">
        <v>677</v>
      </c>
      <c r="D49" s="909" t="s">
        <v>635</v>
      </c>
      <c r="E49" s="911" t="s">
        <v>636</v>
      </c>
      <c r="F49" s="912" t="s">
        <v>637</v>
      </c>
    </row>
    <row r="50" spans="1:6" ht="12.75">
      <c r="A50" s="901"/>
      <c r="B50" s="928" t="s">
        <v>172</v>
      </c>
      <c r="C50" s="902" t="s">
        <v>678</v>
      </c>
      <c r="D50" s="901" t="s">
        <v>675</v>
      </c>
      <c r="E50" s="901"/>
      <c r="F50" s="922" t="s">
        <v>676</v>
      </c>
    </row>
    <row r="51" spans="1:6" ht="12.75">
      <c r="A51" s="918"/>
      <c r="B51" s="937" t="s">
        <v>173</v>
      </c>
      <c r="C51" s="919" t="s">
        <v>679</v>
      </c>
      <c r="D51" s="918" t="s">
        <v>635</v>
      </c>
      <c r="E51" s="920" t="s">
        <v>636</v>
      </c>
      <c r="F51" s="921" t="s">
        <v>637</v>
      </c>
    </row>
    <row r="52" spans="1:6" ht="25.5">
      <c r="A52" s="909"/>
      <c r="B52" s="938" t="s">
        <v>680</v>
      </c>
      <c r="C52" s="910" t="s">
        <v>681</v>
      </c>
      <c r="D52" s="909" t="s">
        <v>609</v>
      </c>
      <c r="E52" s="911" t="s">
        <v>610</v>
      </c>
      <c r="F52" s="912" t="s">
        <v>611</v>
      </c>
    </row>
    <row r="53" spans="1:6" ht="12.75">
      <c r="A53" s="896" t="s">
        <v>682</v>
      </c>
      <c r="B53" s="923"/>
      <c r="C53" s="924"/>
      <c r="D53" s="923"/>
      <c r="E53" s="923"/>
      <c r="F53" s="923"/>
    </row>
    <row r="54" spans="1:6" ht="25.5">
      <c r="A54" s="909"/>
      <c r="B54" s="925" t="s">
        <v>185</v>
      </c>
      <c r="C54" s="899" t="s">
        <v>683</v>
      </c>
      <c r="D54" s="898" t="s">
        <v>635</v>
      </c>
      <c r="E54" s="911" t="s">
        <v>636</v>
      </c>
      <c r="F54" s="912" t="s">
        <v>637</v>
      </c>
    </row>
    <row r="55" spans="1:6" ht="12.75">
      <c r="A55" s="901"/>
      <c r="B55" s="928" t="s">
        <v>177</v>
      </c>
      <c r="C55" s="902" t="s">
        <v>684</v>
      </c>
      <c r="D55" s="901"/>
      <c r="E55" s="901"/>
      <c r="F55" s="901"/>
    </row>
    <row r="56" spans="1:6" ht="12.75">
      <c r="A56" s="918"/>
      <c r="B56" s="937" t="s">
        <v>183</v>
      </c>
      <c r="C56" s="919" t="s">
        <v>685</v>
      </c>
      <c r="D56" s="918" t="s">
        <v>686</v>
      </c>
      <c r="E56" s="920" t="s">
        <v>687</v>
      </c>
      <c r="F56" s="921" t="s">
        <v>688</v>
      </c>
    </row>
    <row r="57" spans="1:6" ht="12.75">
      <c r="A57" s="918"/>
      <c r="B57" s="937" t="s">
        <v>689</v>
      </c>
      <c r="C57" s="919" t="s">
        <v>690</v>
      </c>
      <c r="D57" s="918"/>
      <c r="E57" s="920"/>
      <c r="F57" s="921"/>
    </row>
    <row r="58" spans="1:6" ht="25.5">
      <c r="A58" s="909"/>
      <c r="B58" s="938" t="s">
        <v>186</v>
      </c>
      <c r="C58" s="910" t="s">
        <v>691</v>
      </c>
      <c r="D58" s="909" t="s">
        <v>609</v>
      </c>
      <c r="E58" s="911" t="s">
        <v>610</v>
      </c>
      <c r="F58" s="912" t="s">
        <v>611</v>
      </c>
    </row>
    <row r="59" spans="1:6" ht="12.75">
      <c r="A59" s="918"/>
      <c r="B59" s="937" t="s">
        <v>188</v>
      </c>
      <c r="C59" s="939" t="s">
        <v>692</v>
      </c>
      <c r="D59" s="918" t="s">
        <v>609</v>
      </c>
      <c r="E59" s="920" t="s">
        <v>610</v>
      </c>
      <c r="F59" s="921" t="s">
        <v>611</v>
      </c>
    </row>
    <row r="60" spans="1:6" ht="12.75">
      <c r="A60" s="918"/>
      <c r="B60" s="937" t="s">
        <v>187</v>
      </c>
      <c r="C60" s="919" t="s">
        <v>693</v>
      </c>
      <c r="D60" s="918" t="s">
        <v>609</v>
      </c>
      <c r="E60" s="920" t="s">
        <v>610</v>
      </c>
      <c r="F60" s="921" t="s">
        <v>611</v>
      </c>
    </row>
    <row r="61" spans="1:6" ht="12.75">
      <c r="A61" s="918"/>
      <c r="B61" s="928" t="s">
        <v>11</v>
      </c>
      <c r="C61" s="902" t="s">
        <v>694</v>
      </c>
      <c r="D61" s="918" t="s">
        <v>609</v>
      </c>
      <c r="E61" s="920" t="s">
        <v>610</v>
      </c>
      <c r="F61" s="921" t="s">
        <v>611</v>
      </c>
    </row>
    <row r="62" spans="1:6" ht="12.75">
      <c r="A62" s="901"/>
      <c r="B62" s="928" t="s">
        <v>189</v>
      </c>
      <c r="C62" s="902" t="s">
        <v>695</v>
      </c>
      <c r="D62" s="901"/>
      <c r="E62" s="901"/>
      <c r="F62" s="901"/>
    </row>
    <row r="63" spans="1:6" ht="12.75">
      <c r="A63" s="909"/>
      <c r="B63" s="937" t="s">
        <v>696</v>
      </c>
      <c r="C63" s="919" t="s">
        <v>697</v>
      </c>
      <c r="D63" s="918" t="s">
        <v>622</v>
      </c>
      <c r="E63" s="920" t="s">
        <v>623</v>
      </c>
      <c r="F63" s="940" t="s">
        <v>624</v>
      </c>
    </row>
    <row r="64" spans="1:6" ht="12.75">
      <c r="A64" s="901"/>
      <c r="B64" s="928" t="s">
        <v>698</v>
      </c>
      <c r="C64" s="902" t="s">
        <v>699</v>
      </c>
      <c r="D64" s="901"/>
      <c r="E64" s="901"/>
      <c r="F64" s="901"/>
    </row>
    <row r="65" spans="1:6" ht="12.75">
      <c r="A65" s="901"/>
      <c r="B65" s="928" t="s">
        <v>700</v>
      </c>
      <c r="C65" s="902" t="s">
        <v>699</v>
      </c>
      <c r="D65" s="901"/>
      <c r="E65" s="901"/>
      <c r="F65" s="901"/>
    </row>
    <row r="66" spans="1:6" ht="12.75">
      <c r="A66" s="901"/>
      <c r="B66" s="928" t="s">
        <v>191</v>
      </c>
      <c r="C66" s="902" t="s">
        <v>701</v>
      </c>
      <c r="D66" s="901"/>
      <c r="E66" s="901"/>
      <c r="F66" s="901"/>
    </row>
    <row r="67" spans="1:6" ht="12.75">
      <c r="A67" s="918"/>
      <c r="B67" s="937" t="s">
        <v>337</v>
      </c>
      <c r="C67" s="919" t="s">
        <v>702</v>
      </c>
      <c r="D67" s="918"/>
      <c r="E67" s="920"/>
      <c r="F67" s="921"/>
    </row>
    <row r="68" spans="1:6" ht="12.75">
      <c r="A68" s="918"/>
      <c r="B68" s="937" t="s">
        <v>574</v>
      </c>
      <c r="C68" s="919" t="s">
        <v>703</v>
      </c>
      <c r="D68" s="918" t="s">
        <v>704</v>
      </c>
      <c r="E68" s="920" t="s">
        <v>705</v>
      </c>
      <c r="F68" s="940" t="s">
        <v>706</v>
      </c>
    </row>
    <row r="69" spans="1:6" ht="12.75">
      <c r="A69" s="932" t="s">
        <v>707</v>
      </c>
      <c r="B69" s="941"/>
      <c r="C69" s="934" t="s">
        <v>708</v>
      </c>
      <c r="D69" s="933"/>
      <c r="E69" s="933"/>
      <c r="F69" s="933"/>
    </row>
    <row r="70" spans="1:6" ht="12.75">
      <c r="A70" s="901"/>
      <c r="B70" s="928" t="s">
        <v>292</v>
      </c>
      <c r="C70" s="902" t="s">
        <v>709</v>
      </c>
      <c r="D70" s="901" t="s">
        <v>710</v>
      </c>
      <c r="E70" s="901" t="s">
        <v>711</v>
      </c>
      <c r="F70" s="942" t="s">
        <v>712</v>
      </c>
    </row>
    <row r="71" spans="1:6" ht="12.75">
      <c r="A71" s="901"/>
      <c r="B71" s="928" t="s">
        <v>14</v>
      </c>
      <c r="C71" s="902" t="s">
        <v>709</v>
      </c>
      <c r="D71" s="901" t="s">
        <v>710</v>
      </c>
      <c r="E71" s="901" t="s">
        <v>711</v>
      </c>
      <c r="F71" s="942" t="s">
        <v>712</v>
      </c>
    </row>
    <row r="72" spans="1:6" ht="12.75">
      <c r="A72" s="901"/>
      <c r="B72" s="928" t="s">
        <v>713</v>
      </c>
      <c r="C72" s="902" t="s">
        <v>714</v>
      </c>
      <c r="D72" s="901"/>
      <c r="E72" s="901"/>
      <c r="F72" s="901"/>
    </row>
    <row r="73" spans="1:6" ht="25.5">
      <c r="A73" s="898"/>
      <c r="B73" s="925" t="s">
        <v>715</v>
      </c>
      <c r="C73" s="899" t="s">
        <v>716</v>
      </c>
      <c r="D73" s="898" t="s">
        <v>710</v>
      </c>
      <c r="E73" s="913" t="s">
        <v>711</v>
      </c>
      <c r="F73" s="912" t="s">
        <v>712</v>
      </c>
    </row>
    <row r="74" spans="1:6" ht="12.75">
      <c r="A74" s="943" t="s">
        <v>717</v>
      </c>
      <c r="B74" s="933"/>
      <c r="C74" s="934"/>
      <c r="D74" s="933"/>
      <c r="E74" s="933"/>
      <c r="F74" s="933"/>
    </row>
    <row r="75" spans="1:6" ht="12.75">
      <c r="A75" s="901"/>
      <c r="B75" s="928" t="s">
        <v>493</v>
      </c>
      <c r="C75" s="902" t="s">
        <v>718</v>
      </c>
      <c r="D75" s="901" t="s">
        <v>719</v>
      </c>
      <c r="E75" s="901"/>
      <c r="F75" s="901" t="s">
        <v>720</v>
      </c>
    </row>
    <row r="76" spans="1:6" ht="12.75">
      <c r="A76" s="901"/>
      <c r="B76" s="928" t="s">
        <v>721</v>
      </c>
      <c r="C76" s="902" t="s">
        <v>722</v>
      </c>
      <c r="D76" s="901" t="s">
        <v>719</v>
      </c>
      <c r="E76" s="901"/>
      <c r="F76" s="901" t="s">
        <v>720</v>
      </c>
    </row>
  </sheetData>
  <sheetProtection/>
  <hyperlinks>
    <hyperlink ref="F6" r:id="rId1" display="pkilgore@hillsdale.edu "/>
    <hyperlink ref="F19" r:id="rId2" display="jkratochvil@infiniteconnect.net"/>
    <hyperlink ref="F56" r:id="rId3" display="gmirov@mxotech.com"/>
    <hyperlink ref="F26" r:id="rId4" display="kmiller@goldenviewclassical.org"/>
    <hyperlink ref="F27" r:id="rId5" display="kmiller@goldenviewclassical.org"/>
    <hyperlink ref="F49" r:id="rId6" display="kmiller@goldenviewclassical.org"/>
    <hyperlink ref="F51" r:id="rId7" display="kmiller@goldenviewclassical.org"/>
    <hyperlink ref="F54" r:id="rId8" display="kmiller@goldenviewclassical.org"/>
    <hyperlink ref="F30" r:id="rId9" display="kmiller@goldenviewclassical.org"/>
    <hyperlink ref="F14" r:id="rId10" display="jmarder@agcchicago.org"/>
    <hyperlink ref="F32" r:id="rId11" display="kmiller@goldenviewclassical.org"/>
    <hyperlink ref="F36" r:id="rId12" display="jmarder@agcchicago.org"/>
    <hyperlink ref="F58" r:id="rId13" display="jmarder@agcchicago.org"/>
    <hyperlink ref="F59" r:id="rId14" display="jmarder@agcchicago.org"/>
    <hyperlink ref="F60" r:id="rId15" display="jmarder@agcchicago.org"/>
    <hyperlink ref="F63" r:id="rId16" display="jkratochvil@infiniteconnect.net"/>
    <hyperlink ref="F52" r:id="rId17" display="jmarder@agcchicago.org"/>
    <hyperlink ref="F61" r:id="rId18" display="jmarder@agcchicago.org"/>
    <hyperlink ref="F15" r:id="rId19" display="cquezada@isbe.net"/>
    <hyperlink ref="F23" r:id="rId20" display="jmarder@agcchicago.org "/>
    <hyperlink ref="F40" r:id="rId21" display="jmarder@agcchicago.org"/>
    <hyperlink ref="F41" r:id="rId22" display="jmarder@agcchicago.org"/>
    <hyperlink ref="F35" r:id="rId23" display="jmarder@agcchicago.org"/>
    <hyperlink ref="F20" r:id="rId24" display="jmarder@agcchicago.org "/>
    <hyperlink ref="F46" r:id="rId25" display="cstubler@onedigital.com"/>
    <hyperlink ref="F42" r:id="rId26" display="asiewert@wealthenhancement.com"/>
    <hyperlink ref="F31" r:id="rId27" display="kmiller@goldenviewclassical.org"/>
    <hyperlink ref="F48" r:id="rId28" display="jstack85@gmail.com"/>
    <hyperlink ref="F50" r:id="rId29" display="jstack85@gmail.com"/>
    <hyperlink ref="F68" r:id="rId30" display="s.turner@tvl.com"/>
    <hyperlink ref="F73" r:id="rId31" display="skirk@iff.org"/>
    <hyperlink ref="F70" r:id="rId32" display="skirk@iff.or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8"/>
  <sheetViews>
    <sheetView zoomScale="55" zoomScaleNormal="55" zoomScalePageLayoutView="0" workbookViewId="0" topLeftCell="A1">
      <selection activeCell="C12" sqref="C12"/>
    </sheetView>
  </sheetViews>
  <sheetFormatPr defaultColWidth="9.140625" defaultRowHeight="12.75"/>
  <cols>
    <col min="1" max="1" width="34.57421875" style="0" customWidth="1"/>
    <col min="2" max="2" width="13.28125" style="0" customWidth="1"/>
    <col min="3" max="3" width="13.00390625" style="0" customWidth="1"/>
    <col min="4" max="4" width="17.00390625" style="0" customWidth="1"/>
  </cols>
  <sheetData>
    <row r="1" spans="1:10" ht="21" customHeight="1" thickBot="1">
      <c r="A1" s="888" t="str">
        <f>'Budget with Assumptions'!A2</f>
        <v>Chicago Classical Academy</v>
      </c>
      <c r="B1" s="4"/>
      <c r="C1" s="4"/>
      <c r="D1" s="4"/>
      <c r="E1" s="4"/>
      <c r="F1" s="4"/>
      <c r="G1" s="4"/>
      <c r="H1" s="4"/>
      <c r="I1" s="4"/>
      <c r="J1" s="4"/>
    </row>
    <row r="2" spans="1:10" ht="12.75">
      <c r="A2" s="4"/>
      <c r="B2" s="4"/>
      <c r="C2" s="4"/>
      <c r="D2" s="4"/>
      <c r="E2" s="4"/>
      <c r="F2" s="4"/>
      <c r="G2" s="4"/>
      <c r="H2" s="4"/>
      <c r="I2" s="4"/>
      <c r="J2" s="4"/>
    </row>
    <row r="3" spans="1:10" ht="12.75">
      <c r="A3" s="4"/>
      <c r="B3" s="4"/>
      <c r="C3" s="4"/>
      <c r="D3" s="4"/>
      <c r="E3" s="4"/>
      <c r="F3" s="4"/>
      <c r="G3" s="4"/>
      <c r="H3" s="4"/>
      <c r="I3" s="4"/>
      <c r="J3" s="4"/>
    </row>
    <row r="4" spans="1:10" ht="12.75">
      <c r="A4" s="4"/>
      <c r="B4" s="4"/>
      <c r="C4" s="4"/>
      <c r="D4" s="4"/>
      <c r="E4" s="4"/>
      <c r="F4" s="4"/>
      <c r="G4" s="4"/>
      <c r="H4" s="4"/>
      <c r="I4" s="4"/>
      <c r="J4" s="4"/>
    </row>
    <row r="5" spans="1:10" ht="12.75">
      <c r="A5" s="4"/>
      <c r="B5" s="4"/>
      <c r="C5" s="4"/>
      <c r="D5" s="4"/>
      <c r="E5" s="4"/>
      <c r="F5" s="4"/>
      <c r="G5" s="4"/>
      <c r="H5" s="4"/>
      <c r="I5" s="4"/>
      <c r="J5" s="4"/>
    </row>
    <row r="6" spans="1:10" ht="12.75">
      <c r="A6" s="4"/>
      <c r="B6" s="4"/>
      <c r="C6" s="4"/>
      <c r="D6" s="4"/>
      <c r="E6" s="4"/>
      <c r="F6" s="4"/>
      <c r="G6" s="4"/>
      <c r="H6" s="4"/>
      <c r="I6" s="4"/>
      <c r="J6" s="4"/>
    </row>
    <row r="7" spans="1:10" ht="13.5" thickBot="1">
      <c r="A7" s="4"/>
      <c r="B7" s="4"/>
      <c r="C7" s="4"/>
      <c r="D7" s="4"/>
      <c r="E7" s="4"/>
      <c r="F7" s="4"/>
      <c r="G7" s="4"/>
      <c r="H7" s="4"/>
      <c r="I7" s="4"/>
      <c r="J7" s="4"/>
    </row>
    <row r="8" spans="1:10" ht="15" customHeight="1" thickBot="1">
      <c r="A8" s="947" t="s">
        <v>498</v>
      </c>
      <c r="B8" s="948"/>
      <c r="C8" s="948"/>
      <c r="D8" s="949"/>
      <c r="E8" s="4"/>
      <c r="F8" s="4"/>
      <c r="G8" s="4"/>
      <c r="H8" s="4"/>
      <c r="I8" s="4"/>
      <c r="J8" s="4"/>
    </row>
    <row r="9" spans="1:10" ht="57.75" thickBot="1">
      <c r="A9" s="755" t="s">
        <v>387</v>
      </c>
      <c r="B9" s="755" t="s">
        <v>388</v>
      </c>
      <c r="C9" s="755" t="s">
        <v>389</v>
      </c>
      <c r="D9" s="756" t="s">
        <v>390</v>
      </c>
      <c r="E9" s="4"/>
      <c r="F9" s="4"/>
      <c r="G9" s="4"/>
      <c r="H9" s="4"/>
      <c r="I9" s="4"/>
      <c r="J9" s="4"/>
    </row>
    <row r="10" spans="1:10" ht="15">
      <c r="A10" s="744" t="s">
        <v>530</v>
      </c>
      <c r="B10" s="745">
        <v>0.5</v>
      </c>
      <c r="C10" s="746">
        <v>90000</v>
      </c>
      <c r="D10" s="757">
        <f>B10*C10</f>
        <v>45000</v>
      </c>
      <c r="E10" s="4"/>
      <c r="F10" s="4"/>
      <c r="G10" s="4"/>
      <c r="H10" s="4"/>
      <c r="I10" s="4"/>
      <c r="J10" s="4"/>
    </row>
    <row r="11" spans="1:10" ht="15">
      <c r="A11" s="744" t="s">
        <v>410</v>
      </c>
      <c r="B11" s="745">
        <v>0.5</v>
      </c>
      <c r="C11" s="746">
        <v>65000</v>
      </c>
      <c r="D11" s="757">
        <f aca="true" t="shared" si="0" ref="D11:D25">B11*C11</f>
        <v>32500</v>
      </c>
      <c r="E11" s="4"/>
      <c r="F11" s="4"/>
      <c r="G11" s="4"/>
      <c r="H11" s="4"/>
      <c r="I11" s="4"/>
      <c r="J11" s="4"/>
    </row>
    <row r="12" spans="1:10" ht="15">
      <c r="A12" s="744"/>
      <c r="B12" s="745"/>
      <c r="C12" s="746"/>
      <c r="D12" s="757">
        <f t="shared" si="0"/>
        <v>0</v>
      </c>
      <c r="E12" s="4"/>
      <c r="F12" s="4"/>
      <c r="G12" s="4"/>
      <c r="H12" s="4"/>
      <c r="I12" s="4"/>
      <c r="J12" s="4"/>
    </row>
    <row r="13" spans="1:10" ht="15">
      <c r="A13" s="736"/>
      <c r="B13" s="745"/>
      <c r="C13" s="746"/>
      <c r="D13" s="757">
        <f t="shared" si="0"/>
        <v>0</v>
      </c>
      <c r="E13" s="4"/>
      <c r="F13" s="4"/>
      <c r="G13" s="4"/>
      <c r="H13" s="4"/>
      <c r="I13" s="4"/>
      <c r="J13" s="4"/>
    </row>
    <row r="14" spans="1:10" ht="15">
      <c r="A14" s="736"/>
      <c r="B14" s="745"/>
      <c r="C14" s="747"/>
      <c r="D14" s="757">
        <f t="shared" si="0"/>
        <v>0</v>
      </c>
      <c r="E14" s="4"/>
      <c r="F14" s="4"/>
      <c r="G14" s="4"/>
      <c r="H14" s="4"/>
      <c r="I14" s="4"/>
      <c r="J14" s="4"/>
    </row>
    <row r="15" spans="1:10" ht="15">
      <c r="A15" s="736"/>
      <c r="B15" s="745"/>
      <c r="C15" s="748"/>
      <c r="D15" s="757">
        <f t="shared" si="0"/>
        <v>0</v>
      </c>
      <c r="E15" s="4"/>
      <c r="F15" s="4"/>
      <c r="G15" s="4"/>
      <c r="H15" s="4"/>
      <c r="I15" s="4"/>
      <c r="J15" s="4"/>
    </row>
    <row r="16" spans="1:10" ht="15">
      <c r="A16" s="749"/>
      <c r="B16" s="745"/>
      <c r="C16" s="748"/>
      <c r="D16" s="757">
        <f t="shared" si="0"/>
        <v>0</v>
      </c>
      <c r="E16" s="4"/>
      <c r="F16" s="4"/>
      <c r="G16" s="4"/>
      <c r="H16" s="4"/>
      <c r="I16" s="4"/>
      <c r="J16" s="4"/>
    </row>
    <row r="17" spans="1:10" ht="15">
      <c r="A17" s="737"/>
      <c r="B17" s="745"/>
      <c r="C17" s="748"/>
      <c r="D17" s="757">
        <f t="shared" si="0"/>
        <v>0</v>
      </c>
      <c r="E17" s="4"/>
      <c r="F17" s="4"/>
      <c r="G17" s="4"/>
      <c r="H17" s="4"/>
      <c r="I17" s="4"/>
      <c r="J17" s="4"/>
    </row>
    <row r="18" spans="1:10" ht="15">
      <c r="A18" s="750"/>
      <c r="B18" s="745"/>
      <c r="C18" s="748"/>
      <c r="D18" s="757">
        <f t="shared" si="0"/>
        <v>0</v>
      </c>
      <c r="E18" s="4"/>
      <c r="F18" s="4"/>
      <c r="G18" s="4"/>
      <c r="H18" s="4"/>
      <c r="I18" s="4"/>
      <c r="J18" s="4"/>
    </row>
    <row r="19" spans="1:10" ht="15">
      <c r="A19" s="750"/>
      <c r="B19" s="745"/>
      <c r="C19" s="748"/>
      <c r="D19" s="757">
        <f t="shared" si="0"/>
        <v>0</v>
      </c>
      <c r="E19" s="4"/>
      <c r="F19" s="4"/>
      <c r="G19" s="4"/>
      <c r="H19" s="4"/>
      <c r="I19" s="4"/>
      <c r="J19" s="4"/>
    </row>
    <row r="20" spans="1:10" ht="15">
      <c r="A20" s="750"/>
      <c r="B20" s="745"/>
      <c r="C20" s="748"/>
      <c r="D20" s="757">
        <f t="shared" si="0"/>
        <v>0</v>
      </c>
      <c r="E20" s="4"/>
      <c r="F20" s="4"/>
      <c r="G20" s="4"/>
      <c r="H20" s="4"/>
      <c r="I20" s="4"/>
      <c r="J20" s="4"/>
    </row>
    <row r="21" spans="1:10" ht="15">
      <c r="A21" s="751"/>
      <c r="B21" s="752"/>
      <c r="C21" s="753"/>
      <c r="D21" s="757">
        <f t="shared" si="0"/>
        <v>0</v>
      </c>
      <c r="E21" s="4"/>
      <c r="F21" s="4"/>
      <c r="G21" s="4"/>
      <c r="H21" s="4"/>
      <c r="I21" s="4"/>
      <c r="J21" s="4"/>
    </row>
    <row r="22" spans="1:10" ht="15">
      <c r="A22" s="751"/>
      <c r="B22" s="752"/>
      <c r="C22" s="753"/>
      <c r="D22" s="757">
        <f t="shared" si="0"/>
        <v>0</v>
      </c>
      <c r="E22" s="4"/>
      <c r="F22" s="4"/>
      <c r="G22" s="4"/>
      <c r="H22" s="4"/>
      <c r="I22" s="4"/>
      <c r="J22" s="4"/>
    </row>
    <row r="23" spans="1:10" ht="15">
      <c r="A23" s="751"/>
      <c r="B23" s="752"/>
      <c r="C23" s="753"/>
      <c r="D23" s="757">
        <f t="shared" si="0"/>
        <v>0</v>
      </c>
      <c r="E23" s="4"/>
      <c r="F23" s="4"/>
      <c r="G23" s="4"/>
      <c r="H23" s="4"/>
      <c r="I23" s="4"/>
      <c r="J23" s="4"/>
    </row>
    <row r="24" spans="1:10" ht="15">
      <c r="A24" s="751"/>
      <c r="B24" s="752"/>
      <c r="C24" s="753"/>
      <c r="D24" s="757">
        <f t="shared" si="0"/>
        <v>0</v>
      </c>
      <c r="E24" s="4"/>
      <c r="F24" s="4"/>
      <c r="G24" s="4"/>
      <c r="H24" s="4"/>
      <c r="I24" s="4"/>
      <c r="J24" s="4"/>
    </row>
    <row r="25" spans="1:10" ht="15.75" thickBot="1">
      <c r="A25" s="751"/>
      <c r="B25" s="752"/>
      <c r="C25" s="753"/>
      <c r="D25" s="757">
        <f t="shared" si="0"/>
        <v>0</v>
      </c>
      <c r="E25" s="4"/>
      <c r="F25" s="4"/>
      <c r="G25" s="4"/>
      <c r="H25" s="4"/>
      <c r="I25" s="4"/>
      <c r="J25" s="4"/>
    </row>
    <row r="26" spans="1:10" ht="15.75" thickBot="1">
      <c r="A26" s="759" t="s">
        <v>392</v>
      </c>
      <c r="B26" s="759">
        <f>SUM(B10:B25)</f>
        <v>1</v>
      </c>
      <c r="C26" s="760"/>
      <c r="D26" s="758">
        <f>SUM(D10:D25)</f>
        <v>77500</v>
      </c>
      <c r="E26" s="4"/>
      <c r="F26" s="4"/>
      <c r="G26" s="4"/>
      <c r="H26" s="4"/>
      <c r="I26" s="4"/>
      <c r="J26" s="4"/>
    </row>
    <row r="27" spans="1:10" ht="13.5" thickBot="1">
      <c r="A27" s="754"/>
      <c r="B27" s="754"/>
      <c r="C27" s="754"/>
      <c r="D27" s="754"/>
      <c r="E27" s="4"/>
      <c r="F27" s="4"/>
      <c r="G27" s="4"/>
      <c r="H27" s="4"/>
      <c r="I27" s="4"/>
      <c r="J27" s="4"/>
    </row>
    <row r="28" spans="1:10" ht="15.75" thickBot="1">
      <c r="A28" s="950" t="s">
        <v>393</v>
      </c>
      <c r="B28" s="951"/>
      <c r="C28" s="952"/>
      <c r="D28" s="761">
        <f>D26*0.062</f>
        <v>4805</v>
      </c>
      <c r="E28" s="4"/>
      <c r="F28" s="4"/>
      <c r="G28" s="4"/>
      <c r="H28" s="4"/>
      <c r="I28" s="4"/>
      <c r="J28" s="4"/>
    </row>
    <row r="29" spans="1:10" ht="15.75" thickBot="1">
      <c r="A29" s="950" t="s">
        <v>394</v>
      </c>
      <c r="B29" s="951"/>
      <c r="C29" s="952"/>
      <c r="D29" s="761">
        <f>D26*0.0145</f>
        <v>1123.75</v>
      </c>
      <c r="E29" s="4"/>
      <c r="F29" s="4"/>
      <c r="G29" s="4"/>
      <c r="H29" s="4"/>
      <c r="I29" s="4"/>
      <c r="J29" s="4"/>
    </row>
    <row r="30" spans="1:10" ht="12.75">
      <c r="A30" s="4"/>
      <c r="B30" s="4"/>
      <c r="C30" s="4"/>
      <c r="D30" s="4"/>
      <c r="E30" s="4"/>
      <c r="F30" s="4"/>
      <c r="G30" s="4"/>
      <c r="H30" s="4"/>
      <c r="I30" s="4"/>
      <c r="J30" s="4"/>
    </row>
    <row r="31" spans="1:10" ht="12.75">
      <c r="A31" s="4"/>
      <c r="B31" s="4"/>
      <c r="C31" s="4"/>
      <c r="D31" s="4"/>
      <c r="E31" s="4"/>
      <c r="F31" s="4"/>
      <c r="G31" s="4"/>
      <c r="H31" s="4"/>
      <c r="I31" s="4"/>
      <c r="J31" s="4"/>
    </row>
    <row r="32" spans="1:10" ht="12.75">
      <c r="A32" s="4"/>
      <c r="B32" s="4"/>
      <c r="C32" s="4"/>
      <c r="D32" s="4"/>
      <c r="E32" s="4"/>
      <c r="F32" s="4"/>
      <c r="G32" s="4"/>
      <c r="H32" s="4"/>
      <c r="I32" s="4"/>
      <c r="J32" s="4"/>
    </row>
    <row r="33" spans="1:10" ht="12.75">
      <c r="A33" s="4"/>
      <c r="B33" s="4"/>
      <c r="C33" s="4"/>
      <c r="D33" s="4"/>
      <c r="E33" s="4"/>
      <c r="F33" s="4"/>
      <c r="G33" s="4"/>
      <c r="H33" s="4"/>
      <c r="I33" s="4"/>
      <c r="J33" s="4"/>
    </row>
    <row r="34" spans="1:10" ht="12.75">
      <c r="A34" s="4"/>
      <c r="B34" s="4"/>
      <c r="C34" s="4"/>
      <c r="D34" s="4"/>
      <c r="E34" s="4"/>
      <c r="F34" s="4"/>
      <c r="G34" s="4"/>
      <c r="H34" s="4"/>
      <c r="I34" s="4"/>
      <c r="J34" s="4"/>
    </row>
    <row r="35" spans="1:10" ht="12.75">
      <c r="A35" s="4"/>
      <c r="B35" s="4"/>
      <c r="C35" s="4"/>
      <c r="D35" s="4"/>
      <c r="E35" s="4"/>
      <c r="F35" s="4"/>
      <c r="G35" s="4"/>
      <c r="H35" s="4"/>
      <c r="I35" s="4"/>
      <c r="J35" s="4"/>
    </row>
    <row r="36" spans="1:10" ht="12.75">
      <c r="A36" s="4"/>
      <c r="B36" s="4"/>
      <c r="C36" s="4"/>
      <c r="D36" s="4"/>
      <c r="E36" s="4"/>
      <c r="F36" s="4"/>
      <c r="G36" s="4"/>
      <c r="H36" s="4"/>
      <c r="I36" s="4"/>
      <c r="J36" s="4"/>
    </row>
    <row r="37" spans="1:10" ht="12.75">
      <c r="A37" s="4"/>
      <c r="B37" s="4"/>
      <c r="C37" s="4"/>
      <c r="D37" s="4"/>
      <c r="E37" s="4"/>
      <c r="F37" s="4"/>
      <c r="G37" s="4"/>
      <c r="H37" s="4"/>
      <c r="I37" s="4"/>
      <c r="J37" s="4"/>
    </row>
    <row r="38" spans="1:10" ht="12.75">
      <c r="A38" s="4"/>
      <c r="B38" s="4"/>
      <c r="C38" s="4"/>
      <c r="D38" s="4"/>
      <c r="E38" s="4"/>
      <c r="F38" s="4"/>
      <c r="G38" s="4"/>
      <c r="H38" s="4"/>
      <c r="I38" s="4"/>
      <c r="J38" s="4"/>
    </row>
    <row r="39" spans="1:10" ht="12.75">
      <c r="A39" s="4"/>
      <c r="B39" s="4"/>
      <c r="C39" s="4"/>
      <c r="D39" s="4"/>
      <c r="E39" s="4"/>
      <c r="F39" s="4"/>
      <c r="G39" s="4"/>
      <c r="H39" s="4"/>
      <c r="I39" s="4"/>
      <c r="J39" s="4"/>
    </row>
    <row r="40" spans="1:10" ht="12.75">
      <c r="A40" s="4"/>
      <c r="B40" s="4"/>
      <c r="C40" s="4"/>
      <c r="D40" s="4"/>
      <c r="E40" s="4"/>
      <c r="F40" s="4"/>
      <c r="G40" s="4"/>
      <c r="H40" s="4"/>
      <c r="I40" s="4"/>
      <c r="J40" s="4"/>
    </row>
    <row r="41" spans="1:10" ht="12.75">
      <c r="A41" s="4"/>
      <c r="B41" s="4"/>
      <c r="C41" s="4"/>
      <c r="D41" s="4"/>
      <c r="E41" s="4"/>
      <c r="F41" s="4"/>
      <c r="G41" s="4"/>
      <c r="H41" s="4"/>
      <c r="I41" s="4"/>
      <c r="J41" s="4"/>
    </row>
    <row r="42" spans="1:10" ht="12.75">
      <c r="A42" s="4"/>
      <c r="B42" s="4"/>
      <c r="C42" s="4"/>
      <c r="D42" s="4"/>
      <c r="E42" s="4"/>
      <c r="F42" s="4"/>
      <c r="G42" s="4"/>
      <c r="H42" s="4"/>
      <c r="I42" s="4"/>
      <c r="J42" s="4"/>
    </row>
    <row r="43" spans="1:10" ht="12.75">
      <c r="A43" s="4"/>
      <c r="B43" s="4"/>
      <c r="C43" s="4"/>
      <c r="D43" s="4"/>
      <c r="E43" s="4"/>
      <c r="F43" s="4"/>
      <c r="G43" s="4"/>
      <c r="H43" s="4"/>
      <c r="I43" s="4"/>
      <c r="J43" s="4"/>
    </row>
    <row r="44" spans="1:10" ht="12.75">
      <c r="A44" s="4"/>
      <c r="B44" s="4"/>
      <c r="C44" s="4"/>
      <c r="D44" s="4"/>
      <c r="E44" s="4"/>
      <c r="F44" s="4"/>
      <c r="G44" s="4"/>
      <c r="H44" s="4"/>
      <c r="I44" s="4"/>
      <c r="J44" s="4"/>
    </row>
    <row r="45" spans="1:10" ht="12.75">
      <c r="A45" s="4"/>
      <c r="B45" s="4"/>
      <c r="C45" s="4"/>
      <c r="D45" s="4"/>
      <c r="E45" s="4"/>
      <c r="F45" s="4"/>
      <c r="G45" s="4"/>
      <c r="H45" s="4"/>
      <c r="I45" s="4"/>
      <c r="J45" s="4"/>
    </row>
    <row r="46" spans="1:10" ht="12.75">
      <c r="A46" s="4"/>
      <c r="B46" s="4"/>
      <c r="C46" s="4"/>
      <c r="D46" s="4"/>
      <c r="E46" s="4"/>
      <c r="F46" s="4"/>
      <c r="G46" s="4"/>
      <c r="H46" s="4"/>
      <c r="I46" s="4"/>
      <c r="J46" s="4"/>
    </row>
    <row r="47" spans="1:10" ht="12.75">
      <c r="A47" s="4"/>
      <c r="B47" s="4"/>
      <c r="C47" s="4"/>
      <c r="D47" s="4"/>
      <c r="E47" s="4"/>
      <c r="F47" s="4"/>
      <c r="G47" s="4"/>
      <c r="H47" s="4"/>
      <c r="I47" s="4"/>
      <c r="J47" s="4"/>
    </row>
    <row r="48" spans="1:10" ht="12.75">
      <c r="A48" s="4"/>
      <c r="B48" s="4"/>
      <c r="C48" s="4"/>
      <c r="D48" s="4"/>
      <c r="E48" s="4"/>
      <c r="F48" s="4"/>
      <c r="G48" s="4"/>
      <c r="H48" s="4"/>
      <c r="I48" s="4"/>
      <c r="J48" s="4"/>
    </row>
    <row r="49" spans="1:10" ht="12.75">
      <c r="A49" s="4"/>
      <c r="B49" s="4"/>
      <c r="C49" s="4"/>
      <c r="D49" s="4"/>
      <c r="E49" s="4"/>
      <c r="F49" s="4"/>
      <c r="G49" s="4"/>
      <c r="H49" s="4"/>
      <c r="I49" s="4"/>
      <c r="J49" s="4"/>
    </row>
    <row r="50" spans="1:10" ht="12.75">
      <c r="A50" s="4"/>
      <c r="B50" s="4"/>
      <c r="C50" s="4"/>
      <c r="D50" s="4"/>
      <c r="E50" s="4"/>
      <c r="F50" s="4"/>
      <c r="G50" s="4"/>
      <c r="H50" s="4"/>
      <c r="I50" s="4"/>
      <c r="J50" s="4"/>
    </row>
    <row r="51" spans="1:10" ht="12.75">
      <c r="A51" s="4"/>
      <c r="B51" s="4"/>
      <c r="C51" s="4"/>
      <c r="D51" s="4"/>
      <c r="E51" s="4"/>
      <c r="F51" s="4"/>
      <c r="G51" s="4"/>
      <c r="H51" s="4"/>
      <c r="I51" s="4"/>
      <c r="J51" s="4"/>
    </row>
    <row r="52" spans="1:10" ht="12.75">
      <c r="A52" s="4"/>
      <c r="B52" s="4"/>
      <c r="C52" s="4"/>
      <c r="D52" s="4"/>
      <c r="E52" s="4"/>
      <c r="F52" s="4"/>
      <c r="G52" s="4"/>
      <c r="H52" s="4"/>
      <c r="I52" s="4"/>
      <c r="J52" s="4"/>
    </row>
    <row r="53" spans="1:10" ht="12.75">
      <c r="A53" s="4"/>
      <c r="B53" s="4"/>
      <c r="C53" s="4"/>
      <c r="D53" s="4"/>
      <c r="E53" s="4"/>
      <c r="F53" s="4"/>
      <c r="G53" s="4"/>
      <c r="H53" s="4"/>
      <c r="I53" s="4"/>
      <c r="J53" s="4"/>
    </row>
    <row r="54" spans="1:10" ht="12.75">
      <c r="A54" s="4"/>
      <c r="B54" s="4"/>
      <c r="C54" s="4"/>
      <c r="D54" s="4"/>
      <c r="E54" s="4"/>
      <c r="F54" s="4"/>
      <c r="G54" s="4"/>
      <c r="H54" s="4"/>
      <c r="I54" s="4"/>
      <c r="J54" s="4"/>
    </row>
    <row r="55" spans="1:10" ht="12.75">
      <c r="A55" s="4"/>
      <c r="B55" s="4"/>
      <c r="C55" s="4"/>
      <c r="D55" s="4"/>
      <c r="E55" s="4"/>
      <c r="F55" s="4"/>
      <c r="G55" s="4"/>
      <c r="H55" s="4"/>
      <c r="I55" s="4"/>
      <c r="J55" s="4"/>
    </row>
    <row r="56" spans="1:10" ht="12.75">
      <c r="A56" s="4"/>
      <c r="B56" s="4"/>
      <c r="C56" s="4"/>
      <c r="D56" s="4"/>
      <c r="E56" s="4"/>
      <c r="F56" s="4"/>
      <c r="G56" s="4"/>
      <c r="H56" s="4"/>
      <c r="I56" s="4"/>
      <c r="J56" s="4"/>
    </row>
    <row r="57" spans="1:10" ht="12.75">
      <c r="A57" s="4"/>
      <c r="B57" s="4"/>
      <c r="C57" s="4"/>
      <c r="D57" s="4"/>
      <c r="E57" s="4"/>
      <c r="F57" s="4"/>
      <c r="G57" s="4"/>
      <c r="H57" s="4"/>
      <c r="I57" s="4"/>
      <c r="J57" s="4"/>
    </row>
    <row r="58" spans="1:10" ht="12.75">
      <c r="A58" s="4"/>
      <c r="B58" s="4"/>
      <c r="C58" s="4"/>
      <c r="D58" s="4"/>
      <c r="E58" s="4"/>
      <c r="F58" s="4"/>
      <c r="G58" s="4"/>
      <c r="H58" s="4"/>
      <c r="I58" s="4"/>
      <c r="J58" s="4"/>
    </row>
  </sheetData>
  <sheetProtection password="CC59" sheet="1" formatColumns="0" formatRows="0" insertColumns="0" insertRows="0"/>
  <mergeCells count="3">
    <mergeCell ref="A8:D8"/>
    <mergeCell ref="A28:C28"/>
    <mergeCell ref="A29:C29"/>
  </mergeCells>
  <dataValidations count="1">
    <dataValidation allowBlank="1" showInputMessage="1" showErrorMessage="1" prompt="You may change any of the job titles." sqref="A17 A13:A15"/>
  </dataValidations>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I123"/>
  <sheetViews>
    <sheetView zoomScale="55" zoomScaleNormal="55" zoomScalePageLayoutView="0" workbookViewId="0" topLeftCell="A1">
      <selection activeCell="C14" sqref="C14"/>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9" ht="13.5" thickBot="1">
      <c r="A1" s="888" t="str">
        <f>'Budget with Assumptions'!A2</f>
        <v>Chicago Classical Academy</v>
      </c>
      <c r="B1" s="4"/>
      <c r="C1" s="4"/>
      <c r="D1" s="4"/>
      <c r="E1" s="4"/>
      <c r="F1" s="4"/>
      <c r="G1" s="4"/>
      <c r="H1" s="4"/>
      <c r="I1" s="4"/>
    </row>
    <row r="2" spans="1:9" ht="12.75">
      <c r="A2" s="4"/>
      <c r="B2" s="4"/>
      <c r="C2" s="4"/>
      <c r="D2" s="4"/>
      <c r="E2" s="4"/>
      <c r="F2" s="4"/>
      <c r="G2" s="4"/>
      <c r="H2" s="4"/>
      <c r="I2" s="4"/>
    </row>
    <row r="3" spans="1:9" ht="12.75">
      <c r="A3" s="4"/>
      <c r="B3" s="4"/>
      <c r="C3" s="4"/>
      <c r="D3" s="4"/>
      <c r="E3" s="4"/>
      <c r="F3" s="4"/>
      <c r="G3" s="4"/>
      <c r="H3" s="4"/>
      <c r="I3" s="4"/>
    </row>
    <row r="4" spans="1:9" ht="12.75">
      <c r="A4" s="4"/>
      <c r="B4" s="4"/>
      <c r="C4" s="4"/>
      <c r="D4" s="4"/>
      <c r="E4" s="4"/>
      <c r="F4" s="4"/>
      <c r="G4" s="4"/>
      <c r="H4" s="4"/>
      <c r="I4" s="4"/>
    </row>
    <row r="5" spans="1:9" ht="12.75">
      <c r="A5" s="4"/>
      <c r="B5" s="4"/>
      <c r="C5" s="4"/>
      <c r="D5" s="4"/>
      <c r="E5" s="4"/>
      <c r="F5" s="4"/>
      <c r="G5" s="4"/>
      <c r="H5" s="4"/>
      <c r="I5" s="4"/>
    </row>
    <row r="6" spans="1:9" ht="12.75">
      <c r="A6" s="4"/>
      <c r="B6" s="4"/>
      <c r="C6" s="4"/>
      <c r="D6" s="4"/>
      <c r="E6" s="4"/>
      <c r="F6" s="4"/>
      <c r="G6" s="4"/>
      <c r="H6" s="4"/>
      <c r="I6" s="4"/>
    </row>
    <row r="7" spans="1:9" ht="12.75">
      <c r="A7" s="4"/>
      <c r="B7" s="4"/>
      <c r="C7" s="4"/>
      <c r="D7" s="4"/>
      <c r="E7" s="4"/>
      <c r="F7" s="4"/>
      <c r="G7" s="4"/>
      <c r="H7" s="4"/>
      <c r="I7" s="4"/>
    </row>
    <row r="8" spans="1:9" ht="13.5" thickBot="1">
      <c r="A8" s="4"/>
      <c r="B8" s="4"/>
      <c r="C8" s="4"/>
      <c r="D8" s="4"/>
      <c r="E8" s="4"/>
      <c r="F8" s="4"/>
      <c r="G8" s="4"/>
      <c r="H8" s="4"/>
      <c r="I8" s="4"/>
    </row>
    <row r="9" spans="1:9" ht="15" thickBot="1">
      <c r="A9" s="956" t="s">
        <v>499</v>
      </c>
      <c r="B9" s="957"/>
      <c r="C9" s="957"/>
      <c r="D9" s="958"/>
      <c r="E9" s="754"/>
      <c r="F9" s="754"/>
      <c r="G9" s="754"/>
      <c r="H9" s="4"/>
      <c r="I9" s="4"/>
    </row>
    <row r="10" spans="1:9" ht="15" thickBot="1">
      <c r="A10" s="959" t="s">
        <v>395</v>
      </c>
      <c r="B10" s="960"/>
      <c r="C10" s="960"/>
      <c r="D10" s="961"/>
      <c r="E10" s="754"/>
      <c r="F10" s="754"/>
      <c r="G10" s="754"/>
      <c r="H10" s="4"/>
      <c r="I10" s="4"/>
    </row>
    <row r="11" spans="1:9" ht="90.75" thickBot="1">
      <c r="A11" s="771" t="s">
        <v>387</v>
      </c>
      <c r="B11" s="771" t="s">
        <v>388</v>
      </c>
      <c r="C11" s="771" t="s">
        <v>389</v>
      </c>
      <c r="D11" s="772" t="s">
        <v>390</v>
      </c>
      <c r="E11" s="738" t="s">
        <v>396</v>
      </c>
      <c r="F11" s="738" t="s">
        <v>397</v>
      </c>
      <c r="G11" s="738" t="s">
        <v>398</v>
      </c>
      <c r="H11" s="4"/>
      <c r="I11" s="4"/>
    </row>
    <row r="12" spans="1:9" ht="16.5" thickBot="1">
      <c r="A12" s="953"/>
      <c r="B12" s="954"/>
      <c r="C12" s="954"/>
      <c r="D12" s="955"/>
      <c r="E12" s="762">
        <v>0.05</v>
      </c>
      <c r="F12" s="773">
        <v>0.1116</v>
      </c>
      <c r="G12" s="774">
        <v>0.0145</v>
      </c>
      <c r="H12" s="4"/>
      <c r="I12" s="4"/>
    </row>
    <row r="13" spans="1:9" ht="15">
      <c r="A13" s="744" t="str">
        <f>'[1]Salaries - Year O'!A10</f>
        <v>Principal: Lower Grades</v>
      </c>
      <c r="B13" s="763">
        <v>1</v>
      </c>
      <c r="C13" s="746">
        <v>91800</v>
      </c>
      <c r="D13" s="757">
        <f>B13*C13</f>
        <v>91800</v>
      </c>
      <c r="E13" s="775">
        <f>D13*$E$12</f>
        <v>4590</v>
      </c>
      <c r="F13" s="776">
        <f>D13*$F$12</f>
        <v>10244.880000000001</v>
      </c>
      <c r="G13" s="775">
        <f>D13*$G$12</f>
        <v>1331.1000000000001</v>
      </c>
      <c r="H13" s="4"/>
      <c r="I13" s="4"/>
    </row>
    <row r="14" spans="1:9" ht="15">
      <c r="A14" s="744" t="s">
        <v>39</v>
      </c>
      <c r="B14" s="764">
        <v>12</v>
      </c>
      <c r="C14" s="746">
        <v>48917</v>
      </c>
      <c r="D14" s="757">
        <f aca="true" t="shared" si="0" ref="D14:D34">B14*C14</f>
        <v>587004</v>
      </c>
      <c r="E14" s="775">
        <f aca="true" t="shared" si="1" ref="E14:E34">D14*$E$12</f>
        <v>29350.2</v>
      </c>
      <c r="F14" s="776">
        <f aca="true" t="shared" si="2" ref="F14:F26">D14*$F$12</f>
        <v>65509.646400000005</v>
      </c>
      <c r="G14" s="775">
        <f aca="true" t="shared" si="3" ref="G14:G34">D14*$G$12</f>
        <v>8511.558</v>
      </c>
      <c r="H14" s="4"/>
      <c r="I14" s="4"/>
    </row>
    <row r="15" spans="1:9" ht="15">
      <c r="A15" s="736"/>
      <c r="B15" s="764"/>
      <c r="C15" s="746"/>
      <c r="D15" s="757">
        <f t="shared" si="0"/>
        <v>0</v>
      </c>
      <c r="E15" s="775">
        <f t="shared" si="1"/>
        <v>0</v>
      </c>
      <c r="F15" s="776">
        <f t="shared" si="2"/>
        <v>0</v>
      </c>
      <c r="G15" s="775">
        <f t="shared" si="3"/>
        <v>0</v>
      </c>
      <c r="H15" s="4"/>
      <c r="I15" s="4"/>
    </row>
    <row r="16" spans="1:9" ht="15">
      <c r="A16" s="736"/>
      <c r="B16" s="764"/>
      <c r="C16" s="746"/>
      <c r="D16" s="757">
        <f t="shared" si="0"/>
        <v>0</v>
      </c>
      <c r="E16" s="775">
        <f t="shared" si="1"/>
        <v>0</v>
      </c>
      <c r="F16" s="776">
        <f t="shared" si="2"/>
        <v>0</v>
      </c>
      <c r="G16" s="775">
        <f t="shared" si="3"/>
        <v>0</v>
      </c>
      <c r="H16" s="4"/>
      <c r="I16" s="4"/>
    </row>
    <row r="17" spans="1:9" ht="15">
      <c r="A17" s="736"/>
      <c r="B17" s="764"/>
      <c r="C17" s="747"/>
      <c r="D17" s="757">
        <f t="shared" si="0"/>
        <v>0</v>
      </c>
      <c r="E17" s="775">
        <f t="shared" si="1"/>
        <v>0</v>
      </c>
      <c r="F17" s="776">
        <f t="shared" si="2"/>
        <v>0</v>
      </c>
      <c r="G17" s="775">
        <f t="shared" si="3"/>
        <v>0</v>
      </c>
      <c r="H17" s="4"/>
      <c r="I17" s="4"/>
    </row>
    <row r="18" spans="1:9" ht="15">
      <c r="A18" s="736"/>
      <c r="B18" s="764"/>
      <c r="C18" s="748"/>
      <c r="D18" s="757">
        <f t="shared" si="0"/>
        <v>0</v>
      </c>
      <c r="E18" s="775">
        <f t="shared" si="1"/>
        <v>0</v>
      </c>
      <c r="F18" s="776">
        <f t="shared" si="2"/>
        <v>0</v>
      </c>
      <c r="G18" s="775">
        <f t="shared" si="3"/>
        <v>0</v>
      </c>
      <c r="H18" s="4"/>
      <c r="I18" s="4"/>
    </row>
    <row r="19" spans="1:9" ht="15">
      <c r="A19" s="736"/>
      <c r="B19" s="764"/>
      <c r="C19" s="748"/>
      <c r="D19" s="757">
        <f t="shared" si="0"/>
        <v>0</v>
      </c>
      <c r="E19" s="775">
        <f t="shared" si="1"/>
        <v>0</v>
      </c>
      <c r="F19" s="776">
        <f t="shared" si="2"/>
        <v>0</v>
      </c>
      <c r="G19" s="775">
        <f t="shared" si="3"/>
        <v>0</v>
      </c>
      <c r="H19" s="4"/>
      <c r="I19" s="4"/>
    </row>
    <row r="20" spans="1:9" ht="15">
      <c r="A20" s="736"/>
      <c r="B20" s="764"/>
      <c r="C20" s="748"/>
      <c r="D20" s="757">
        <f t="shared" si="0"/>
        <v>0</v>
      </c>
      <c r="E20" s="775">
        <f t="shared" si="1"/>
        <v>0</v>
      </c>
      <c r="F20" s="776">
        <f t="shared" si="2"/>
        <v>0</v>
      </c>
      <c r="G20" s="775">
        <f t="shared" si="3"/>
        <v>0</v>
      </c>
      <c r="H20" s="4"/>
      <c r="I20" s="4"/>
    </row>
    <row r="21" spans="1:9" ht="15">
      <c r="A21" s="736"/>
      <c r="B21" s="764"/>
      <c r="C21" s="748"/>
      <c r="D21" s="757">
        <f t="shared" si="0"/>
        <v>0</v>
      </c>
      <c r="E21" s="775">
        <f t="shared" si="1"/>
        <v>0</v>
      </c>
      <c r="F21" s="776">
        <f t="shared" si="2"/>
        <v>0</v>
      </c>
      <c r="G21" s="775">
        <f t="shared" si="3"/>
        <v>0</v>
      </c>
      <c r="H21" s="4"/>
      <c r="I21" s="4"/>
    </row>
    <row r="22" spans="1:9" ht="15">
      <c r="A22" s="736"/>
      <c r="B22" s="764"/>
      <c r="C22" s="748"/>
      <c r="D22" s="757">
        <f t="shared" si="0"/>
        <v>0</v>
      </c>
      <c r="E22" s="775">
        <f t="shared" si="1"/>
        <v>0</v>
      </c>
      <c r="F22" s="776">
        <f t="shared" si="2"/>
        <v>0</v>
      </c>
      <c r="G22" s="775">
        <f t="shared" si="3"/>
        <v>0</v>
      </c>
      <c r="H22" s="4"/>
      <c r="I22" s="4"/>
    </row>
    <row r="23" spans="1:9" ht="15">
      <c r="A23" s="736"/>
      <c r="B23" s="764"/>
      <c r="C23" s="748"/>
      <c r="D23" s="757">
        <f t="shared" si="0"/>
        <v>0</v>
      </c>
      <c r="E23" s="775">
        <f t="shared" si="1"/>
        <v>0</v>
      </c>
      <c r="F23" s="776">
        <f t="shared" si="2"/>
        <v>0</v>
      </c>
      <c r="G23" s="775">
        <f t="shared" si="3"/>
        <v>0</v>
      </c>
      <c r="H23" s="4"/>
      <c r="I23" s="4"/>
    </row>
    <row r="24" spans="1:9" ht="15">
      <c r="A24" s="736"/>
      <c r="B24" s="764"/>
      <c r="C24" s="748"/>
      <c r="D24" s="757">
        <f t="shared" si="0"/>
        <v>0</v>
      </c>
      <c r="E24" s="775">
        <f t="shared" si="1"/>
        <v>0</v>
      </c>
      <c r="F24" s="776">
        <f t="shared" si="2"/>
        <v>0</v>
      </c>
      <c r="G24" s="775">
        <f t="shared" si="3"/>
        <v>0</v>
      </c>
      <c r="H24" s="4"/>
      <c r="I24" s="4"/>
    </row>
    <row r="25" spans="1:9" ht="15">
      <c r="A25" s="736"/>
      <c r="B25" s="764"/>
      <c r="C25" s="748"/>
      <c r="D25" s="757">
        <f t="shared" si="0"/>
        <v>0</v>
      </c>
      <c r="E25" s="775">
        <f t="shared" si="1"/>
        <v>0</v>
      </c>
      <c r="F25" s="776">
        <f t="shared" si="2"/>
        <v>0</v>
      </c>
      <c r="G25" s="775">
        <f t="shared" si="3"/>
        <v>0</v>
      </c>
      <c r="H25" s="4"/>
      <c r="I25" s="4"/>
    </row>
    <row r="26" spans="1:9" ht="15.75" thickBot="1">
      <c r="A26" s="750"/>
      <c r="B26" s="764"/>
      <c r="C26" s="748"/>
      <c r="D26" s="757">
        <f t="shared" si="0"/>
        <v>0</v>
      </c>
      <c r="E26" s="775">
        <f t="shared" si="1"/>
        <v>0</v>
      </c>
      <c r="F26" s="777">
        <f t="shared" si="2"/>
        <v>0</v>
      </c>
      <c r="G26" s="775">
        <f t="shared" si="3"/>
        <v>0</v>
      </c>
      <c r="H26" s="4"/>
      <c r="I26" s="4"/>
    </row>
    <row r="27" spans="1:9" ht="15">
      <c r="A27" s="739" t="s">
        <v>399</v>
      </c>
      <c r="B27" s="764">
        <v>1</v>
      </c>
      <c r="C27" s="748">
        <v>50000</v>
      </c>
      <c r="D27" s="757">
        <f t="shared" si="0"/>
        <v>50000</v>
      </c>
      <c r="E27" s="778">
        <f t="shared" si="1"/>
        <v>2500</v>
      </c>
      <c r="F27" s="779"/>
      <c r="G27" s="780">
        <f t="shared" si="3"/>
        <v>725</v>
      </c>
      <c r="H27" s="4"/>
      <c r="I27" s="4"/>
    </row>
    <row r="28" spans="1:9" ht="15.75" thickBot="1">
      <c r="A28" s="740" t="s">
        <v>400</v>
      </c>
      <c r="B28" s="764">
        <v>1</v>
      </c>
      <c r="C28" s="748">
        <v>30000</v>
      </c>
      <c r="D28" s="757">
        <f t="shared" si="0"/>
        <v>30000</v>
      </c>
      <c r="E28" s="778">
        <f t="shared" si="1"/>
        <v>1500</v>
      </c>
      <c r="F28" s="781"/>
      <c r="G28" s="780">
        <f t="shared" si="3"/>
        <v>435</v>
      </c>
      <c r="H28" s="4"/>
      <c r="I28" s="4"/>
    </row>
    <row r="29" spans="1:9" ht="15" hidden="1">
      <c r="A29" s="740" t="s">
        <v>401</v>
      </c>
      <c r="B29" s="764"/>
      <c r="C29" s="748"/>
      <c r="D29" s="757">
        <f t="shared" si="0"/>
        <v>0</v>
      </c>
      <c r="E29" s="778">
        <f t="shared" si="1"/>
        <v>0</v>
      </c>
      <c r="F29" s="781"/>
      <c r="G29" s="780">
        <f t="shared" si="3"/>
        <v>0</v>
      </c>
      <c r="H29" s="4"/>
      <c r="I29" s="4"/>
    </row>
    <row r="30" spans="1:9" ht="15" hidden="1">
      <c r="A30" s="740" t="s">
        <v>402</v>
      </c>
      <c r="B30" s="764"/>
      <c r="C30" s="748"/>
      <c r="D30" s="757">
        <f t="shared" si="0"/>
        <v>0</v>
      </c>
      <c r="E30" s="778">
        <f t="shared" si="1"/>
        <v>0</v>
      </c>
      <c r="F30" s="781"/>
      <c r="G30" s="780">
        <f t="shared" si="3"/>
        <v>0</v>
      </c>
      <c r="H30" s="4"/>
      <c r="I30" s="4"/>
    </row>
    <row r="31" spans="1:9" ht="15" hidden="1">
      <c r="A31" s="740" t="s">
        <v>403</v>
      </c>
      <c r="B31" s="764"/>
      <c r="C31" s="748"/>
      <c r="D31" s="757">
        <f t="shared" si="0"/>
        <v>0</v>
      </c>
      <c r="E31" s="778">
        <f t="shared" si="1"/>
        <v>0</v>
      </c>
      <c r="F31" s="781"/>
      <c r="G31" s="780">
        <f t="shared" si="3"/>
        <v>0</v>
      </c>
      <c r="H31" s="4"/>
      <c r="I31" s="4"/>
    </row>
    <row r="32" spans="1:9" ht="15" hidden="1">
      <c r="A32" s="740" t="s">
        <v>404</v>
      </c>
      <c r="B32" s="764"/>
      <c r="C32" s="748"/>
      <c r="D32" s="757">
        <f t="shared" si="0"/>
        <v>0</v>
      </c>
      <c r="E32" s="778">
        <f t="shared" si="1"/>
        <v>0</v>
      </c>
      <c r="F32" s="781"/>
      <c r="G32" s="780">
        <f t="shared" si="3"/>
        <v>0</v>
      </c>
      <c r="H32" s="4"/>
      <c r="I32" s="4"/>
    </row>
    <row r="33" spans="1:9" ht="15" hidden="1">
      <c r="A33" s="740" t="s">
        <v>405</v>
      </c>
      <c r="B33" s="764"/>
      <c r="C33" s="748"/>
      <c r="D33" s="757">
        <f t="shared" si="0"/>
        <v>0</v>
      </c>
      <c r="E33" s="778">
        <f t="shared" si="1"/>
        <v>0</v>
      </c>
      <c r="F33" s="781"/>
      <c r="G33" s="780">
        <f t="shared" si="3"/>
        <v>0</v>
      </c>
      <c r="H33" s="4"/>
      <c r="I33" s="4"/>
    </row>
    <row r="34" spans="1:9" ht="15.75" hidden="1" thickBot="1">
      <c r="A34" s="741" t="s">
        <v>406</v>
      </c>
      <c r="B34" s="765"/>
      <c r="C34" s="753"/>
      <c r="D34" s="757">
        <f t="shared" si="0"/>
        <v>0</v>
      </c>
      <c r="E34" s="778">
        <f t="shared" si="1"/>
        <v>0</v>
      </c>
      <c r="F34" s="782"/>
      <c r="G34" s="780">
        <f t="shared" si="3"/>
        <v>0</v>
      </c>
      <c r="H34" s="4"/>
      <c r="I34" s="4"/>
    </row>
    <row r="35" spans="1:9" ht="15.75" thickBot="1">
      <c r="A35" s="783" t="s">
        <v>407</v>
      </c>
      <c r="B35" s="784">
        <f>SUM(B13:B28)</f>
        <v>15</v>
      </c>
      <c r="C35" s="760"/>
      <c r="D35" s="761">
        <f>SUM(D13:D28)</f>
        <v>758804</v>
      </c>
      <c r="E35" s="761">
        <f>SUM(E13:E28)</f>
        <v>37940.2</v>
      </c>
      <c r="F35" s="761">
        <f>SUM(F13:F28)</f>
        <v>75754.5264</v>
      </c>
      <c r="G35" s="761">
        <f>SUM(G13:G28)</f>
        <v>11002.658000000001</v>
      </c>
      <c r="H35" s="4"/>
      <c r="I35" s="4"/>
    </row>
    <row r="36" spans="1:9" ht="12.75">
      <c r="A36" s="962"/>
      <c r="B36" s="962"/>
      <c r="C36" s="962"/>
      <c r="D36" s="767"/>
      <c r="E36" s="754"/>
      <c r="F36" s="754"/>
      <c r="G36" s="754"/>
      <c r="H36" s="4"/>
      <c r="I36" s="4"/>
    </row>
    <row r="37" spans="1:9" ht="13.5" thickBot="1">
      <c r="A37" s="766"/>
      <c r="B37" s="766"/>
      <c r="C37" s="766"/>
      <c r="D37" s="767"/>
      <c r="E37" s="754"/>
      <c r="F37" s="754"/>
      <c r="G37" s="754"/>
      <c r="H37" s="4"/>
      <c r="I37" s="4"/>
    </row>
    <row r="38" spans="1:9" ht="15" thickBot="1">
      <c r="A38" s="956" t="s">
        <v>471</v>
      </c>
      <c r="B38" s="957"/>
      <c r="C38" s="957"/>
      <c r="D38" s="958"/>
      <c r="E38" s="754"/>
      <c r="F38" s="754"/>
      <c r="G38" s="754"/>
      <c r="H38" s="4"/>
      <c r="I38" s="4"/>
    </row>
    <row r="39" spans="1:9" ht="60.75" thickBot="1">
      <c r="A39" s="959" t="s">
        <v>408</v>
      </c>
      <c r="B39" s="960"/>
      <c r="C39" s="960"/>
      <c r="D39" s="961"/>
      <c r="E39" s="738" t="s">
        <v>409</v>
      </c>
      <c r="F39" s="738" t="s">
        <v>398</v>
      </c>
      <c r="G39" s="754"/>
      <c r="H39" s="4"/>
      <c r="I39" s="4"/>
    </row>
    <row r="40" spans="1:9" ht="16.5" thickBot="1">
      <c r="A40" s="953"/>
      <c r="B40" s="954"/>
      <c r="C40" s="954"/>
      <c r="D40" s="955"/>
      <c r="E40" s="774">
        <v>0.062</v>
      </c>
      <c r="F40" s="774">
        <v>0.0145</v>
      </c>
      <c r="G40" s="754"/>
      <c r="H40" s="4"/>
      <c r="I40" s="4"/>
    </row>
    <row r="41" spans="1:9" ht="15">
      <c r="A41" s="744" t="s">
        <v>391</v>
      </c>
      <c r="B41" s="763">
        <v>6</v>
      </c>
      <c r="C41" s="746">
        <v>20000</v>
      </c>
      <c r="D41" s="757">
        <f>B41*C41</f>
        <v>120000</v>
      </c>
      <c r="E41" s="775">
        <f>D41*$E$40</f>
        <v>7440</v>
      </c>
      <c r="F41" s="775">
        <f>D41*$F$40</f>
        <v>1740</v>
      </c>
      <c r="G41" s="754"/>
      <c r="H41" s="4"/>
      <c r="I41" s="4"/>
    </row>
    <row r="42" spans="1:9" ht="15">
      <c r="A42" s="744" t="s">
        <v>531</v>
      </c>
      <c r="B42" s="764">
        <v>2</v>
      </c>
      <c r="C42" s="746">
        <v>35000</v>
      </c>
      <c r="D42" s="757">
        <f aca="true" t="shared" si="4" ref="D42:D62">B42*C42</f>
        <v>70000</v>
      </c>
      <c r="E42" s="785">
        <f aca="true" t="shared" si="5" ref="E42:E62">D42*$E$40</f>
        <v>4340</v>
      </c>
      <c r="F42" s="785">
        <f aca="true" t="shared" si="6" ref="F42:F62">D42*$F$40</f>
        <v>1015</v>
      </c>
      <c r="G42" s="754"/>
      <c r="H42" s="4"/>
      <c r="I42" s="4"/>
    </row>
    <row r="43" spans="1:9" ht="15">
      <c r="A43" s="744" t="s">
        <v>410</v>
      </c>
      <c r="B43" s="764">
        <v>1</v>
      </c>
      <c r="C43" s="746">
        <v>66300</v>
      </c>
      <c r="D43" s="757">
        <f>B43*C43</f>
        <v>66300</v>
      </c>
      <c r="E43" s="785">
        <f t="shared" si="5"/>
        <v>4110.6</v>
      </c>
      <c r="F43" s="785">
        <f t="shared" si="6"/>
        <v>961.35</v>
      </c>
      <c r="G43" s="754"/>
      <c r="H43" s="4"/>
      <c r="I43" s="4"/>
    </row>
    <row r="44" spans="1:9" ht="15">
      <c r="A44" s="736" t="s">
        <v>532</v>
      </c>
      <c r="B44" s="764">
        <v>1</v>
      </c>
      <c r="C44" s="747">
        <v>40000</v>
      </c>
      <c r="D44" s="757">
        <f>B44*C44</f>
        <v>40000</v>
      </c>
      <c r="E44" s="785">
        <f t="shared" si="5"/>
        <v>2480</v>
      </c>
      <c r="F44" s="785">
        <f t="shared" si="6"/>
        <v>580</v>
      </c>
      <c r="G44" s="754"/>
      <c r="H44" s="4"/>
      <c r="I44" s="4"/>
    </row>
    <row r="45" spans="1:9" ht="15">
      <c r="A45" s="736" t="s">
        <v>533</v>
      </c>
      <c r="B45" s="764">
        <v>1</v>
      </c>
      <c r="C45" s="748">
        <v>40000</v>
      </c>
      <c r="D45" s="757">
        <f>B45*C45</f>
        <v>40000</v>
      </c>
      <c r="E45" s="785">
        <f t="shared" si="5"/>
        <v>2480</v>
      </c>
      <c r="F45" s="785">
        <f t="shared" si="6"/>
        <v>580</v>
      </c>
      <c r="G45" s="754"/>
      <c r="H45" s="4"/>
      <c r="I45" s="4"/>
    </row>
    <row r="46" spans="1:9" ht="15">
      <c r="A46" s="736"/>
      <c r="B46" s="764"/>
      <c r="C46" s="748"/>
      <c r="D46" s="757">
        <f>B46*C46</f>
        <v>0</v>
      </c>
      <c r="E46" s="785">
        <f t="shared" si="5"/>
        <v>0</v>
      </c>
      <c r="F46" s="785">
        <f t="shared" si="6"/>
        <v>0</v>
      </c>
      <c r="G46" s="754"/>
      <c r="H46" s="4"/>
      <c r="I46" s="4"/>
    </row>
    <row r="47" spans="1:9" ht="15">
      <c r="A47" s="736"/>
      <c r="B47" s="764"/>
      <c r="C47" s="748"/>
      <c r="D47" s="757">
        <f>B47*C47</f>
        <v>0</v>
      </c>
      <c r="E47" s="785">
        <f t="shared" si="5"/>
        <v>0</v>
      </c>
      <c r="F47" s="785">
        <f t="shared" si="6"/>
        <v>0</v>
      </c>
      <c r="G47" s="754"/>
      <c r="H47" s="4"/>
      <c r="I47" s="4"/>
    </row>
    <row r="48" spans="1:9" ht="15">
      <c r="A48" s="736"/>
      <c r="B48" s="764"/>
      <c r="C48" s="748"/>
      <c r="D48" s="757">
        <f t="shared" si="4"/>
        <v>0</v>
      </c>
      <c r="E48" s="785">
        <f t="shared" si="5"/>
        <v>0</v>
      </c>
      <c r="F48" s="785">
        <f t="shared" si="6"/>
        <v>0</v>
      </c>
      <c r="G48" s="754"/>
      <c r="H48" s="4"/>
      <c r="I48" s="4"/>
    </row>
    <row r="49" spans="1:9" ht="15">
      <c r="A49" s="736"/>
      <c r="B49" s="764"/>
      <c r="C49" s="748"/>
      <c r="D49" s="757">
        <f t="shared" si="4"/>
        <v>0</v>
      </c>
      <c r="E49" s="785">
        <f t="shared" si="5"/>
        <v>0</v>
      </c>
      <c r="F49" s="785">
        <f t="shared" si="6"/>
        <v>0</v>
      </c>
      <c r="G49" s="754"/>
      <c r="H49" s="4"/>
      <c r="I49" s="4"/>
    </row>
    <row r="50" spans="1:9" ht="15">
      <c r="A50" s="736"/>
      <c r="B50" s="764"/>
      <c r="C50" s="748"/>
      <c r="D50" s="757">
        <f t="shared" si="4"/>
        <v>0</v>
      </c>
      <c r="E50" s="785">
        <f t="shared" si="5"/>
        <v>0</v>
      </c>
      <c r="F50" s="785">
        <f t="shared" si="6"/>
        <v>0</v>
      </c>
      <c r="G50" s="754"/>
      <c r="H50" s="4"/>
      <c r="I50" s="4"/>
    </row>
    <row r="51" spans="1:9" ht="15">
      <c r="A51" s="736"/>
      <c r="B51" s="764"/>
      <c r="C51" s="748"/>
      <c r="D51" s="757">
        <f t="shared" si="4"/>
        <v>0</v>
      </c>
      <c r="E51" s="785">
        <f t="shared" si="5"/>
        <v>0</v>
      </c>
      <c r="F51" s="785">
        <f t="shared" si="6"/>
        <v>0</v>
      </c>
      <c r="G51" s="754"/>
      <c r="H51" s="4"/>
      <c r="I51" s="4"/>
    </row>
    <row r="52" spans="1:9" ht="15">
      <c r="A52" s="736"/>
      <c r="B52" s="764"/>
      <c r="C52" s="748"/>
      <c r="D52" s="757">
        <f t="shared" si="4"/>
        <v>0</v>
      </c>
      <c r="E52" s="785">
        <f t="shared" si="5"/>
        <v>0</v>
      </c>
      <c r="F52" s="785">
        <f t="shared" si="6"/>
        <v>0</v>
      </c>
      <c r="G52" s="754"/>
      <c r="H52" s="4"/>
      <c r="I52" s="4"/>
    </row>
    <row r="53" spans="1:9" ht="15">
      <c r="A53" s="737"/>
      <c r="B53" s="764"/>
      <c r="C53" s="748"/>
      <c r="D53" s="757">
        <f t="shared" si="4"/>
        <v>0</v>
      </c>
      <c r="E53" s="785">
        <f t="shared" si="5"/>
        <v>0</v>
      </c>
      <c r="F53" s="785">
        <f t="shared" si="6"/>
        <v>0</v>
      </c>
      <c r="G53" s="754"/>
      <c r="H53" s="4"/>
      <c r="I53" s="4"/>
    </row>
    <row r="54" spans="1:9" ht="15">
      <c r="A54" s="737"/>
      <c r="B54" s="764"/>
      <c r="C54" s="748"/>
      <c r="D54" s="757">
        <f t="shared" si="4"/>
        <v>0</v>
      </c>
      <c r="E54" s="785">
        <f t="shared" si="5"/>
        <v>0</v>
      </c>
      <c r="F54" s="785">
        <f t="shared" si="6"/>
        <v>0</v>
      </c>
      <c r="G54" s="754"/>
      <c r="H54" s="4"/>
      <c r="I54" s="4"/>
    </row>
    <row r="55" spans="1:9" ht="15">
      <c r="A55" s="737"/>
      <c r="B55" s="768"/>
      <c r="C55" s="748"/>
      <c r="D55" s="757">
        <f t="shared" si="4"/>
        <v>0</v>
      </c>
      <c r="E55" s="785">
        <f t="shared" si="5"/>
        <v>0</v>
      </c>
      <c r="F55" s="785">
        <f t="shared" si="6"/>
        <v>0</v>
      </c>
      <c r="G55" s="754"/>
      <c r="H55" s="4"/>
      <c r="I55" s="4"/>
    </row>
    <row r="56" spans="1:9" ht="15">
      <c r="A56" s="737"/>
      <c r="B56" s="768"/>
      <c r="C56" s="748"/>
      <c r="D56" s="757">
        <f t="shared" si="4"/>
        <v>0</v>
      </c>
      <c r="E56" s="785">
        <f t="shared" si="5"/>
        <v>0</v>
      </c>
      <c r="F56" s="785">
        <f t="shared" si="6"/>
        <v>0</v>
      </c>
      <c r="G56" s="754"/>
      <c r="H56" s="4"/>
      <c r="I56" s="4"/>
    </row>
    <row r="57" spans="1:9" ht="15">
      <c r="A57" s="737"/>
      <c r="B57" s="768"/>
      <c r="C57" s="748"/>
      <c r="D57" s="757">
        <f t="shared" si="4"/>
        <v>0</v>
      </c>
      <c r="E57" s="785">
        <f t="shared" si="5"/>
        <v>0</v>
      </c>
      <c r="F57" s="785">
        <f t="shared" si="6"/>
        <v>0</v>
      </c>
      <c r="G57" s="754"/>
      <c r="H57" s="4"/>
      <c r="I57" s="4"/>
    </row>
    <row r="58" spans="1:9" ht="15">
      <c r="A58" s="737"/>
      <c r="B58" s="768"/>
      <c r="C58" s="748"/>
      <c r="D58" s="757">
        <f t="shared" si="4"/>
        <v>0</v>
      </c>
      <c r="E58" s="785">
        <f t="shared" si="5"/>
        <v>0</v>
      </c>
      <c r="F58" s="785">
        <f t="shared" si="6"/>
        <v>0</v>
      </c>
      <c r="G58" s="754"/>
      <c r="H58" s="4"/>
      <c r="I58" s="4"/>
    </row>
    <row r="59" spans="1:9" ht="15">
      <c r="A59" s="737"/>
      <c r="B59" s="768"/>
      <c r="C59" s="748"/>
      <c r="D59" s="757">
        <f t="shared" si="4"/>
        <v>0</v>
      </c>
      <c r="E59" s="785">
        <f t="shared" si="5"/>
        <v>0</v>
      </c>
      <c r="F59" s="785">
        <f t="shared" si="6"/>
        <v>0</v>
      </c>
      <c r="G59" s="754"/>
      <c r="H59" s="4"/>
      <c r="I59" s="4"/>
    </row>
    <row r="60" spans="1:9" ht="15">
      <c r="A60" s="737"/>
      <c r="B60" s="768"/>
      <c r="C60" s="748"/>
      <c r="D60" s="757">
        <f t="shared" si="4"/>
        <v>0</v>
      </c>
      <c r="E60" s="785">
        <f t="shared" si="5"/>
        <v>0</v>
      </c>
      <c r="F60" s="785">
        <f t="shared" si="6"/>
        <v>0</v>
      </c>
      <c r="G60" s="754"/>
      <c r="H60" s="4"/>
      <c r="I60" s="4"/>
    </row>
    <row r="61" spans="1:9" ht="15">
      <c r="A61" s="737"/>
      <c r="B61" s="768"/>
      <c r="C61" s="748"/>
      <c r="D61" s="757">
        <f t="shared" si="4"/>
        <v>0</v>
      </c>
      <c r="E61" s="785">
        <f t="shared" si="5"/>
        <v>0</v>
      </c>
      <c r="F61" s="785">
        <f t="shared" si="6"/>
        <v>0</v>
      </c>
      <c r="G61" s="754"/>
      <c r="H61" s="4"/>
      <c r="I61" s="4"/>
    </row>
    <row r="62" spans="1:9" ht="15.75" thickBot="1">
      <c r="A62" s="742"/>
      <c r="B62" s="768"/>
      <c r="C62" s="748"/>
      <c r="D62" s="757">
        <f t="shared" si="4"/>
        <v>0</v>
      </c>
      <c r="E62" s="785">
        <f t="shared" si="5"/>
        <v>0</v>
      </c>
      <c r="F62" s="785">
        <f t="shared" si="6"/>
        <v>0</v>
      </c>
      <c r="G62" s="754"/>
      <c r="H62" s="4"/>
      <c r="I62" s="4"/>
    </row>
    <row r="63" spans="1:9" ht="15.75" thickBot="1">
      <c r="A63" s="783" t="s">
        <v>407</v>
      </c>
      <c r="B63" s="786">
        <f>SUM(B41:B62)</f>
        <v>11</v>
      </c>
      <c r="C63" s="787"/>
      <c r="D63" s="761">
        <f>SUM(D41:D62)</f>
        <v>336300</v>
      </c>
      <c r="E63" s="761">
        <f>SUM(E41:E62)</f>
        <v>20850.6</v>
      </c>
      <c r="F63" s="761">
        <f>SUM(F41:F62)</f>
        <v>4876.35</v>
      </c>
      <c r="G63" s="754"/>
      <c r="H63" s="4"/>
      <c r="I63" s="4"/>
    </row>
    <row r="64" spans="1:9" ht="13.5" thickBot="1">
      <c r="A64" s="754"/>
      <c r="B64" s="754"/>
      <c r="C64" s="754"/>
      <c r="D64" s="754"/>
      <c r="E64" s="754"/>
      <c r="F64" s="754"/>
      <c r="G64" s="754"/>
      <c r="H64" s="4"/>
      <c r="I64" s="4"/>
    </row>
    <row r="65" spans="1:9" ht="15.75" thickBot="1">
      <c r="A65" s="788" t="s">
        <v>7</v>
      </c>
      <c r="B65" s="789" t="s">
        <v>113</v>
      </c>
      <c r="C65" s="754"/>
      <c r="D65" s="754"/>
      <c r="E65" s="754"/>
      <c r="F65" s="754"/>
      <c r="G65" s="754"/>
      <c r="H65" s="4"/>
      <c r="I65" s="4"/>
    </row>
    <row r="66" spans="1:9" ht="15.75" thickBot="1">
      <c r="A66" s="790" t="s">
        <v>411</v>
      </c>
      <c r="B66" s="761">
        <f>D35</f>
        <v>758804</v>
      </c>
      <c r="C66" s="754"/>
      <c r="D66" s="754"/>
      <c r="E66" s="754"/>
      <c r="F66" s="754"/>
      <c r="G66" s="754"/>
      <c r="H66" s="4"/>
      <c r="I66" s="4"/>
    </row>
    <row r="67" spans="1:9" ht="15.75" thickBot="1">
      <c r="A67" s="791" t="s">
        <v>412</v>
      </c>
      <c r="B67" s="761">
        <f>D63</f>
        <v>336300</v>
      </c>
      <c r="C67" s="754"/>
      <c r="D67" s="754"/>
      <c r="E67" s="754"/>
      <c r="F67" s="754"/>
      <c r="G67" s="754"/>
      <c r="H67" s="4"/>
      <c r="I67" s="4"/>
    </row>
    <row r="68" spans="1:9" ht="15.75" thickBot="1">
      <c r="A68" s="792" t="s">
        <v>413</v>
      </c>
      <c r="B68" s="761">
        <f>SUM(B66:B67)</f>
        <v>1095104</v>
      </c>
      <c r="C68" s="754"/>
      <c r="D68" s="754"/>
      <c r="E68" s="754"/>
      <c r="F68" s="754"/>
      <c r="G68" s="754"/>
      <c r="H68" s="4"/>
      <c r="I68" s="4"/>
    </row>
    <row r="69" spans="1:9" ht="12.75">
      <c r="A69" s="754"/>
      <c r="B69" s="754"/>
      <c r="C69" s="754"/>
      <c r="D69" s="754"/>
      <c r="E69" s="754"/>
      <c r="F69" s="754"/>
      <c r="G69" s="754"/>
      <c r="H69" s="4"/>
      <c r="I69" s="4"/>
    </row>
    <row r="70" spans="1:9" ht="13.5" thickBot="1">
      <c r="A70" s="754"/>
      <c r="B70" s="754"/>
      <c r="C70" s="754"/>
      <c r="D70" s="754"/>
      <c r="E70" s="754"/>
      <c r="F70" s="754"/>
      <c r="G70" s="754"/>
      <c r="H70" s="4"/>
      <c r="I70" s="4"/>
    </row>
    <row r="71" spans="1:9" ht="15.75" thickBot="1">
      <c r="A71" s="788" t="s">
        <v>414</v>
      </c>
      <c r="B71" s="789" t="s">
        <v>113</v>
      </c>
      <c r="C71" s="4"/>
      <c r="D71" s="4"/>
      <c r="E71" s="4"/>
      <c r="F71" s="4"/>
      <c r="G71" s="4"/>
      <c r="H71" s="4"/>
      <c r="I71" s="4"/>
    </row>
    <row r="72" spans="1:9" ht="15.75" thickBot="1">
      <c r="A72" s="790" t="s">
        <v>411</v>
      </c>
      <c r="B72" s="761">
        <f>G35</f>
        <v>11002.658000000001</v>
      </c>
      <c r="C72" s="4"/>
      <c r="D72" s="4"/>
      <c r="E72" s="4"/>
      <c r="F72" s="4"/>
      <c r="G72" s="4"/>
      <c r="H72" s="4"/>
      <c r="I72" s="4"/>
    </row>
    <row r="73" spans="1:9" ht="15.75" thickBot="1">
      <c r="A73" s="791" t="s">
        <v>412</v>
      </c>
      <c r="B73" s="761">
        <f>F63</f>
        <v>4876.35</v>
      </c>
      <c r="C73" s="4"/>
      <c r="D73" s="4"/>
      <c r="E73" s="4"/>
      <c r="F73" s="4"/>
      <c r="G73" s="4"/>
      <c r="H73" s="4"/>
      <c r="I73" s="4"/>
    </row>
    <row r="74" spans="1:9" ht="15.75" thickBot="1">
      <c r="A74" s="792" t="s">
        <v>415</v>
      </c>
      <c r="B74" s="761">
        <f>SUM(B72:B73)</f>
        <v>15879.008000000002</v>
      </c>
      <c r="C74" s="4"/>
      <c r="D74" s="4"/>
      <c r="E74" s="4"/>
      <c r="F74" s="4"/>
      <c r="G74" s="4"/>
      <c r="H74" s="4"/>
      <c r="I74" s="4"/>
    </row>
    <row r="75" spans="1:9" ht="12.75">
      <c r="A75" s="4"/>
      <c r="B75" s="4"/>
      <c r="C75" s="4"/>
      <c r="D75" s="4"/>
      <c r="E75" s="4"/>
      <c r="F75" s="4"/>
      <c r="G75" s="4"/>
      <c r="H75" s="4"/>
      <c r="I75" s="4"/>
    </row>
    <row r="76" spans="1:9" ht="13.5" thickBot="1">
      <c r="A76" s="4"/>
      <c r="B76" s="4"/>
      <c r="C76" s="4"/>
      <c r="D76" s="4"/>
      <c r="E76" s="4"/>
      <c r="F76" s="4"/>
      <c r="G76" s="4"/>
      <c r="H76" s="4"/>
      <c r="I76" s="4"/>
    </row>
    <row r="77" spans="1:9" ht="15.75" thickBot="1">
      <c r="A77" s="788" t="s">
        <v>27</v>
      </c>
      <c r="B77" s="789" t="s">
        <v>113</v>
      </c>
      <c r="C77" s="4"/>
      <c r="D77" s="4"/>
      <c r="E77" s="4"/>
      <c r="F77" s="4"/>
      <c r="G77" s="4"/>
      <c r="H77" s="4"/>
      <c r="I77" s="4"/>
    </row>
    <row r="78" spans="1:9" ht="15.75" thickBot="1">
      <c r="A78" s="790" t="s">
        <v>416</v>
      </c>
      <c r="B78" s="793">
        <f>B35</f>
        <v>15</v>
      </c>
      <c r="C78" s="4"/>
      <c r="D78" s="4"/>
      <c r="E78" s="4"/>
      <c r="F78" s="4"/>
      <c r="G78" s="4"/>
      <c r="H78" s="4"/>
      <c r="I78" s="4"/>
    </row>
    <row r="79" spans="1:9" ht="15.75" thickBot="1">
      <c r="A79" s="790" t="s">
        <v>417</v>
      </c>
      <c r="B79" s="793">
        <f>B63</f>
        <v>11</v>
      </c>
      <c r="C79" s="4"/>
      <c r="D79" s="4"/>
      <c r="E79" s="4"/>
      <c r="F79" s="4"/>
      <c r="G79" s="4"/>
      <c r="H79" s="4"/>
      <c r="I79" s="4"/>
    </row>
    <row r="80" spans="1:9" ht="15.75" thickBot="1">
      <c r="A80" s="792" t="s">
        <v>418</v>
      </c>
      <c r="B80" s="793">
        <f>SUM(B78:B79)</f>
        <v>26</v>
      </c>
      <c r="C80" s="4"/>
      <c r="D80" s="4"/>
      <c r="E80" s="4"/>
      <c r="F80" s="4"/>
      <c r="G80" s="4"/>
      <c r="H80" s="4"/>
      <c r="I80" s="4"/>
    </row>
    <row r="81" spans="1:9" ht="12.75">
      <c r="A81" s="4"/>
      <c r="B81" s="4"/>
      <c r="C81" s="4"/>
      <c r="D81" s="4"/>
      <c r="E81" s="4"/>
      <c r="F81" s="4"/>
      <c r="G81" s="4"/>
      <c r="H81" s="4"/>
      <c r="I81" s="4"/>
    </row>
    <row r="82" spans="1:9" ht="13.5" thickBot="1">
      <c r="A82" s="4"/>
      <c r="B82" s="4"/>
      <c r="C82" s="4"/>
      <c r="D82" s="4"/>
      <c r="E82" s="4"/>
      <c r="F82" s="4"/>
      <c r="G82" s="4"/>
      <c r="H82" s="4"/>
      <c r="I82" s="4"/>
    </row>
    <row r="83" spans="1:9" ht="27" thickBot="1">
      <c r="A83" s="815" t="s">
        <v>428</v>
      </c>
      <c r="B83" s="769">
        <v>0</v>
      </c>
      <c r="C83" s="4"/>
      <c r="D83" s="4"/>
      <c r="E83" s="4"/>
      <c r="F83" s="4"/>
      <c r="G83" s="4"/>
      <c r="H83" s="4"/>
      <c r="I83" s="4"/>
    </row>
    <row r="84" spans="1:9" ht="13.5" thickBot="1">
      <c r="A84" s="4"/>
      <c r="B84" s="4"/>
      <c r="C84" s="4"/>
      <c r="D84" s="4"/>
      <c r="E84" s="4"/>
      <c r="F84" s="4"/>
      <c r="G84" s="4"/>
      <c r="H84" s="4"/>
      <c r="I84" s="4"/>
    </row>
    <row r="85" spans="1:9" ht="30.75" thickBot="1">
      <c r="A85" s="794" t="s">
        <v>419</v>
      </c>
      <c r="B85" s="795" t="s">
        <v>420</v>
      </c>
      <c r="C85" s="795" t="s">
        <v>390</v>
      </c>
      <c r="D85" s="795" t="s">
        <v>421</v>
      </c>
      <c r="E85" s="795" t="s">
        <v>112</v>
      </c>
      <c r="F85" s="4"/>
      <c r="G85" s="4"/>
      <c r="H85" s="4"/>
      <c r="I85" s="4"/>
    </row>
    <row r="86" spans="1:9" ht="12.75">
      <c r="A86" s="796" t="s">
        <v>422</v>
      </c>
      <c r="B86" s="797">
        <f>B27</f>
        <v>1</v>
      </c>
      <c r="C86" s="798">
        <f>D27</f>
        <v>50000</v>
      </c>
      <c r="D86" s="799">
        <f>100%+$B$83</f>
        <v>1</v>
      </c>
      <c r="E86" s="800">
        <f>C86*D86</f>
        <v>50000</v>
      </c>
      <c r="F86" s="4"/>
      <c r="G86" s="4"/>
      <c r="H86" s="4"/>
      <c r="I86" s="4"/>
    </row>
    <row r="87" spans="1:9" ht="12.75">
      <c r="A87" s="801" t="s">
        <v>423</v>
      </c>
      <c r="B87" s="802">
        <f>B28</f>
        <v>1</v>
      </c>
      <c r="C87" s="803">
        <f>D28</f>
        <v>30000</v>
      </c>
      <c r="D87" s="804">
        <f>100%+$B$83</f>
        <v>1</v>
      </c>
      <c r="E87" s="805">
        <f>C87*D87</f>
        <v>30000</v>
      </c>
      <c r="F87" s="4"/>
      <c r="G87" s="4"/>
      <c r="H87" s="4"/>
      <c r="I87" s="4"/>
    </row>
    <row r="88" spans="1:9" ht="12.75">
      <c r="A88" s="770"/>
      <c r="B88" s="164"/>
      <c r="C88" s="164"/>
      <c r="D88" s="164"/>
      <c r="E88" s="4"/>
      <c r="F88" s="4"/>
      <c r="G88" s="4"/>
      <c r="H88" s="4"/>
      <c r="I88" s="4"/>
    </row>
    <row r="89" spans="1:9" ht="13.5" thickBot="1">
      <c r="A89" s="4"/>
      <c r="B89" s="4"/>
      <c r="C89" s="4"/>
      <c r="D89" s="4"/>
      <c r="E89" s="4"/>
      <c r="F89" s="4"/>
      <c r="G89" s="4"/>
      <c r="H89" s="4"/>
      <c r="I89" s="4"/>
    </row>
    <row r="90" spans="1:9" ht="39" thickBot="1">
      <c r="A90" s="452" t="s">
        <v>424</v>
      </c>
      <c r="B90" s="444" t="s">
        <v>113</v>
      </c>
      <c r="C90" s="705" t="s">
        <v>114</v>
      </c>
      <c r="D90" s="705" t="s">
        <v>115</v>
      </c>
      <c r="E90" s="4"/>
      <c r="F90" s="4"/>
      <c r="G90" s="4"/>
      <c r="H90" s="4"/>
      <c r="I90" s="4"/>
    </row>
    <row r="91" spans="1:9" ht="15.75" thickBot="1">
      <c r="A91" s="806" t="s">
        <v>116</v>
      </c>
      <c r="B91" s="807">
        <f>E86/(B86+0.00000000000001)</f>
        <v>49999.9999999995</v>
      </c>
      <c r="C91" s="701">
        <v>0</v>
      </c>
      <c r="D91" s="701">
        <f>E86</f>
        <v>50000</v>
      </c>
      <c r="E91" s="4"/>
      <c r="F91" s="4"/>
      <c r="G91" s="4"/>
      <c r="H91" s="4"/>
      <c r="I91" s="4"/>
    </row>
    <row r="92" spans="1:9" ht="15.75" thickBot="1">
      <c r="A92" s="806" t="s">
        <v>117</v>
      </c>
      <c r="B92" s="808">
        <f>VLOOKUP(B91,C91:D92,2,TRUE)</f>
        <v>50000</v>
      </c>
      <c r="C92" s="701">
        <v>90000</v>
      </c>
      <c r="D92" s="701">
        <f>B86*C92</f>
        <v>90000</v>
      </c>
      <c r="E92" s="4"/>
      <c r="F92" s="4"/>
      <c r="G92" s="4"/>
      <c r="H92" s="4"/>
      <c r="I92" s="4"/>
    </row>
    <row r="93" spans="1:9" ht="12.75">
      <c r="A93" s="4"/>
      <c r="B93" s="4"/>
      <c r="C93" s="4"/>
      <c r="D93" s="4"/>
      <c r="E93" s="4"/>
      <c r="F93" s="4"/>
      <c r="G93" s="4"/>
      <c r="H93" s="4"/>
      <c r="I93" s="4"/>
    </row>
    <row r="94" spans="1:9" ht="13.5" thickBot="1">
      <c r="A94" s="4"/>
      <c r="B94" s="4"/>
      <c r="C94" s="4"/>
      <c r="D94" s="4"/>
      <c r="E94" s="4"/>
      <c r="F94" s="4"/>
      <c r="G94" s="4"/>
      <c r="H94" s="4"/>
      <c r="I94" s="4"/>
    </row>
    <row r="95" spans="1:9" ht="39" thickBot="1">
      <c r="A95" s="452" t="s">
        <v>425</v>
      </c>
      <c r="B95" s="444" t="s">
        <v>113</v>
      </c>
      <c r="C95" s="705" t="s">
        <v>114</v>
      </c>
      <c r="D95" s="705" t="s">
        <v>115</v>
      </c>
      <c r="E95" s="4"/>
      <c r="F95" s="4"/>
      <c r="G95" s="4"/>
      <c r="H95" s="4"/>
      <c r="I95" s="4"/>
    </row>
    <row r="96" spans="1:9" ht="15.75" thickBot="1">
      <c r="A96" s="806" t="s">
        <v>116</v>
      </c>
      <c r="B96" s="807">
        <f>E87/(B87+0.00000000000001)</f>
        <v>29999.9999999997</v>
      </c>
      <c r="C96" s="701">
        <v>0</v>
      </c>
      <c r="D96" s="701">
        <f>E87</f>
        <v>30000</v>
      </c>
      <c r="E96" s="4"/>
      <c r="F96" s="4"/>
      <c r="G96" s="4"/>
      <c r="H96" s="4"/>
      <c r="I96" s="4"/>
    </row>
    <row r="97" spans="1:9" ht="15.75" thickBot="1">
      <c r="A97" s="806" t="s">
        <v>117</v>
      </c>
      <c r="B97" s="808">
        <f>VLOOKUP(B96,C96:D97,2,TRUE)</f>
        <v>30000</v>
      </c>
      <c r="C97" s="701">
        <v>40000</v>
      </c>
      <c r="D97" s="701">
        <f>B87*C97</f>
        <v>40000</v>
      </c>
      <c r="E97" s="4"/>
      <c r="F97" s="4"/>
      <c r="G97" s="4"/>
      <c r="H97" s="4"/>
      <c r="I97" s="4"/>
    </row>
    <row r="98" spans="1:9" ht="12.75">
      <c r="A98" s="4"/>
      <c r="B98" s="4"/>
      <c r="C98" s="4"/>
      <c r="D98" s="4"/>
      <c r="E98" s="4"/>
      <c r="F98" s="4"/>
      <c r="G98" s="4"/>
      <c r="H98" s="4"/>
      <c r="I98" s="4"/>
    </row>
    <row r="99" spans="1:9" ht="13.5" thickBot="1">
      <c r="A99" s="4"/>
      <c r="B99" s="4"/>
      <c r="C99" s="4"/>
      <c r="D99" s="4"/>
      <c r="E99" s="4"/>
      <c r="F99" s="4"/>
      <c r="G99" s="4"/>
      <c r="H99" s="4"/>
      <c r="I99" s="4"/>
    </row>
    <row r="100" spans="1:9" ht="15.75" thickBot="1">
      <c r="A100" s="809" t="s">
        <v>426</v>
      </c>
      <c r="B100" s="810">
        <f>B92+B97</f>
        <v>80000</v>
      </c>
      <c r="C100" s="4"/>
      <c r="D100" s="4"/>
      <c r="E100" s="4"/>
      <c r="F100" s="4"/>
      <c r="G100" s="4"/>
      <c r="H100" s="4"/>
      <c r="I100" s="4"/>
    </row>
    <row r="101" spans="1:9" ht="12.75">
      <c r="A101" s="4"/>
      <c r="B101" s="4"/>
      <c r="C101" s="4"/>
      <c r="D101" s="4"/>
      <c r="E101" s="4"/>
      <c r="F101" s="4"/>
      <c r="G101" s="4"/>
      <c r="H101" s="4"/>
      <c r="I101" s="4"/>
    </row>
    <row r="102" spans="1:9" ht="12.75">
      <c r="A102" s="4"/>
      <c r="B102" s="4"/>
      <c r="C102" s="4"/>
      <c r="D102" s="4"/>
      <c r="E102" s="4"/>
      <c r="F102" s="4"/>
      <c r="G102" s="4"/>
      <c r="H102" s="4"/>
      <c r="I102" s="4"/>
    </row>
    <row r="103" spans="1:9" ht="12.75">
      <c r="A103" s="4"/>
      <c r="B103" s="4"/>
      <c r="C103" s="4"/>
      <c r="D103" s="4"/>
      <c r="E103" s="4"/>
      <c r="F103" s="4"/>
      <c r="G103" s="4"/>
      <c r="H103" s="4"/>
      <c r="I103" s="4"/>
    </row>
    <row r="104" spans="1:9" ht="12.75">
      <c r="A104" s="4"/>
      <c r="B104" s="4"/>
      <c r="C104" s="4"/>
      <c r="D104" s="4"/>
      <c r="E104" s="4"/>
      <c r="F104" s="4"/>
      <c r="G104" s="4"/>
      <c r="H104" s="4"/>
      <c r="I104" s="4"/>
    </row>
    <row r="105" spans="1:9" ht="12.75">
      <c r="A105" s="4"/>
      <c r="B105" s="4"/>
      <c r="C105" s="4"/>
      <c r="D105" s="4"/>
      <c r="E105" s="4"/>
      <c r="F105" s="4"/>
      <c r="G105" s="4"/>
      <c r="H105" s="4"/>
      <c r="I105" s="4"/>
    </row>
    <row r="106" spans="1:9" ht="12.75">
      <c r="A106" s="4"/>
      <c r="B106" s="4"/>
      <c r="C106" s="4"/>
      <c r="D106" s="4"/>
      <c r="E106" s="4"/>
      <c r="F106" s="4"/>
      <c r="G106" s="4"/>
      <c r="H106" s="4"/>
      <c r="I106" s="4"/>
    </row>
    <row r="107" spans="1:9" ht="12.75">
      <c r="A107" s="4"/>
      <c r="B107" s="4"/>
      <c r="C107" s="4"/>
      <c r="D107" s="4"/>
      <c r="E107" s="4"/>
      <c r="F107" s="4"/>
      <c r="G107" s="4"/>
      <c r="H107" s="4"/>
      <c r="I107" s="4"/>
    </row>
    <row r="108" spans="1:9" ht="12.75">
      <c r="A108" s="4"/>
      <c r="B108" s="4"/>
      <c r="C108" s="4"/>
      <c r="D108" s="4"/>
      <c r="E108" s="4"/>
      <c r="F108" s="4"/>
      <c r="G108" s="4"/>
      <c r="H108" s="4"/>
      <c r="I108" s="4"/>
    </row>
    <row r="109" spans="1:9" ht="12.75">
      <c r="A109" s="4"/>
      <c r="B109" s="4"/>
      <c r="C109" s="4"/>
      <c r="D109" s="4"/>
      <c r="E109" s="4"/>
      <c r="F109" s="4"/>
      <c r="G109" s="4"/>
      <c r="H109" s="4"/>
      <c r="I109" s="4"/>
    </row>
    <row r="110" spans="1:9" ht="12.75">
      <c r="A110" s="4"/>
      <c r="B110" s="4"/>
      <c r="C110" s="4"/>
      <c r="D110" s="4"/>
      <c r="E110" s="4"/>
      <c r="F110" s="4"/>
      <c r="G110" s="4"/>
      <c r="H110" s="4"/>
      <c r="I110" s="4"/>
    </row>
    <row r="111" spans="1:9" ht="12.75">
      <c r="A111" s="4"/>
      <c r="B111" s="4"/>
      <c r="C111" s="4"/>
      <c r="D111" s="4"/>
      <c r="E111" s="4"/>
      <c r="F111" s="4"/>
      <c r="G111" s="4"/>
      <c r="H111" s="4"/>
      <c r="I111" s="4"/>
    </row>
    <row r="112" spans="1:9" ht="12.75">
      <c r="A112" s="4"/>
      <c r="B112" s="4"/>
      <c r="C112" s="4"/>
      <c r="D112" s="4"/>
      <c r="E112" s="4"/>
      <c r="F112" s="4"/>
      <c r="G112" s="4"/>
      <c r="H112" s="4"/>
      <c r="I112" s="4"/>
    </row>
    <row r="113" spans="1:9" ht="12.75">
      <c r="A113" s="4"/>
      <c r="B113" s="4"/>
      <c r="C113" s="4"/>
      <c r="D113" s="4"/>
      <c r="E113" s="4"/>
      <c r="F113" s="4"/>
      <c r="G113" s="4"/>
      <c r="H113" s="4"/>
      <c r="I113" s="4"/>
    </row>
    <row r="114" spans="1:9" ht="12.75">
      <c r="A114" s="4"/>
      <c r="B114" s="4"/>
      <c r="C114" s="4"/>
      <c r="D114" s="4"/>
      <c r="E114" s="4"/>
      <c r="F114" s="4"/>
      <c r="G114" s="4"/>
      <c r="H114" s="4"/>
      <c r="I114" s="4"/>
    </row>
    <row r="115" spans="1:9" ht="12.75">
      <c r="A115" s="4"/>
      <c r="B115" s="4"/>
      <c r="C115" s="4"/>
      <c r="D115" s="4"/>
      <c r="E115" s="4"/>
      <c r="F115" s="4"/>
      <c r="G115" s="4"/>
      <c r="H115" s="4"/>
      <c r="I115" s="4"/>
    </row>
    <row r="116" spans="1:9" ht="12.75">
      <c r="A116" s="4"/>
      <c r="B116" s="4"/>
      <c r="C116" s="4"/>
      <c r="D116" s="4"/>
      <c r="E116" s="4"/>
      <c r="F116" s="4"/>
      <c r="G116" s="4"/>
      <c r="H116" s="4"/>
      <c r="I116" s="4"/>
    </row>
    <row r="117" spans="1:9" ht="12.75">
      <c r="A117" s="4"/>
      <c r="B117" s="4"/>
      <c r="C117" s="4"/>
      <c r="D117" s="4"/>
      <c r="E117" s="4"/>
      <c r="F117" s="4"/>
      <c r="G117" s="4"/>
      <c r="H117" s="4"/>
      <c r="I117" s="4"/>
    </row>
    <row r="118" spans="1:9" ht="12.75">
      <c r="A118" s="4"/>
      <c r="B118" s="4"/>
      <c r="C118" s="4"/>
      <c r="D118" s="4"/>
      <c r="E118" s="4"/>
      <c r="F118" s="4"/>
      <c r="G118" s="4"/>
      <c r="H118" s="4"/>
      <c r="I118" s="4"/>
    </row>
    <row r="119" spans="1:9" ht="12.75">
      <c r="A119" s="4"/>
      <c r="B119" s="4"/>
      <c r="C119" s="4"/>
      <c r="D119" s="4"/>
      <c r="E119" s="4"/>
      <c r="F119" s="4"/>
      <c r="G119" s="4"/>
      <c r="H119" s="4"/>
      <c r="I119" s="4"/>
    </row>
    <row r="120" spans="1:9" ht="12.75">
      <c r="A120" s="4"/>
      <c r="B120" s="4"/>
      <c r="C120" s="4"/>
      <c r="D120" s="4"/>
      <c r="E120" s="4"/>
      <c r="F120" s="4"/>
      <c r="G120" s="4"/>
      <c r="H120" s="4"/>
      <c r="I120" s="4"/>
    </row>
    <row r="121" spans="1:9" ht="12.75">
      <c r="A121" s="4"/>
      <c r="B121" s="4"/>
      <c r="C121" s="4"/>
      <c r="D121" s="4"/>
      <c r="E121" s="4"/>
      <c r="F121" s="4"/>
      <c r="G121" s="4"/>
      <c r="H121" s="4"/>
      <c r="I121" s="4"/>
    </row>
    <row r="122" spans="1:9" ht="12.75">
      <c r="A122" s="4"/>
      <c r="B122" s="4"/>
      <c r="C122" s="4"/>
      <c r="D122" s="4"/>
      <c r="E122" s="4"/>
      <c r="F122" s="4"/>
      <c r="G122" s="4"/>
      <c r="H122" s="4"/>
      <c r="I122" s="4"/>
    </row>
    <row r="123" spans="1:9" ht="12.75">
      <c r="A123" s="4"/>
      <c r="B123" s="4"/>
      <c r="C123" s="4"/>
      <c r="D123" s="4"/>
      <c r="E123" s="4"/>
      <c r="F123" s="4"/>
      <c r="G123" s="4"/>
      <c r="H123" s="4"/>
      <c r="I123"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 right="0" top="0.75" bottom="0.7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H164"/>
  <sheetViews>
    <sheetView zoomScale="55" zoomScaleNormal="55" zoomScalePageLayoutView="0" workbookViewId="0" topLeftCell="A1">
      <selection activeCell="D13" sqref="D13"/>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8" ht="13.5" thickBot="1">
      <c r="A1" s="888" t="str">
        <f>'Budget with Assumptions'!A2</f>
        <v>Chicago Classical Academy</v>
      </c>
      <c r="B1" s="4"/>
      <c r="C1" s="4"/>
      <c r="D1" s="4"/>
      <c r="E1" s="4"/>
      <c r="F1" s="4"/>
      <c r="G1" s="4"/>
      <c r="H1" s="4"/>
    </row>
    <row r="2" spans="1:8" ht="12.75">
      <c r="A2" s="4"/>
      <c r="B2" s="4"/>
      <c r="C2" s="4"/>
      <c r="D2" s="4"/>
      <c r="E2" s="4"/>
      <c r="F2" s="4"/>
      <c r="G2" s="4"/>
      <c r="H2" s="4"/>
    </row>
    <row r="3" spans="1:8" ht="12.75">
      <c r="A3" s="4"/>
      <c r="B3" s="4"/>
      <c r="C3" s="4"/>
      <c r="D3" s="4"/>
      <c r="E3" s="4"/>
      <c r="F3" s="4"/>
      <c r="G3" s="4"/>
      <c r="H3" s="4"/>
    </row>
    <row r="4" spans="1:8" ht="13.5" thickBot="1">
      <c r="A4" s="4"/>
      <c r="B4" s="4"/>
      <c r="C4" s="4"/>
      <c r="D4" s="4"/>
      <c r="E4" s="4"/>
      <c r="F4" s="4"/>
      <c r="G4" s="4"/>
      <c r="H4" s="4"/>
    </row>
    <row r="5" spans="1:8" ht="77.25" thickBot="1">
      <c r="A5" s="811" t="s">
        <v>472</v>
      </c>
      <c r="B5" s="812">
        <v>0.02</v>
      </c>
      <c r="C5" s="4"/>
      <c r="D5" s="4"/>
      <c r="E5" s="4"/>
      <c r="F5" s="4"/>
      <c r="G5" s="4"/>
      <c r="H5" s="4"/>
    </row>
    <row r="6" spans="1:8" ht="12.75">
      <c r="A6" s="4"/>
      <c r="B6" s="4"/>
      <c r="C6" s="4"/>
      <c r="D6" s="4"/>
      <c r="E6" s="4"/>
      <c r="F6" s="4"/>
      <c r="G6" s="4"/>
      <c r="H6" s="4"/>
    </row>
    <row r="7" spans="1:8" ht="12.75">
      <c r="A7" s="4"/>
      <c r="B7" s="4"/>
      <c r="C7" s="4"/>
      <c r="D7" s="4"/>
      <c r="E7" s="4"/>
      <c r="F7" s="4"/>
      <c r="G7" s="4"/>
      <c r="H7" s="4"/>
    </row>
    <row r="8" spans="1:8" ht="13.5" thickBot="1">
      <c r="A8" s="4"/>
      <c r="B8" s="4"/>
      <c r="C8" s="4"/>
      <c r="D8" s="4"/>
      <c r="E8" s="4"/>
      <c r="F8" s="4"/>
      <c r="G8" s="4"/>
      <c r="H8" s="4"/>
    </row>
    <row r="9" spans="1:8" ht="15" thickBot="1">
      <c r="A9" s="956" t="s">
        <v>500</v>
      </c>
      <c r="B9" s="957"/>
      <c r="C9" s="957"/>
      <c r="D9" s="958"/>
      <c r="E9" s="754"/>
      <c r="F9" s="754"/>
      <c r="G9" s="754"/>
      <c r="H9" s="4"/>
    </row>
    <row r="10" spans="1:8" ht="15" thickBot="1">
      <c r="A10" s="959" t="s">
        <v>395</v>
      </c>
      <c r="B10" s="960"/>
      <c r="C10" s="960"/>
      <c r="D10" s="961"/>
      <c r="E10" s="754"/>
      <c r="F10" s="754"/>
      <c r="G10" s="754"/>
      <c r="H10" s="4"/>
    </row>
    <row r="11" spans="1:8" ht="90.75" thickBot="1">
      <c r="A11" s="771" t="s">
        <v>387</v>
      </c>
      <c r="B11" s="771" t="s">
        <v>388</v>
      </c>
      <c r="C11" s="771" t="s">
        <v>389</v>
      </c>
      <c r="D11" s="772" t="s">
        <v>390</v>
      </c>
      <c r="E11" s="738" t="s">
        <v>396</v>
      </c>
      <c r="F11" s="738" t="s">
        <v>397</v>
      </c>
      <c r="G11" s="738" t="s">
        <v>398</v>
      </c>
      <c r="H11" s="4"/>
    </row>
    <row r="12" spans="1:8" ht="16.5" thickBot="1">
      <c r="A12" s="953"/>
      <c r="B12" s="954"/>
      <c r="C12" s="954"/>
      <c r="D12" s="955"/>
      <c r="E12" s="762">
        <v>0.05</v>
      </c>
      <c r="F12" s="773">
        <v>0.1116</v>
      </c>
      <c r="G12" s="774">
        <v>0.0145</v>
      </c>
      <c r="H12" s="4"/>
    </row>
    <row r="13" spans="1:8" ht="15">
      <c r="A13" s="744" t="str">
        <f>'[1]Salaries - Year 1'!A13</f>
        <v>Principal: Lower Grades</v>
      </c>
      <c r="B13" s="763">
        <v>1</v>
      </c>
      <c r="C13" s="746">
        <f>('Salaries - Year 1'!C13)*(1+$B$5)</f>
        <v>93636</v>
      </c>
      <c r="D13" s="757">
        <f>B13*C13</f>
        <v>93636</v>
      </c>
      <c r="E13" s="775">
        <f>D13*$E$12</f>
        <v>4681.8</v>
      </c>
      <c r="F13" s="776">
        <f>D13*$F$12</f>
        <v>10449.777600000001</v>
      </c>
      <c r="G13" s="775">
        <f>D13*$G$12</f>
        <v>1357.722</v>
      </c>
      <c r="H13" s="4"/>
    </row>
    <row r="14" spans="1:8" ht="15">
      <c r="A14" s="744" t="str">
        <f>'[1]Salaries - Year 1'!A14</f>
        <v>Teachers</v>
      </c>
      <c r="B14" s="764">
        <v>18</v>
      </c>
      <c r="C14" s="746">
        <v>49652</v>
      </c>
      <c r="D14" s="757">
        <f aca="true" t="shared" si="0" ref="D14:D34">B14*C14</f>
        <v>893736</v>
      </c>
      <c r="E14" s="775">
        <f aca="true" t="shared" si="1" ref="E14:E34">D14*$E$12</f>
        <v>44686.8</v>
      </c>
      <c r="F14" s="776">
        <f aca="true" t="shared" si="2" ref="F14:F26">D14*$F$12</f>
        <v>99740.9376</v>
      </c>
      <c r="G14" s="775">
        <f aca="true" t="shared" si="3" ref="G14:G34">D14*$G$12</f>
        <v>12959.172</v>
      </c>
      <c r="H14" s="4"/>
    </row>
    <row r="15" spans="1:8" ht="15">
      <c r="A15" s="736"/>
      <c r="B15" s="764"/>
      <c r="C15" s="746">
        <f>('Salaries - Year 1'!C15)*(1+$B$5)</f>
        <v>0</v>
      </c>
      <c r="D15" s="757">
        <f t="shared" si="0"/>
        <v>0</v>
      </c>
      <c r="E15" s="775">
        <f t="shared" si="1"/>
        <v>0</v>
      </c>
      <c r="F15" s="776">
        <f t="shared" si="2"/>
        <v>0</v>
      </c>
      <c r="G15" s="775">
        <f t="shared" si="3"/>
        <v>0</v>
      </c>
      <c r="H15" s="4"/>
    </row>
    <row r="16" spans="1:8" ht="15">
      <c r="A16" s="736"/>
      <c r="B16" s="764"/>
      <c r="C16" s="746">
        <f>('Salaries - Year 1'!C16)*(1+$B$5)</f>
        <v>0</v>
      </c>
      <c r="D16" s="757">
        <f t="shared" si="0"/>
        <v>0</v>
      </c>
      <c r="E16" s="775">
        <f t="shared" si="1"/>
        <v>0</v>
      </c>
      <c r="F16" s="776">
        <f t="shared" si="2"/>
        <v>0</v>
      </c>
      <c r="G16" s="775">
        <f t="shared" si="3"/>
        <v>0</v>
      </c>
      <c r="H16" s="4"/>
    </row>
    <row r="17" spans="1:8" ht="15">
      <c r="A17" s="736"/>
      <c r="B17" s="764"/>
      <c r="C17" s="746">
        <f>('Salaries - Year 1'!C17)*(1+$B$5)</f>
        <v>0</v>
      </c>
      <c r="D17" s="757">
        <f t="shared" si="0"/>
        <v>0</v>
      </c>
      <c r="E17" s="775">
        <f t="shared" si="1"/>
        <v>0</v>
      </c>
      <c r="F17" s="776">
        <f t="shared" si="2"/>
        <v>0</v>
      </c>
      <c r="G17" s="775">
        <f t="shared" si="3"/>
        <v>0</v>
      </c>
      <c r="H17" s="4"/>
    </row>
    <row r="18" spans="1:8" ht="15">
      <c r="A18" s="736"/>
      <c r="B18" s="764"/>
      <c r="C18" s="746">
        <f>('Salaries - Year 1'!C18)*(1+$B$5)</f>
        <v>0</v>
      </c>
      <c r="D18" s="757">
        <f t="shared" si="0"/>
        <v>0</v>
      </c>
      <c r="E18" s="775">
        <f t="shared" si="1"/>
        <v>0</v>
      </c>
      <c r="F18" s="776">
        <f t="shared" si="2"/>
        <v>0</v>
      </c>
      <c r="G18" s="775">
        <f t="shared" si="3"/>
        <v>0</v>
      </c>
      <c r="H18" s="4"/>
    </row>
    <row r="19" spans="1:8" ht="15">
      <c r="A19" s="736"/>
      <c r="B19" s="764"/>
      <c r="C19" s="746">
        <f>('Salaries - Year 1'!C19)*(1+$B$5)</f>
        <v>0</v>
      </c>
      <c r="D19" s="757">
        <f t="shared" si="0"/>
        <v>0</v>
      </c>
      <c r="E19" s="775">
        <f t="shared" si="1"/>
        <v>0</v>
      </c>
      <c r="F19" s="776">
        <f t="shared" si="2"/>
        <v>0</v>
      </c>
      <c r="G19" s="775">
        <f t="shared" si="3"/>
        <v>0</v>
      </c>
      <c r="H19" s="4"/>
    </row>
    <row r="20" spans="1:8" ht="15">
      <c r="A20" s="736"/>
      <c r="B20" s="764"/>
      <c r="C20" s="746">
        <f>('Salaries - Year 1'!C20)*(1+$B$5)</f>
        <v>0</v>
      </c>
      <c r="D20" s="757">
        <f t="shared" si="0"/>
        <v>0</v>
      </c>
      <c r="E20" s="775">
        <f t="shared" si="1"/>
        <v>0</v>
      </c>
      <c r="F20" s="776">
        <f t="shared" si="2"/>
        <v>0</v>
      </c>
      <c r="G20" s="775">
        <f t="shared" si="3"/>
        <v>0</v>
      </c>
      <c r="H20" s="4"/>
    </row>
    <row r="21" spans="1:8" ht="15">
      <c r="A21" s="736"/>
      <c r="B21" s="764"/>
      <c r="C21" s="746">
        <f>('Salaries - Year 1'!C21)*(1+$B$5)</f>
        <v>0</v>
      </c>
      <c r="D21" s="757">
        <f t="shared" si="0"/>
        <v>0</v>
      </c>
      <c r="E21" s="775">
        <f t="shared" si="1"/>
        <v>0</v>
      </c>
      <c r="F21" s="776">
        <f t="shared" si="2"/>
        <v>0</v>
      </c>
      <c r="G21" s="775">
        <f t="shared" si="3"/>
        <v>0</v>
      </c>
      <c r="H21" s="4"/>
    </row>
    <row r="22" spans="1:8" ht="15">
      <c r="A22" s="736"/>
      <c r="B22" s="764"/>
      <c r="C22" s="746">
        <f>('Salaries - Year 1'!C22)*(1+$B$5)</f>
        <v>0</v>
      </c>
      <c r="D22" s="757">
        <f t="shared" si="0"/>
        <v>0</v>
      </c>
      <c r="E22" s="775">
        <f t="shared" si="1"/>
        <v>0</v>
      </c>
      <c r="F22" s="776">
        <f t="shared" si="2"/>
        <v>0</v>
      </c>
      <c r="G22" s="775">
        <f t="shared" si="3"/>
        <v>0</v>
      </c>
      <c r="H22" s="4"/>
    </row>
    <row r="23" spans="1:8" ht="15">
      <c r="A23" s="736"/>
      <c r="B23" s="764"/>
      <c r="C23" s="746">
        <f>('Salaries - Year 1'!C23)*(1+$B$5)</f>
        <v>0</v>
      </c>
      <c r="D23" s="757">
        <f t="shared" si="0"/>
        <v>0</v>
      </c>
      <c r="E23" s="775">
        <f t="shared" si="1"/>
        <v>0</v>
      </c>
      <c r="F23" s="776">
        <f t="shared" si="2"/>
        <v>0</v>
      </c>
      <c r="G23" s="775">
        <f t="shared" si="3"/>
        <v>0</v>
      </c>
      <c r="H23" s="4"/>
    </row>
    <row r="24" spans="1:8" ht="15">
      <c r="A24" s="736"/>
      <c r="B24" s="764"/>
      <c r="C24" s="746">
        <f>('Salaries - Year 1'!C24)*(1+$B$5)</f>
        <v>0</v>
      </c>
      <c r="D24" s="757">
        <f t="shared" si="0"/>
        <v>0</v>
      </c>
      <c r="E24" s="775">
        <f t="shared" si="1"/>
        <v>0</v>
      </c>
      <c r="F24" s="776">
        <f t="shared" si="2"/>
        <v>0</v>
      </c>
      <c r="G24" s="775">
        <f t="shared" si="3"/>
        <v>0</v>
      </c>
      <c r="H24" s="4"/>
    </row>
    <row r="25" spans="1:8" ht="15">
      <c r="A25" s="736"/>
      <c r="B25" s="764"/>
      <c r="C25" s="746">
        <f>('Salaries - Year 1'!C25)*(1+$B$5)</f>
        <v>0</v>
      </c>
      <c r="D25" s="757">
        <f t="shared" si="0"/>
        <v>0</v>
      </c>
      <c r="E25" s="775">
        <f t="shared" si="1"/>
        <v>0</v>
      </c>
      <c r="F25" s="776">
        <f t="shared" si="2"/>
        <v>0</v>
      </c>
      <c r="G25" s="775">
        <f t="shared" si="3"/>
        <v>0</v>
      </c>
      <c r="H25" s="4"/>
    </row>
    <row r="26" spans="1:8" ht="15.75" thickBot="1">
      <c r="A26" s="750"/>
      <c r="B26" s="764"/>
      <c r="C26" s="746">
        <f>('Salaries - Year 1'!C26)*(1+$B$5)</f>
        <v>0</v>
      </c>
      <c r="D26" s="757">
        <f t="shared" si="0"/>
        <v>0</v>
      </c>
      <c r="E26" s="775">
        <f t="shared" si="1"/>
        <v>0</v>
      </c>
      <c r="F26" s="777">
        <f t="shared" si="2"/>
        <v>0</v>
      </c>
      <c r="G26" s="775">
        <f t="shared" si="3"/>
        <v>0</v>
      </c>
      <c r="H26" s="4"/>
    </row>
    <row r="27" spans="1:8" ht="15">
      <c r="A27" s="739" t="s">
        <v>399</v>
      </c>
      <c r="B27" s="764">
        <v>1</v>
      </c>
      <c r="C27" s="746">
        <f>('Salaries - Year 1'!C27)*(1+$B$5)</f>
        <v>51000</v>
      </c>
      <c r="D27" s="757">
        <f t="shared" si="0"/>
        <v>51000</v>
      </c>
      <c r="E27" s="778">
        <f t="shared" si="1"/>
        <v>2550</v>
      </c>
      <c r="F27" s="779"/>
      <c r="G27" s="780">
        <f t="shared" si="3"/>
        <v>739.5</v>
      </c>
      <c r="H27" s="4"/>
    </row>
    <row r="28" spans="1:8" ht="15.75" thickBot="1">
      <c r="A28" s="740" t="s">
        <v>400</v>
      </c>
      <c r="B28" s="764">
        <v>1</v>
      </c>
      <c r="C28" s="746">
        <f>('Salaries - Year 1'!C28)*(1+$B$5)</f>
        <v>30600</v>
      </c>
      <c r="D28" s="757">
        <f t="shared" si="0"/>
        <v>30600</v>
      </c>
      <c r="E28" s="778">
        <f t="shared" si="1"/>
        <v>1530</v>
      </c>
      <c r="F28" s="781"/>
      <c r="G28" s="780">
        <f t="shared" si="3"/>
        <v>443.70000000000005</v>
      </c>
      <c r="H28" s="4"/>
    </row>
    <row r="29" spans="1:8" ht="15.75" hidden="1" thickBot="1">
      <c r="A29" s="740" t="s">
        <v>401</v>
      </c>
      <c r="B29" s="764"/>
      <c r="C29" s="748"/>
      <c r="D29" s="757">
        <f t="shared" si="0"/>
        <v>0</v>
      </c>
      <c r="E29" s="778">
        <f t="shared" si="1"/>
        <v>0</v>
      </c>
      <c r="F29" s="781"/>
      <c r="G29" s="780">
        <f t="shared" si="3"/>
        <v>0</v>
      </c>
      <c r="H29" s="4"/>
    </row>
    <row r="30" spans="1:8" ht="15.75" hidden="1" thickBot="1">
      <c r="A30" s="740" t="s">
        <v>402</v>
      </c>
      <c r="B30" s="764"/>
      <c r="C30" s="748"/>
      <c r="D30" s="757">
        <f t="shared" si="0"/>
        <v>0</v>
      </c>
      <c r="E30" s="778">
        <f t="shared" si="1"/>
        <v>0</v>
      </c>
      <c r="F30" s="781"/>
      <c r="G30" s="780">
        <f t="shared" si="3"/>
        <v>0</v>
      </c>
      <c r="H30" s="4"/>
    </row>
    <row r="31" spans="1:8" ht="15.75" hidden="1" thickBot="1">
      <c r="A31" s="740" t="s">
        <v>403</v>
      </c>
      <c r="B31" s="764"/>
      <c r="C31" s="748"/>
      <c r="D31" s="757">
        <f t="shared" si="0"/>
        <v>0</v>
      </c>
      <c r="E31" s="778">
        <f t="shared" si="1"/>
        <v>0</v>
      </c>
      <c r="F31" s="781"/>
      <c r="G31" s="780">
        <f t="shared" si="3"/>
        <v>0</v>
      </c>
      <c r="H31" s="4"/>
    </row>
    <row r="32" spans="1:8" ht="15.75" hidden="1" thickBot="1">
      <c r="A32" s="740" t="s">
        <v>404</v>
      </c>
      <c r="B32" s="764"/>
      <c r="C32" s="748"/>
      <c r="D32" s="757">
        <f t="shared" si="0"/>
        <v>0</v>
      </c>
      <c r="E32" s="778">
        <f t="shared" si="1"/>
        <v>0</v>
      </c>
      <c r="F32" s="781"/>
      <c r="G32" s="780">
        <f t="shared" si="3"/>
        <v>0</v>
      </c>
      <c r="H32" s="4"/>
    </row>
    <row r="33" spans="1:8" ht="15.75" hidden="1" thickBot="1">
      <c r="A33" s="740" t="s">
        <v>405</v>
      </c>
      <c r="B33" s="764"/>
      <c r="C33" s="748"/>
      <c r="D33" s="757">
        <f t="shared" si="0"/>
        <v>0</v>
      </c>
      <c r="E33" s="778">
        <f t="shared" si="1"/>
        <v>0</v>
      </c>
      <c r="F33" s="781"/>
      <c r="G33" s="780">
        <f t="shared" si="3"/>
        <v>0</v>
      </c>
      <c r="H33" s="4"/>
    </row>
    <row r="34" spans="1:8" ht="15.75" hidden="1" thickBot="1">
      <c r="A34" s="741" t="s">
        <v>406</v>
      </c>
      <c r="B34" s="765"/>
      <c r="C34" s="753"/>
      <c r="D34" s="757">
        <f t="shared" si="0"/>
        <v>0</v>
      </c>
      <c r="E34" s="778">
        <f t="shared" si="1"/>
        <v>0</v>
      </c>
      <c r="F34" s="782"/>
      <c r="G34" s="780">
        <f t="shared" si="3"/>
        <v>0</v>
      </c>
      <c r="H34" s="4"/>
    </row>
    <row r="35" spans="1:8" ht="15.75" thickBot="1">
      <c r="A35" s="783" t="s">
        <v>407</v>
      </c>
      <c r="B35" s="784">
        <f>SUM(B13:B28)</f>
        <v>21</v>
      </c>
      <c r="C35" s="760"/>
      <c r="D35" s="761">
        <f>SUM(D13:D28)</f>
        <v>1068972</v>
      </c>
      <c r="E35" s="761">
        <f>SUM(E13:E28)</f>
        <v>53448.600000000006</v>
      </c>
      <c r="F35" s="761">
        <f>SUM(F13:F28)</f>
        <v>110190.7152</v>
      </c>
      <c r="G35" s="761">
        <f>SUM(G13:G28)</f>
        <v>15500.094000000001</v>
      </c>
      <c r="H35" s="4"/>
    </row>
    <row r="36" spans="1:8" ht="12.75">
      <c r="A36" s="962"/>
      <c r="B36" s="962"/>
      <c r="C36" s="962"/>
      <c r="D36" s="767"/>
      <c r="E36" s="754"/>
      <c r="F36" s="754"/>
      <c r="G36" s="754"/>
      <c r="H36" s="4"/>
    </row>
    <row r="37" spans="1:8" ht="13.5" thickBot="1">
      <c r="A37" s="766"/>
      <c r="B37" s="766"/>
      <c r="C37" s="766"/>
      <c r="D37" s="767"/>
      <c r="E37" s="754"/>
      <c r="F37" s="754"/>
      <c r="G37" s="754"/>
      <c r="H37" s="4"/>
    </row>
    <row r="38" spans="1:8" ht="15" thickBot="1">
      <c r="A38" s="956" t="s">
        <v>473</v>
      </c>
      <c r="B38" s="957"/>
      <c r="C38" s="957"/>
      <c r="D38" s="958"/>
      <c r="E38" s="754"/>
      <c r="F38" s="754"/>
      <c r="G38" s="754"/>
      <c r="H38" s="4"/>
    </row>
    <row r="39" spans="1:8" ht="60.75" thickBot="1">
      <c r="A39" s="959" t="s">
        <v>408</v>
      </c>
      <c r="B39" s="960"/>
      <c r="C39" s="960"/>
      <c r="D39" s="961"/>
      <c r="E39" s="738" t="s">
        <v>409</v>
      </c>
      <c r="F39" s="738" t="s">
        <v>398</v>
      </c>
      <c r="G39" s="754"/>
      <c r="H39" s="4"/>
    </row>
    <row r="40" spans="1:8" ht="16.5" thickBot="1">
      <c r="A40" s="953"/>
      <c r="B40" s="954"/>
      <c r="C40" s="954"/>
      <c r="D40" s="955"/>
      <c r="E40" s="774">
        <v>0.062</v>
      </c>
      <c r="F40" s="774">
        <v>0.0145</v>
      </c>
      <c r="G40" s="754"/>
      <c r="H40" s="4"/>
    </row>
    <row r="41" spans="1:8" ht="15">
      <c r="A41" s="744" t="str">
        <f>'[1]Salaries - Year 1'!A41</f>
        <v>Teacher Aides</v>
      </c>
      <c r="B41" s="763">
        <v>6</v>
      </c>
      <c r="C41" s="746">
        <f>('Salaries - Year 1'!C41)*(1+$B$5)</f>
        <v>20400</v>
      </c>
      <c r="D41" s="757">
        <f>B41*C41</f>
        <v>122400</v>
      </c>
      <c r="E41" s="775">
        <f>D41*$E$40</f>
        <v>7588.8</v>
      </c>
      <c r="F41" s="775">
        <f>D41*$F$40</f>
        <v>1774.8000000000002</v>
      </c>
      <c r="G41" s="754"/>
      <c r="H41" s="4"/>
    </row>
    <row r="42" spans="1:8" ht="15">
      <c r="A42" s="744" t="str">
        <f>'[1]Salaries - Year 1'!A42</f>
        <v>School Counselor</v>
      </c>
      <c r="B42" s="764">
        <v>2</v>
      </c>
      <c r="C42" s="746">
        <f>('Salaries - Year 1'!C42)*(1+$B$5)</f>
        <v>35700</v>
      </c>
      <c r="D42" s="757">
        <f aca="true" t="shared" si="4" ref="D42:D62">B42*C42</f>
        <v>71400</v>
      </c>
      <c r="E42" s="785">
        <f aca="true" t="shared" si="5" ref="E42:E62">D42*$E$40</f>
        <v>4426.8</v>
      </c>
      <c r="F42" s="785">
        <f aca="true" t="shared" si="6" ref="F42:F62">D42*$F$40</f>
        <v>1035.3</v>
      </c>
      <c r="G42" s="754"/>
      <c r="H42" s="4"/>
    </row>
    <row r="43" spans="1:8" ht="15">
      <c r="A43" s="744" t="s">
        <v>410</v>
      </c>
      <c r="B43" s="764">
        <v>1</v>
      </c>
      <c r="C43" s="746">
        <f>('Salaries - Year 1'!C43)*(1+$B$5)</f>
        <v>67626</v>
      </c>
      <c r="D43" s="757">
        <f>B43*C43</f>
        <v>67626</v>
      </c>
      <c r="E43" s="785">
        <f t="shared" si="5"/>
        <v>4192.812</v>
      </c>
      <c r="F43" s="785">
        <f t="shared" si="6"/>
        <v>980.577</v>
      </c>
      <c r="G43" s="754"/>
      <c r="H43" s="4"/>
    </row>
    <row r="44" spans="1:8" ht="15">
      <c r="A44" s="744" t="s">
        <v>532</v>
      </c>
      <c r="B44" s="764">
        <v>1</v>
      </c>
      <c r="C44" s="746">
        <f>('Salaries - Year 1'!C44)*(1+$B$5)</f>
        <v>40800</v>
      </c>
      <c r="D44" s="757">
        <f>B44*C44</f>
        <v>40800</v>
      </c>
      <c r="E44" s="785">
        <f t="shared" si="5"/>
        <v>2529.6</v>
      </c>
      <c r="F44" s="785">
        <f t="shared" si="6"/>
        <v>591.6</v>
      </c>
      <c r="G44" s="754"/>
      <c r="H44" s="4"/>
    </row>
    <row r="45" spans="1:8" ht="15">
      <c r="A45" s="744" t="s">
        <v>533</v>
      </c>
      <c r="B45" s="764">
        <v>1</v>
      </c>
      <c r="C45" s="746">
        <f>('Salaries - Year 1'!C45)*(1+$B$5)</f>
        <v>40800</v>
      </c>
      <c r="D45" s="757">
        <f>B45*C45</f>
        <v>40800</v>
      </c>
      <c r="E45" s="785">
        <f t="shared" si="5"/>
        <v>2529.6</v>
      </c>
      <c r="F45" s="785">
        <f t="shared" si="6"/>
        <v>591.6</v>
      </c>
      <c r="G45" s="754"/>
      <c r="H45" s="4"/>
    </row>
    <row r="46" spans="1:8" ht="15">
      <c r="A46" s="736" t="s">
        <v>534</v>
      </c>
      <c r="B46" s="764">
        <v>1</v>
      </c>
      <c r="C46" s="746">
        <v>25000</v>
      </c>
      <c r="D46" s="757">
        <f>B46*C46</f>
        <v>25000</v>
      </c>
      <c r="E46" s="785">
        <f t="shared" si="5"/>
        <v>1550</v>
      </c>
      <c r="F46" s="785">
        <f t="shared" si="6"/>
        <v>362.5</v>
      </c>
      <c r="G46" s="754"/>
      <c r="H46" s="4"/>
    </row>
    <row r="47" spans="1:8" ht="15">
      <c r="A47" s="736"/>
      <c r="B47" s="764"/>
      <c r="C47" s="746">
        <f>('Salaries - Year 1'!C47)*(1+$B$5)</f>
        <v>0</v>
      </c>
      <c r="D47" s="757">
        <f>B47*C47</f>
        <v>0</v>
      </c>
      <c r="E47" s="785">
        <f t="shared" si="5"/>
        <v>0</v>
      </c>
      <c r="F47" s="785">
        <f t="shared" si="6"/>
        <v>0</v>
      </c>
      <c r="G47" s="754"/>
      <c r="H47" s="4"/>
    </row>
    <row r="48" spans="1:8" ht="15">
      <c r="A48" s="736"/>
      <c r="B48" s="764"/>
      <c r="C48" s="746">
        <f>('Salaries - Year 1'!C48)*(1+$B$5)</f>
        <v>0</v>
      </c>
      <c r="D48" s="757">
        <f t="shared" si="4"/>
        <v>0</v>
      </c>
      <c r="E48" s="785">
        <f t="shared" si="5"/>
        <v>0</v>
      </c>
      <c r="F48" s="785">
        <f t="shared" si="6"/>
        <v>0</v>
      </c>
      <c r="G48" s="754"/>
      <c r="H48" s="4"/>
    </row>
    <row r="49" spans="1:8" ht="15">
      <c r="A49" s="736"/>
      <c r="B49" s="764"/>
      <c r="C49" s="746">
        <f>('Salaries - Year 1'!C49)*(1+$B$5)</f>
        <v>0</v>
      </c>
      <c r="D49" s="757">
        <f t="shared" si="4"/>
        <v>0</v>
      </c>
      <c r="E49" s="785">
        <f t="shared" si="5"/>
        <v>0</v>
      </c>
      <c r="F49" s="785">
        <f t="shared" si="6"/>
        <v>0</v>
      </c>
      <c r="G49" s="754"/>
      <c r="H49" s="4"/>
    </row>
    <row r="50" spans="1:8" ht="15">
      <c r="A50" s="736"/>
      <c r="B50" s="764"/>
      <c r="C50" s="746">
        <f>('Salaries - Year 1'!C50)*(1+$B$5)</f>
        <v>0</v>
      </c>
      <c r="D50" s="757">
        <f t="shared" si="4"/>
        <v>0</v>
      </c>
      <c r="E50" s="785">
        <f t="shared" si="5"/>
        <v>0</v>
      </c>
      <c r="F50" s="785">
        <f t="shared" si="6"/>
        <v>0</v>
      </c>
      <c r="G50" s="754"/>
      <c r="H50" s="4"/>
    </row>
    <row r="51" spans="1:8" ht="15">
      <c r="A51" s="736"/>
      <c r="B51" s="764"/>
      <c r="C51" s="746">
        <f>('Salaries - Year 1'!C51)*(1+$B$5)</f>
        <v>0</v>
      </c>
      <c r="D51" s="757">
        <f t="shared" si="4"/>
        <v>0</v>
      </c>
      <c r="E51" s="785">
        <f t="shared" si="5"/>
        <v>0</v>
      </c>
      <c r="F51" s="785">
        <f t="shared" si="6"/>
        <v>0</v>
      </c>
      <c r="G51" s="754"/>
      <c r="H51" s="4"/>
    </row>
    <row r="52" spans="1:8" ht="15">
      <c r="A52" s="736"/>
      <c r="B52" s="764"/>
      <c r="C52" s="746">
        <f>('Salaries - Year 1'!C52)*(1+$B$5)</f>
        <v>0</v>
      </c>
      <c r="D52" s="757">
        <f t="shared" si="4"/>
        <v>0</v>
      </c>
      <c r="E52" s="785">
        <f t="shared" si="5"/>
        <v>0</v>
      </c>
      <c r="F52" s="785">
        <f t="shared" si="6"/>
        <v>0</v>
      </c>
      <c r="G52" s="754"/>
      <c r="H52" s="4"/>
    </row>
    <row r="53" spans="1:8" ht="15">
      <c r="A53" s="737"/>
      <c r="B53" s="764"/>
      <c r="C53" s="746">
        <f>('Salaries - Year 1'!C53)*(1+$B$5)</f>
        <v>0</v>
      </c>
      <c r="D53" s="757">
        <f t="shared" si="4"/>
        <v>0</v>
      </c>
      <c r="E53" s="785">
        <f t="shared" si="5"/>
        <v>0</v>
      </c>
      <c r="F53" s="785">
        <f t="shared" si="6"/>
        <v>0</v>
      </c>
      <c r="G53" s="754"/>
      <c r="H53" s="4"/>
    </row>
    <row r="54" spans="1:8" ht="15">
      <c r="A54" s="737"/>
      <c r="B54" s="764"/>
      <c r="C54" s="746">
        <f>('Salaries - Year 1'!C54)*(1+$B$5)</f>
        <v>0</v>
      </c>
      <c r="D54" s="757">
        <f t="shared" si="4"/>
        <v>0</v>
      </c>
      <c r="E54" s="785">
        <f t="shared" si="5"/>
        <v>0</v>
      </c>
      <c r="F54" s="785">
        <f t="shared" si="6"/>
        <v>0</v>
      </c>
      <c r="G54" s="754"/>
      <c r="H54" s="4"/>
    </row>
    <row r="55" spans="1:8" ht="15">
      <c r="A55" s="737"/>
      <c r="B55" s="768"/>
      <c r="C55" s="746">
        <f>('Salaries - Year 1'!C55)*(1+$B$5)</f>
        <v>0</v>
      </c>
      <c r="D55" s="757">
        <f t="shared" si="4"/>
        <v>0</v>
      </c>
      <c r="E55" s="785">
        <f t="shared" si="5"/>
        <v>0</v>
      </c>
      <c r="F55" s="785">
        <f t="shared" si="6"/>
        <v>0</v>
      </c>
      <c r="G55" s="754"/>
      <c r="H55" s="4"/>
    </row>
    <row r="56" spans="1:8" ht="15">
      <c r="A56" s="737"/>
      <c r="B56" s="768"/>
      <c r="C56" s="746">
        <f>('Salaries - Year 1'!C56)*(1+$B$5)</f>
        <v>0</v>
      </c>
      <c r="D56" s="757">
        <f t="shared" si="4"/>
        <v>0</v>
      </c>
      <c r="E56" s="785">
        <f t="shared" si="5"/>
        <v>0</v>
      </c>
      <c r="F56" s="785">
        <f t="shared" si="6"/>
        <v>0</v>
      </c>
      <c r="G56" s="754"/>
      <c r="H56" s="4"/>
    </row>
    <row r="57" spans="1:8" ht="15">
      <c r="A57" s="737"/>
      <c r="B57" s="768"/>
      <c r="C57" s="746">
        <f>('Salaries - Year 1'!C57)*(1+$B$5)</f>
        <v>0</v>
      </c>
      <c r="D57" s="757">
        <f t="shared" si="4"/>
        <v>0</v>
      </c>
      <c r="E57" s="785">
        <f t="shared" si="5"/>
        <v>0</v>
      </c>
      <c r="F57" s="785">
        <f t="shared" si="6"/>
        <v>0</v>
      </c>
      <c r="G57" s="754"/>
      <c r="H57" s="4"/>
    </row>
    <row r="58" spans="1:8" ht="15">
      <c r="A58" s="737"/>
      <c r="B58" s="768"/>
      <c r="C58" s="746">
        <f>('Salaries - Year 1'!C58)*(1+$B$5)</f>
        <v>0</v>
      </c>
      <c r="D58" s="757">
        <f t="shared" si="4"/>
        <v>0</v>
      </c>
      <c r="E58" s="785">
        <f t="shared" si="5"/>
        <v>0</v>
      </c>
      <c r="F58" s="785">
        <f t="shared" si="6"/>
        <v>0</v>
      </c>
      <c r="G58" s="754"/>
      <c r="H58" s="4"/>
    </row>
    <row r="59" spans="1:8" ht="15">
      <c r="A59" s="737"/>
      <c r="B59" s="768"/>
      <c r="C59" s="746">
        <f>('Salaries - Year 1'!C59)*(1+$B$5)</f>
        <v>0</v>
      </c>
      <c r="D59" s="757">
        <f t="shared" si="4"/>
        <v>0</v>
      </c>
      <c r="E59" s="785">
        <f t="shared" si="5"/>
        <v>0</v>
      </c>
      <c r="F59" s="785">
        <f t="shared" si="6"/>
        <v>0</v>
      </c>
      <c r="G59" s="754"/>
      <c r="H59" s="4"/>
    </row>
    <row r="60" spans="1:8" ht="15">
      <c r="A60" s="737"/>
      <c r="B60" s="768"/>
      <c r="C60" s="746">
        <f>('Salaries - Year 1'!C60)*(1+$B$5)</f>
        <v>0</v>
      </c>
      <c r="D60" s="757">
        <f t="shared" si="4"/>
        <v>0</v>
      </c>
      <c r="E60" s="785">
        <f t="shared" si="5"/>
        <v>0</v>
      </c>
      <c r="F60" s="785">
        <f t="shared" si="6"/>
        <v>0</v>
      </c>
      <c r="G60" s="754"/>
      <c r="H60" s="4"/>
    </row>
    <row r="61" spans="1:8" ht="15">
      <c r="A61" s="737"/>
      <c r="B61" s="768"/>
      <c r="C61" s="746">
        <f>('Salaries - Year 1'!C61)*(1+$B$5)</f>
        <v>0</v>
      </c>
      <c r="D61" s="757">
        <f t="shared" si="4"/>
        <v>0</v>
      </c>
      <c r="E61" s="785">
        <f t="shared" si="5"/>
        <v>0</v>
      </c>
      <c r="F61" s="785">
        <f t="shared" si="6"/>
        <v>0</v>
      </c>
      <c r="G61" s="754"/>
      <c r="H61" s="4"/>
    </row>
    <row r="62" spans="1:8" ht="15.75" thickBot="1">
      <c r="A62" s="742"/>
      <c r="B62" s="768"/>
      <c r="C62" s="746">
        <f>('Salaries - Year 1'!C62)*(1+$B$5)</f>
        <v>0</v>
      </c>
      <c r="D62" s="757">
        <f t="shared" si="4"/>
        <v>0</v>
      </c>
      <c r="E62" s="785">
        <f t="shared" si="5"/>
        <v>0</v>
      </c>
      <c r="F62" s="785">
        <f t="shared" si="6"/>
        <v>0</v>
      </c>
      <c r="G62" s="754"/>
      <c r="H62" s="4"/>
    </row>
    <row r="63" spans="1:8" ht="15.75" thickBot="1">
      <c r="A63" s="783" t="s">
        <v>407</v>
      </c>
      <c r="B63" s="786">
        <f>SUM(B41:B62)</f>
        <v>12</v>
      </c>
      <c r="C63" s="787"/>
      <c r="D63" s="761">
        <f>SUM(D41:D62)</f>
        <v>368026</v>
      </c>
      <c r="E63" s="761">
        <f>SUM(E41:E62)</f>
        <v>22817.611999999997</v>
      </c>
      <c r="F63" s="761">
        <f>SUM(F41:F62)</f>
        <v>5336.377000000001</v>
      </c>
      <c r="G63" s="754"/>
      <c r="H63" s="4"/>
    </row>
    <row r="64" spans="1:8" ht="13.5" thickBot="1">
      <c r="A64" s="754"/>
      <c r="B64" s="754"/>
      <c r="C64" s="754"/>
      <c r="D64" s="754"/>
      <c r="E64" s="754"/>
      <c r="F64" s="754"/>
      <c r="G64" s="754"/>
      <c r="H64" s="4"/>
    </row>
    <row r="65" spans="1:8" ht="15.75" thickBot="1">
      <c r="A65" s="788" t="s">
        <v>7</v>
      </c>
      <c r="B65" s="789" t="s">
        <v>113</v>
      </c>
      <c r="C65" s="754"/>
      <c r="D65" s="754"/>
      <c r="E65" s="754"/>
      <c r="F65" s="754"/>
      <c r="G65" s="754"/>
      <c r="H65" s="4"/>
    </row>
    <row r="66" spans="1:8" ht="15.75" thickBot="1">
      <c r="A66" s="790" t="s">
        <v>411</v>
      </c>
      <c r="B66" s="761">
        <f>D35</f>
        <v>1068972</v>
      </c>
      <c r="C66" s="754"/>
      <c r="D66" s="754"/>
      <c r="E66" s="754"/>
      <c r="F66" s="754"/>
      <c r="G66" s="754"/>
      <c r="H66" s="4"/>
    </row>
    <row r="67" spans="1:8" ht="15.75" thickBot="1">
      <c r="A67" s="791" t="s">
        <v>412</v>
      </c>
      <c r="B67" s="761">
        <f>D63</f>
        <v>368026</v>
      </c>
      <c r="C67" s="754"/>
      <c r="D67" s="754"/>
      <c r="E67" s="754"/>
      <c r="F67" s="754"/>
      <c r="G67" s="754"/>
      <c r="H67" s="4"/>
    </row>
    <row r="68" spans="1:8" ht="15.75" thickBot="1">
      <c r="A68" s="792" t="s">
        <v>413</v>
      </c>
      <c r="B68" s="761">
        <f>SUM(B66:B67)</f>
        <v>1436998</v>
      </c>
      <c r="C68" s="754"/>
      <c r="D68" s="754"/>
      <c r="E68" s="754"/>
      <c r="F68" s="754"/>
      <c r="G68" s="754"/>
      <c r="H68" s="4"/>
    </row>
    <row r="69" spans="1:8" ht="12.75">
      <c r="A69" s="754"/>
      <c r="B69" s="754"/>
      <c r="C69" s="754"/>
      <c r="D69" s="754"/>
      <c r="E69" s="754"/>
      <c r="F69" s="754"/>
      <c r="G69" s="754"/>
      <c r="H69" s="4"/>
    </row>
    <row r="70" spans="1:8" ht="13.5" thickBot="1">
      <c r="A70" s="754"/>
      <c r="B70" s="754"/>
      <c r="C70" s="754"/>
      <c r="D70" s="754"/>
      <c r="E70" s="754"/>
      <c r="F70" s="754"/>
      <c r="G70" s="754"/>
      <c r="H70" s="4"/>
    </row>
    <row r="71" spans="1:8" ht="15.75" thickBot="1">
      <c r="A71" s="788" t="s">
        <v>414</v>
      </c>
      <c r="B71" s="789" t="s">
        <v>113</v>
      </c>
      <c r="C71" s="4"/>
      <c r="D71" s="4"/>
      <c r="E71" s="4"/>
      <c r="F71" s="4"/>
      <c r="G71" s="4"/>
      <c r="H71" s="4"/>
    </row>
    <row r="72" spans="1:8" ht="15.75" thickBot="1">
      <c r="A72" s="790" t="s">
        <v>411</v>
      </c>
      <c r="B72" s="761">
        <f>G35</f>
        <v>15500.094000000001</v>
      </c>
      <c r="C72" s="4"/>
      <c r="D72" s="4"/>
      <c r="E72" s="4"/>
      <c r="F72" s="4"/>
      <c r="G72" s="4"/>
      <c r="H72" s="4"/>
    </row>
    <row r="73" spans="1:8" ht="15.75" thickBot="1">
      <c r="A73" s="791" t="s">
        <v>412</v>
      </c>
      <c r="B73" s="761">
        <f>F63</f>
        <v>5336.377000000001</v>
      </c>
      <c r="C73" s="4"/>
      <c r="D73" s="4"/>
      <c r="E73" s="4"/>
      <c r="F73" s="4"/>
      <c r="G73" s="4"/>
      <c r="H73" s="4"/>
    </row>
    <row r="74" spans="1:8" ht="15.75" thickBot="1">
      <c r="A74" s="792" t="s">
        <v>415</v>
      </c>
      <c r="B74" s="761">
        <f>SUM(B72:B73)</f>
        <v>20836.471</v>
      </c>
      <c r="C74" s="4"/>
      <c r="D74" s="4"/>
      <c r="E74" s="4"/>
      <c r="F74" s="4"/>
      <c r="G74" s="4"/>
      <c r="H74" s="4"/>
    </row>
    <row r="75" spans="1:8" ht="12.75">
      <c r="A75" s="4"/>
      <c r="B75" s="4"/>
      <c r="C75" s="4"/>
      <c r="D75" s="4"/>
      <c r="E75" s="4"/>
      <c r="F75" s="4"/>
      <c r="G75" s="4"/>
      <c r="H75" s="4"/>
    </row>
    <row r="76" spans="1:8" ht="13.5" thickBot="1">
      <c r="A76" s="4"/>
      <c r="B76" s="4"/>
      <c r="C76" s="4"/>
      <c r="D76" s="4"/>
      <c r="E76" s="4"/>
      <c r="F76" s="4"/>
      <c r="G76" s="4"/>
      <c r="H76" s="4"/>
    </row>
    <row r="77" spans="1:8" ht="15.75" thickBot="1">
      <c r="A77" s="788" t="s">
        <v>27</v>
      </c>
      <c r="B77" s="789" t="s">
        <v>113</v>
      </c>
      <c r="C77" s="4"/>
      <c r="D77" s="4"/>
      <c r="E77" s="4"/>
      <c r="F77" s="4"/>
      <c r="G77" s="4"/>
      <c r="H77" s="4"/>
    </row>
    <row r="78" spans="1:8" ht="15.75" thickBot="1">
      <c r="A78" s="790" t="s">
        <v>416</v>
      </c>
      <c r="B78" s="793">
        <f>B35</f>
        <v>21</v>
      </c>
      <c r="C78" s="4"/>
      <c r="D78" s="4"/>
      <c r="E78" s="4"/>
      <c r="F78" s="4"/>
      <c r="G78" s="4"/>
      <c r="H78" s="4"/>
    </row>
    <row r="79" spans="1:8" ht="15.75" thickBot="1">
      <c r="A79" s="790" t="s">
        <v>417</v>
      </c>
      <c r="B79" s="793">
        <f>B63</f>
        <v>12</v>
      </c>
      <c r="C79" s="4"/>
      <c r="D79" s="4"/>
      <c r="E79" s="4"/>
      <c r="F79" s="4"/>
      <c r="G79" s="4"/>
      <c r="H79" s="4"/>
    </row>
    <row r="80" spans="1:8" ht="15.75" thickBot="1">
      <c r="A80" s="792" t="s">
        <v>418</v>
      </c>
      <c r="B80" s="793">
        <f>SUM(B78:B79)</f>
        <v>33</v>
      </c>
      <c r="C80" s="4"/>
      <c r="D80" s="4"/>
      <c r="E80" s="4"/>
      <c r="F80" s="4"/>
      <c r="G80" s="4"/>
      <c r="H80" s="4"/>
    </row>
    <row r="81" spans="1:8" ht="12.75">
      <c r="A81" s="4"/>
      <c r="B81" s="4"/>
      <c r="C81" s="4"/>
      <c r="D81" s="4"/>
      <c r="E81" s="4"/>
      <c r="F81" s="4"/>
      <c r="G81" s="4"/>
      <c r="H81" s="4"/>
    </row>
    <row r="82" spans="1:8" ht="13.5" thickBot="1">
      <c r="A82" s="4"/>
      <c r="B82" s="4"/>
      <c r="C82" s="4"/>
      <c r="D82" s="4"/>
      <c r="E82" s="4"/>
      <c r="F82" s="4"/>
      <c r="G82" s="4"/>
      <c r="H82" s="4"/>
    </row>
    <row r="83" spans="1:8" ht="27" thickBot="1">
      <c r="A83" s="815" t="s">
        <v>428</v>
      </c>
      <c r="B83" s="769"/>
      <c r="C83" s="4"/>
      <c r="D83" s="4"/>
      <c r="E83" s="4"/>
      <c r="F83" s="4"/>
      <c r="G83" s="4"/>
      <c r="H83" s="4"/>
    </row>
    <row r="84" spans="1:8" ht="13.5" thickBot="1">
      <c r="A84" s="4"/>
      <c r="B84" s="4"/>
      <c r="C84" s="4"/>
      <c r="D84" s="4"/>
      <c r="E84" s="4"/>
      <c r="F84" s="4"/>
      <c r="G84" s="4"/>
      <c r="H84" s="4"/>
    </row>
    <row r="85" spans="1:8" ht="30.75" thickBot="1">
      <c r="A85" s="794" t="s">
        <v>419</v>
      </c>
      <c r="B85" s="795" t="s">
        <v>420</v>
      </c>
      <c r="C85" s="795" t="s">
        <v>390</v>
      </c>
      <c r="D85" s="795" t="s">
        <v>421</v>
      </c>
      <c r="E85" s="795" t="s">
        <v>112</v>
      </c>
      <c r="F85" s="4"/>
      <c r="G85" s="4"/>
      <c r="H85" s="4"/>
    </row>
    <row r="86" spans="1:8" ht="12.75">
      <c r="A86" s="796" t="s">
        <v>422</v>
      </c>
      <c r="B86" s="797">
        <f>B27</f>
        <v>1</v>
      </c>
      <c r="C86" s="798">
        <f>D27</f>
        <v>51000</v>
      </c>
      <c r="D86" s="799">
        <f>100%+$B$83</f>
        <v>1</v>
      </c>
      <c r="E86" s="800">
        <f>C86*D86</f>
        <v>51000</v>
      </c>
      <c r="F86" s="4"/>
      <c r="G86" s="4"/>
      <c r="H86" s="4"/>
    </row>
    <row r="87" spans="1:8" ht="12.75">
      <c r="A87" s="801" t="s">
        <v>423</v>
      </c>
      <c r="B87" s="802">
        <f>B28</f>
        <v>1</v>
      </c>
      <c r="C87" s="803">
        <f>D28</f>
        <v>30600</v>
      </c>
      <c r="D87" s="804">
        <f>100%+$B$83</f>
        <v>1</v>
      </c>
      <c r="E87" s="805">
        <f>C87*D87</f>
        <v>30600</v>
      </c>
      <c r="F87" s="4"/>
      <c r="G87" s="4"/>
      <c r="H87" s="4"/>
    </row>
    <row r="88" spans="1:8" ht="12.75">
      <c r="A88" s="770"/>
      <c r="B88" s="164"/>
      <c r="C88" s="164"/>
      <c r="D88" s="164"/>
      <c r="E88" s="4"/>
      <c r="F88" s="4"/>
      <c r="G88" s="4"/>
      <c r="H88" s="4"/>
    </row>
    <row r="89" spans="1:8" ht="13.5" thickBot="1">
      <c r="A89" s="4"/>
      <c r="B89" s="4"/>
      <c r="C89" s="4"/>
      <c r="D89" s="4"/>
      <c r="E89" s="4"/>
      <c r="F89" s="4"/>
      <c r="G89" s="4"/>
      <c r="H89" s="4"/>
    </row>
    <row r="90" spans="1:8" ht="39" thickBot="1">
      <c r="A90" s="452" t="s">
        <v>424</v>
      </c>
      <c r="B90" s="444" t="s">
        <v>113</v>
      </c>
      <c r="C90" s="705" t="s">
        <v>114</v>
      </c>
      <c r="D90" s="705" t="s">
        <v>115</v>
      </c>
      <c r="E90" s="4"/>
      <c r="F90" s="4"/>
      <c r="G90" s="4"/>
      <c r="H90" s="4"/>
    </row>
    <row r="91" spans="1:8" ht="15.75" thickBot="1">
      <c r="A91" s="806" t="s">
        <v>116</v>
      </c>
      <c r="B91" s="807">
        <f>E86/(B86+0.00000000000001)</f>
        <v>50999.99999999949</v>
      </c>
      <c r="C91" s="701">
        <v>0</v>
      </c>
      <c r="D91" s="701">
        <f>E86</f>
        <v>51000</v>
      </c>
      <c r="E91" s="4"/>
      <c r="F91" s="4"/>
      <c r="G91" s="4"/>
      <c r="H91" s="4"/>
    </row>
    <row r="92" spans="1:8" ht="15.75" thickBot="1">
      <c r="A92" s="806" t="s">
        <v>117</v>
      </c>
      <c r="B92" s="808">
        <f>VLOOKUP(B91,C91:D92,2,TRUE)</f>
        <v>51000</v>
      </c>
      <c r="C92" s="701">
        <v>90000</v>
      </c>
      <c r="D92" s="701">
        <f>B86*C92</f>
        <v>90000</v>
      </c>
      <c r="E92" s="4"/>
      <c r="F92" s="4"/>
      <c r="G92" s="4"/>
      <c r="H92" s="4"/>
    </row>
    <row r="93" spans="1:8" ht="12.75">
      <c r="A93" s="4"/>
      <c r="B93" s="4"/>
      <c r="C93" s="4"/>
      <c r="D93" s="4"/>
      <c r="E93" s="4"/>
      <c r="F93" s="4"/>
      <c r="G93" s="4"/>
      <c r="H93" s="4"/>
    </row>
    <row r="94" spans="1:8" ht="13.5" thickBot="1">
      <c r="A94" s="4"/>
      <c r="B94" s="4"/>
      <c r="C94" s="4"/>
      <c r="D94" s="4"/>
      <c r="E94" s="4"/>
      <c r="F94" s="4"/>
      <c r="G94" s="4"/>
      <c r="H94" s="4"/>
    </row>
    <row r="95" spans="1:8" ht="39" thickBot="1">
      <c r="A95" s="452" t="s">
        <v>425</v>
      </c>
      <c r="B95" s="444" t="s">
        <v>113</v>
      </c>
      <c r="C95" s="705" t="s">
        <v>114</v>
      </c>
      <c r="D95" s="705" t="s">
        <v>115</v>
      </c>
      <c r="E95" s="4"/>
      <c r="F95" s="4"/>
      <c r="G95" s="4"/>
      <c r="H95" s="4"/>
    </row>
    <row r="96" spans="1:8" ht="15.75" thickBot="1">
      <c r="A96" s="806" t="s">
        <v>116</v>
      </c>
      <c r="B96" s="807">
        <f>E87/(B87+0.00000000000001)</f>
        <v>30599.999999999694</v>
      </c>
      <c r="C96" s="701">
        <v>0</v>
      </c>
      <c r="D96" s="701">
        <f>E87</f>
        <v>30600</v>
      </c>
      <c r="E96" s="4"/>
      <c r="F96" s="4"/>
      <c r="G96" s="4"/>
      <c r="H96" s="4"/>
    </row>
    <row r="97" spans="1:8" ht="15.75" thickBot="1">
      <c r="A97" s="806" t="s">
        <v>117</v>
      </c>
      <c r="B97" s="808">
        <f>VLOOKUP(B96,C96:D97,2,TRUE)</f>
        <v>30600</v>
      </c>
      <c r="C97" s="701">
        <v>40000</v>
      </c>
      <c r="D97" s="701">
        <f>B87*C97</f>
        <v>40000</v>
      </c>
      <c r="E97" s="4"/>
      <c r="F97" s="4"/>
      <c r="G97" s="4"/>
      <c r="H97" s="4"/>
    </row>
    <row r="98" spans="1:8" ht="12.75">
      <c r="A98" s="4"/>
      <c r="B98" s="4"/>
      <c r="C98" s="4"/>
      <c r="D98" s="4"/>
      <c r="E98" s="4"/>
      <c r="F98" s="4"/>
      <c r="G98" s="4"/>
      <c r="H98" s="4"/>
    </row>
    <row r="99" spans="1:8" ht="13.5" thickBot="1">
      <c r="A99" s="4"/>
      <c r="B99" s="4"/>
      <c r="C99" s="4"/>
      <c r="D99" s="4"/>
      <c r="E99" s="4"/>
      <c r="F99" s="4"/>
      <c r="G99" s="4"/>
      <c r="H99" s="4"/>
    </row>
    <row r="100" spans="1:8" ht="15.75" thickBot="1">
      <c r="A100" s="809" t="s">
        <v>426</v>
      </c>
      <c r="B100" s="810">
        <f>B92+B97</f>
        <v>81600</v>
      </c>
      <c r="C100" s="4"/>
      <c r="D100" s="4"/>
      <c r="E100" s="4"/>
      <c r="F100" s="4"/>
      <c r="G100" s="4"/>
      <c r="H100" s="4"/>
    </row>
    <row r="101" spans="1:8" ht="12.75">
      <c r="A101" s="4"/>
      <c r="B101" s="4"/>
      <c r="C101" s="4"/>
      <c r="D101" s="4"/>
      <c r="E101" s="4"/>
      <c r="F101" s="4"/>
      <c r="G101" s="4"/>
      <c r="H101" s="4"/>
    </row>
    <row r="102" spans="1:8" ht="12.75">
      <c r="A102" s="4"/>
      <c r="B102" s="4"/>
      <c r="C102" s="4"/>
      <c r="D102" s="4"/>
      <c r="E102" s="4"/>
      <c r="F102" s="4"/>
      <c r="G102" s="4"/>
      <c r="H102" s="4"/>
    </row>
    <row r="103" spans="1:8" ht="12.75">
      <c r="A103" s="4"/>
      <c r="B103" s="4"/>
      <c r="C103" s="4"/>
      <c r="D103" s="4"/>
      <c r="E103" s="4"/>
      <c r="F103" s="4"/>
      <c r="G103" s="4"/>
      <c r="H103" s="4"/>
    </row>
    <row r="104" spans="1:8" ht="12.75">
      <c r="A104" s="4"/>
      <c r="B104" s="4"/>
      <c r="C104" s="4"/>
      <c r="D104" s="4"/>
      <c r="E104" s="4"/>
      <c r="F104" s="4"/>
      <c r="G104" s="4"/>
      <c r="H104" s="4"/>
    </row>
    <row r="105" spans="1:8" ht="12.75">
      <c r="A105" s="4"/>
      <c r="B105" s="4"/>
      <c r="C105" s="4"/>
      <c r="D105" s="4"/>
      <c r="E105" s="4"/>
      <c r="F105" s="4"/>
      <c r="G105" s="4"/>
      <c r="H105" s="4"/>
    </row>
    <row r="106" spans="1:8" ht="12.75">
      <c r="A106" s="4"/>
      <c r="B106" s="4"/>
      <c r="C106" s="4"/>
      <c r="D106" s="4"/>
      <c r="E106" s="4"/>
      <c r="F106" s="4"/>
      <c r="G106" s="4"/>
      <c r="H106" s="4"/>
    </row>
    <row r="107" spans="1:8" ht="12.75">
      <c r="A107" s="4"/>
      <c r="B107" s="4"/>
      <c r="C107" s="4"/>
      <c r="D107" s="4"/>
      <c r="E107" s="4"/>
      <c r="F107" s="4"/>
      <c r="G107" s="4"/>
      <c r="H107" s="4"/>
    </row>
    <row r="108" spans="1:8" ht="12.75">
      <c r="A108" s="4"/>
      <c r="B108" s="4"/>
      <c r="C108" s="4"/>
      <c r="D108" s="4"/>
      <c r="E108" s="4"/>
      <c r="F108" s="4"/>
      <c r="G108" s="4"/>
      <c r="H108" s="4"/>
    </row>
    <row r="109" spans="1:8" ht="12.75">
      <c r="A109" s="4"/>
      <c r="B109" s="4"/>
      <c r="C109" s="4"/>
      <c r="D109" s="4"/>
      <c r="E109" s="4"/>
      <c r="F109" s="4"/>
      <c r="G109" s="4"/>
      <c r="H109" s="4"/>
    </row>
    <row r="110" spans="1:8" ht="12.75">
      <c r="A110" s="4"/>
      <c r="B110" s="4"/>
      <c r="C110" s="4"/>
      <c r="D110" s="4"/>
      <c r="E110" s="4"/>
      <c r="F110" s="4"/>
      <c r="G110" s="4"/>
      <c r="H110" s="4"/>
    </row>
    <row r="111" spans="1:8" ht="12.75">
      <c r="A111" s="4"/>
      <c r="B111" s="4"/>
      <c r="C111" s="4"/>
      <c r="D111" s="4"/>
      <c r="E111" s="4"/>
      <c r="F111" s="4"/>
      <c r="G111" s="4"/>
      <c r="H111" s="4"/>
    </row>
    <row r="112" spans="1:8" ht="12.75">
      <c r="A112" s="4"/>
      <c r="B112" s="4"/>
      <c r="C112" s="4"/>
      <c r="D112" s="4"/>
      <c r="E112" s="4"/>
      <c r="F112" s="4"/>
      <c r="G112" s="4"/>
      <c r="H112" s="4"/>
    </row>
    <row r="113" spans="1:8" ht="12.75">
      <c r="A113" s="4"/>
      <c r="B113" s="4"/>
      <c r="C113" s="4"/>
      <c r="D113" s="4"/>
      <c r="E113" s="4"/>
      <c r="F113" s="4"/>
      <c r="G113" s="4"/>
      <c r="H113" s="4"/>
    </row>
    <row r="114" spans="1:8" ht="12.75">
      <c r="A114" s="4"/>
      <c r="B114" s="4"/>
      <c r="C114" s="4"/>
      <c r="D114" s="4"/>
      <c r="E114" s="4"/>
      <c r="F114" s="4"/>
      <c r="G114" s="4"/>
      <c r="H114" s="4"/>
    </row>
    <row r="115" spans="1:8" ht="12.75">
      <c r="A115" s="4"/>
      <c r="B115" s="4"/>
      <c r="C115" s="4"/>
      <c r="D115" s="4"/>
      <c r="E115" s="4"/>
      <c r="F115" s="4"/>
      <c r="G115" s="4"/>
      <c r="H115" s="4"/>
    </row>
    <row r="116" spans="1:8" ht="12.75">
      <c r="A116" s="4"/>
      <c r="B116" s="4"/>
      <c r="C116" s="4"/>
      <c r="D116" s="4"/>
      <c r="E116" s="4"/>
      <c r="F116" s="4"/>
      <c r="G116" s="4"/>
      <c r="H116" s="4"/>
    </row>
    <row r="117" spans="1:8" ht="12.75">
      <c r="A117" s="4"/>
      <c r="B117" s="4"/>
      <c r="C117" s="4"/>
      <c r="D117" s="4"/>
      <c r="E117" s="4"/>
      <c r="F117" s="4"/>
      <c r="G117" s="4"/>
      <c r="H117" s="4"/>
    </row>
    <row r="118" spans="1:8" ht="12.75">
      <c r="A118" s="4"/>
      <c r="B118" s="4"/>
      <c r="C118" s="4"/>
      <c r="D118" s="4"/>
      <c r="E118" s="4"/>
      <c r="F118" s="4"/>
      <c r="G118" s="4"/>
      <c r="H118" s="4"/>
    </row>
    <row r="119" spans="1:8" ht="12.75">
      <c r="A119" s="4"/>
      <c r="B119" s="4"/>
      <c r="C119" s="4"/>
      <c r="D119" s="4"/>
      <c r="E119" s="4"/>
      <c r="F119" s="4"/>
      <c r="G119" s="4"/>
      <c r="H119" s="4"/>
    </row>
    <row r="120" spans="1:8" ht="12.75">
      <c r="A120" s="4"/>
      <c r="B120" s="4"/>
      <c r="C120" s="4"/>
      <c r="D120" s="4"/>
      <c r="E120" s="4"/>
      <c r="F120" s="4"/>
      <c r="G120" s="4"/>
      <c r="H120" s="4"/>
    </row>
    <row r="121" spans="1:8" ht="12.75">
      <c r="A121" s="4"/>
      <c r="B121" s="4"/>
      <c r="C121" s="4"/>
      <c r="D121" s="4"/>
      <c r="E121" s="4"/>
      <c r="F121" s="4"/>
      <c r="G121" s="4"/>
      <c r="H121" s="4"/>
    </row>
    <row r="122" spans="1:8" ht="12.75">
      <c r="A122" s="4"/>
      <c r="B122" s="4"/>
      <c r="C122" s="4"/>
      <c r="D122" s="4"/>
      <c r="E122" s="4"/>
      <c r="F122" s="4"/>
      <c r="G122" s="4"/>
      <c r="H122" s="4"/>
    </row>
    <row r="123" spans="1:8" ht="12.75">
      <c r="A123" s="4"/>
      <c r="B123" s="4"/>
      <c r="C123" s="4"/>
      <c r="D123" s="4"/>
      <c r="E123" s="4"/>
      <c r="F123" s="4"/>
      <c r="G123" s="4"/>
      <c r="H123" s="4"/>
    </row>
    <row r="124" spans="1:8" ht="12.75">
      <c r="A124" s="4"/>
      <c r="B124" s="4"/>
      <c r="C124" s="4"/>
      <c r="D124" s="4"/>
      <c r="E124" s="4"/>
      <c r="F124" s="4"/>
      <c r="G124" s="4"/>
      <c r="H124" s="4"/>
    </row>
    <row r="125" spans="1:8" ht="12.75">
      <c r="A125" s="4"/>
      <c r="B125" s="4"/>
      <c r="C125" s="4"/>
      <c r="D125" s="4"/>
      <c r="E125" s="4"/>
      <c r="F125" s="4"/>
      <c r="G125" s="4"/>
      <c r="H125" s="4"/>
    </row>
    <row r="126" spans="1:8" ht="12.75">
      <c r="A126" s="4"/>
      <c r="B126" s="4"/>
      <c r="C126" s="4"/>
      <c r="D126" s="4"/>
      <c r="E126" s="4"/>
      <c r="F126" s="4"/>
      <c r="G126" s="4"/>
      <c r="H126" s="4"/>
    </row>
    <row r="127" spans="1:8" ht="12.75">
      <c r="A127" s="4"/>
      <c r="B127" s="4"/>
      <c r="C127" s="4"/>
      <c r="D127" s="4"/>
      <c r="E127" s="4"/>
      <c r="F127" s="4"/>
      <c r="G127" s="4"/>
      <c r="H127" s="4"/>
    </row>
    <row r="128" spans="1:8" ht="12.75">
      <c r="A128" s="4"/>
      <c r="B128" s="4"/>
      <c r="C128" s="4"/>
      <c r="D128" s="4"/>
      <c r="E128" s="4"/>
      <c r="F128" s="4"/>
      <c r="G128" s="4"/>
      <c r="H128" s="4"/>
    </row>
    <row r="129" spans="1:8" ht="12.75">
      <c r="A129" s="4"/>
      <c r="B129" s="4"/>
      <c r="C129" s="4"/>
      <c r="D129" s="4"/>
      <c r="E129" s="4"/>
      <c r="F129" s="4"/>
      <c r="G129" s="4"/>
      <c r="H129" s="4"/>
    </row>
    <row r="130" spans="1:8" ht="12.75">
      <c r="A130" s="4"/>
      <c r="B130" s="4"/>
      <c r="C130" s="4"/>
      <c r="D130" s="4"/>
      <c r="E130" s="4"/>
      <c r="F130" s="4"/>
      <c r="G130" s="4"/>
      <c r="H130" s="4"/>
    </row>
    <row r="131" spans="1:8" ht="12.75">
      <c r="A131" s="4"/>
      <c r="B131" s="4"/>
      <c r="C131" s="4"/>
      <c r="D131" s="4"/>
      <c r="E131" s="4"/>
      <c r="F131" s="4"/>
      <c r="G131" s="4"/>
      <c r="H131" s="4"/>
    </row>
    <row r="132" spans="1:8" ht="12.75">
      <c r="A132" s="4"/>
      <c r="B132" s="4"/>
      <c r="C132" s="4"/>
      <c r="D132" s="4"/>
      <c r="E132" s="4"/>
      <c r="F132" s="4"/>
      <c r="G132" s="4"/>
      <c r="H132" s="4"/>
    </row>
    <row r="133" spans="1:8" ht="12.75">
      <c r="A133" s="4"/>
      <c r="B133" s="4"/>
      <c r="C133" s="4"/>
      <c r="D133" s="4"/>
      <c r="E133" s="4"/>
      <c r="F133" s="4"/>
      <c r="G133" s="4"/>
      <c r="H133" s="4"/>
    </row>
    <row r="134" spans="1:8" ht="12.75">
      <c r="A134" s="4"/>
      <c r="B134" s="4"/>
      <c r="C134" s="4"/>
      <c r="D134" s="4"/>
      <c r="E134" s="4"/>
      <c r="F134" s="4"/>
      <c r="G134" s="4"/>
      <c r="H134" s="4"/>
    </row>
    <row r="135" spans="1:8" ht="12.75">
      <c r="A135" s="4"/>
      <c r="B135" s="4"/>
      <c r="C135" s="4"/>
      <c r="D135" s="4"/>
      <c r="E135" s="4"/>
      <c r="F135" s="4"/>
      <c r="G135" s="4"/>
      <c r="H135" s="4"/>
    </row>
    <row r="136" spans="1:8" ht="12.75">
      <c r="A136" s="4"/>
      <c r="B136" s="4"/>
      <c r="C136" s="4"/>
      <c r="D136" s="4"/>
      <c r="E136" s="4"/>
      <c r="F136" s="4"/>
      <c r="G136" s="4"/>
      <c r="H136" s="4"/>
    </row>
    <row r="137" spans="1:8" ht="12.75">
      <c r="A137" s="4"/>
      <c r="B137" s="4"/>
      <c r="C137" s="4"/>
      <c r="D137" s="4"/>
      <c r="E137" s="4"/>
      <c r="F137" s="4"/>
      <c r="G137" s="4"/>
      <c r="H137" s="4"/>
    </row>
    <row r="138" spans="1:8" ht="12.75">
      <c r="A138" s="4"/>
      <c r="B138" s="4"/>
      <c r="C138" s="4"/>
      <c r="D138" s="4"/>
      <c r="E138" s="4"/>
      <c r="F138" s="4"/>
      <c r="G138" s="4"/>
      <c r="H138" s="4"/>
    </row>
    <row r="139" spans="1:8" ht="12.75">
      <c r="A139" s="4"/>
      <c r="B139" s="4"/>
      <c r="C139" s="4"/>
      <c r="D139" s="4"/>
      <c r="E139" s="4"/>
      <c r="F139" s="4"/>
      <c r="G139" s="4"/>
      <c r="H139" s="4"/>
    </row>
    <row r="140" spans="1:8" ht="12.75">
      <c r="A140" s="4"/>
      <c r="B140" s="4"/>
      <c r="C140" s="4"/>
      <c r="D140" s="4"/>
      <c r="E140" s="4"/>
      <c r="F140" s="4"/>
      <c r="G140" s="4"/>
      <c r="H140" s="4"/>
    </row>
    <row r="141" spans="1:8" ht="12.75">
      <c r="A141" s="4"/>
      <c r="B141" s="4"/>
      <c r="C141" s="4"/>
      <c r="D141" s="4"/>
      <c r="E141" s="4"/>
      <c r="F141" s="4"/>
      <c r="G141" s="4"/>
      <c r="H141" s="4"/>
    </row>
    <row r="142" spans="1:8" ht="12.75">
      <c r="A142" s="4"/>
      <c r="B142" s="4"/>
      <c r="C142" s="4"/>
      <c r="D142" s="4"/>
      <c r="E142" s="4"/>
      <c r="F142" s="4"/>
      <c r="G142" s="4"/>
      <c r="H142" s="4"/>
    </row>
    <row r="143" spans="1:8" ht="12.75">
      <c r="A143" s="4"/>
      <c r="B143" s="4"/>
      <c r="C143" s="4"/>
      <c r="D143" s="4"/>
      <c r="E143" s="4"/>
      <c r="F143" s="4"/>
      <c r="G143" s="4"/>
      <c r="H143" s="4"/>
    </row>
    <row r="144" spans="1:8" ht="12.75">
      <c r="A144" s="4"/>
      <c r="B144" s="4"/>
      <c r="C144" s="4"/>
      <c r="D144" s="4"/>
      <c r="E144" s="4"/>
      <c r="F144" s="4"/>
      <c r="G144" s="4"/>
      <c r="H144" s="4"/>
    </row>
    <row r="145" spans="1:8" ht="12.75">
      <c r="A145" s="4"/>
      <c r="B145" s="4"/>
      <c r="C145" s="4"/>
      <c r="D145" s="4"/>
      <c r="E145" s="4"/>
      <c r="F145" s="4"/>
      <c r="G145" s="4"/>
      <c r="H145" s="4"/>
    </row>
    <row r="146" spans="1:8" ht="12.75">
      <c r="A146" s="4"/>
      <c r="B146" s="4"/>
      <c r="C146" s="4"/>
      <c r="D146" s="4"/>
      <c r="E146" s="4"/>
      <c r="F146" s="4"/>
      <c r="G146" s="4"/>
      <c r="H146" s="4"/>
    </row>
    <row r="147" spans="1:8" ht="12.75">
      <c r="A147" s="4"/>
      <c r="B147" s="4"/>
      <c r="C147" s="4"/>
      <c r="D147" s="4"/>
      <c r="E147" s="4"/>
      <c r="F147" s="4"/>
      <c r="G147" s="4"/>
      <c r="H147" s="4"/>
    </row>
    <row r="148" spans="1:8" ht="12.75">
      <c r="A148" s="4"/>
      <c r="B148" s="4"/>
      <c r="C148" s="4"/>
      <c r="D148" s="4"/>
      <c r="E148" s="4"/>
      <c r="F148" s="4"/>
      <c r="G148" s="4"/>
      <c r="H148" s="4"/>
    </row>
    <row r="149" spans="1:8" ht="12.75">
      <c r="A149" s="4"/>
      <c r="B149" s="4"/>
      <c r="C149" s="4"/>
      <c r="D149" s="4"/>
      <c r="E149" s="4"/>
      <c r="F149" s="4"/>
      <c r="G149" s="4"/>
      <c r="H149" s="4"/>
    </row>
    <row r="150" spans="1:8" ht="12.75">
      <c r="A150" s="4"/>
      <c r="B150" s="4"/>
      <c r="C150" s="4"/>
      <c r="D150" s="4"/>
      <c r="E150" s="4"/>
      <c r="F150" s="4"/>
      <c r="G150" s="4"/>
      <c r="H150" s="4"/>
    </row>
    <row r="151" spans="1:8" ht="12.75">
      <c r="A151" s="4"/>
      <c r="B151" s="4"/>
      <c r="C151" s="4"/>
      <c r="D151" s="4"/>
      <c r="E151" s="4"/>
      <c r="F151" s="4"/>
      <c r="G151" s="4"/>
      <c r="H151" s="4"/>
    </row>
    <row r="152" spans="1:8" ht="12.75">
      <c r="A152" s="4"/>
      <c r="B152" s="4"/>
      <c r="C152" s="4"/>
      <c r="D152" s="4"/>
      <c r="E152" s="4"/>
      <c r="F152" s="4"/>
      <c r="G152" s="4"/>
      <c r="H152" s="4"/>
    </row>
    <row r="153" spans="1:8" ht="12.75">
      <c r="A153" s="4"/>
      <c r="B153" s="4"/>
      <c r="C153" s="4"/>
      <c r="D153" s="4"/>
      <c r="E153" s="4"/>
      <c r="F153" s="4"/>
      <c r="G153" s="4"/>
      <c r="H153" s="4"/>
    </row>
    <row r="154" spans="1:8" ht="12.75">
      <c r="A154" s="4"/>
      <c r="B154" s="4"/>
      <c r="C154" s="4"/>
      <c r="D154" s="4"/>
      <c r="E154" s="4"/>
      <c r="F154" s="4"/>
      <c r="G154" s="4"/>
      <c r="H154" s="4"/>
    </row>
    <row r="155" spans="1:8" ht="12.75">
      <c r="A155" s="4"/>
      <c r="B155" s="4"/>
      <c r="C155" s="4"/>
      <c r="D155" s="4"/>
      <c r="E155" s="4"/>
      <c r="F155" s="4"/>
      <c r="G155" s="4"/>
      <c r="H155" s="4"/>
    </row>
    <row r="156" spans="1:8" ht="12.75">
      <c r="A156" s="4"/>
      <c r="B156" s="4"/>
      <c r="C156" s="4"/>
      <c r="D156" s="4"/>
      <c r="E156" s="4"/>
      <c r="F156" s="4"/>
      <c r="G156" s="4"/>
      <c r="H156" s="4"/>
    </row>
    <row r="157" spans="1:8" ht="12.75">
      <c r="A157" s="4"/>
      <c r="B157" s="4"/>
      <c r="C157" s="4"/>
      <c r="D157" s="4"/>
      <c r="E157" s="4"/>
      <c r="F157" s="4"/>
      <c r="G157" s="4"/>
      <c r="H157" s="4"/>
    </row>
    <row r="158" spans="1:8" ht="12.75">
      <c r="A158" s="4"/>
      <c r="B158" s="4"/>
      <c r="C158" s="4"/>
      <c r="D158" s="4"/>
      <c r="E158" s="4"/>
      <c r="F158" s="4"/>
      <c r="G158" s="4"/>
      <c r="H158" s="4"/>
    </row>
    <row r="159" spans="1:8" ht="12.75">
      <c r="A159" s="4"/>
      <c r="B159" s="4"/>
      <c r="C159" s="4"/>
      <c r="D159" s="4"/>
      <c r="E159" s="4"/>
      <c r="F159" s="4"/>
      <c r="G159" s="4"/>
      <c r="H159" s="4"/>
    </row>
    <row r="160" spans="1:8" ht="12.75">
      <c r="A160" s="4"/>
      <c r="B160" s="4"/>
      <c r="C160" s="4"/>
      <c r="D160" s="4"/>
      <c r="E160" s="4"/>
      <c r="F160" s="4"/>
      <c r="G160" s="4"/>
      <c r="H160" s="4"/>
    </row>
    <row r="161" spans="1:8" ht="12.75">
      <c r="A161" s="4"/>
      <c r="B161" s="4"/>
      <c r="C161" s="4"/>
      <c r="D161" s="4"/>
      <c r="E161" s="4"/>
      <c r="F161" s="4"/>
      <c r="G161" s="4"/>
      <c r="H161" s="4"/>
    </row>
    <row r="162" spans="1:8" ht="12.75">
      <c r="A162" s="4"/>
      <c r="B162" s="4"/>
      <c r="C162" s="4"/>
      <c r="D162" s="4"/>
      <c r="E162" s="4"/>
      <c r="F162" s="4"/>
      <c r="G162" s="4"/>
      <c r="H162" s="4"/>
    </row>
    <row r="163" spans="1:8" ht="12.75">
      <c r="A163" s="4"/>
      <c r="B163" s="4"/>
      <c r="C163" s="4"/>
      <c r="D163" s="4"/>
      <c r="E163" s="4"/>
      <c r="F163" s="4"/>
      <c r="G163" s="4"/>
      <c r="H163" s="4"/>
    </row>
    <row r="164" spans="1:8" ht="12.75">
      <c r="A164" s="4"/>
      <c r="B164" s="4"/>
      <c r="C164" s="4"/>
      <c r="D164" s="4"/>
      <c r="E164" s="4"/>
      <c r="F164" s="4"/>
      <c r="G164" s="4"/>
      <c r="H164"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 right="0" top="0.75" bottom="0.75" header="0.3" footer="0.3"/>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dimension ref="A1:I133"/>
  <sheetViews>
    <sheetView zoomScale="55" zoomScaleNormal="55" zoomScalePageLayoutView="0" workbookViewId="0" topLeftCell="A1">
      <selection activeCell="M17" sqref="M17"/>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9" ht="13.5" thickBot="1">
      <c r="A1" s="888" t="str">
        <f>'Budget with Assumptions'!A2</f>
        <v>Chicago Classical Academy</v>
      </c>
      <c r="B1" s="4"/>
      <c r="C1" s="4"/>
      <c r="D1" s="4"/>
      <c r="E1" s="4"/>
      <c r="F1" s="4"/>
      <c r="G1" s="4"/>
      <c r="H1" s="4"/>
      <c r="I1" s="4"/>
    </row>
    <row r="2" spans="1:9" ht="12.75">
      <c r="A2" s="4"/>
      <c r="B2" s="4"/>
      <c r="C2" s="4"/>
      <c r="D2" s="4"/>
      <c r="E2" s="4"/>
      <c r="F2" s="4"/>
      <c r="G2" s="4"/>
      <c r="H2" s="4"/>
      <c r="I2" s="4"/>
    </row>
    <row r="3" spans="1:9" ht="12.75">
      <c r="A3" s="4"/>
      <c r="B3" s="4"/>
      <c r="C3" s="4"/>
      <c r="D3" s="4"/>
      <c r="E3" s="4"/>
      <c r="F3" s="4"/>
      <c r="G3" s="4"/>
      <c r="H3" s="4"/>
      <c r="I3" s="4"/>
    </row>
    <row r="4" spans="1:9" ht="13.5" thickBot="1">
      <c r="A4" s="4"/>
      <c r="B4" s="4"/>
      <c r="C4" s="4"/>
      <c r="D4" s="4"/>
      <c r="E4" s="4"/>
      <c r="F4" s="4"/>
      <c r="G4" s="4"/>
      <c r="H4" s="4"/>
      <c r="I4" s="4"/>
    </row>
    <row r="5" spans="1:9" ht="77.25" thickBot="1">
      <c r="A5" s="815" t="s">
        <v>427</v>
      </c>
      <c r="B5" s="813">
        <v>0.02</v>
      </c>
      <c r="C5" s="4"/>
      <c r="D5" s="4"/>
      <c r="E5" s="4"/>
      <c r="F5" s="4"/>
      <c r="G5" s="4"/>
      <c r="H5" s="4"/>
      <c r="I5" s="4"/>
    </row>
    <row r="6" spans="1:9" ht="12.75">
      <c r="A6" s="4"/>
      <c r="B6" s="4"/>
      <c r="C6" s="4"/>
      <c r="D6" s="4"/>
      <c r="E6" s="4"/>
      <c r="F6" s="4"/>
      <c r="G6" s="4"/>
      <c r="H6" s="4"/>
      <c r="I6" s="4"/>
    </row>
    <row r="7" spans="1:9" ht="12.75">
      <c r="A7" s="4"/>
      <c r="B7" s="4"/>
      <c r="C7" s="4"/>
      <c r="D7" s="4"/>
      <c r="E7" s="4"/>
      <c r="F7" s="4"/>
      <c r="G7" s="4"/>
      <c r="H7" s="4"/>
      <c r="I7" s="4"/>
    </row>
    <row r="8" spans="1:9" ht="13.5" thickBot="1">
      <c r="A8" s="4"/>
      <c r="B8" s="4"/>
      <c r="C8" s="4"/>
      <c r="D8" s="4"/>
      <c r="E8" s="4"/>
      <c r="F8" s="4"/>
      <c r="G8" s="4"/>
      <c r="H8" s="4"/>
      <c r="I8" s="4"/>
    </row>
    <row r="9" spans="1:9" ht="15" thickBot="1">
      <c r="A9" s="956" t="s">
        <v>501</v>
      </c>
      <c r="B9" s="957"/>
      <c r="C9" s="957"/>
      <c r="D9" s="958"/>
      <c r="E9" s="754"/>
      <c r="F9" s="754"/>
      <c r="G9" s="754"/>
      <c r="H9" s="4"/>
      <c r="I9" s="4"/>
    </row>
    <row r="10" spans="1:9" ht="15" thickBot="1">
      <c r="A10" s="959" t="s">
        <v>395</v>
      </c>
      <c r="B10" s="960"/>
      <c r="C10" s="960"/>
      <c r="D10" s="961"/>
      <c r="E10" s="754"/>
      <c r="F10" s="754"/>
      <c r="G10" s="754"/>
      <c r="H10" s="4"/>
      <c r="I10" s="4"/>
    </row>
    <row r="11" spans="1:9" ht="90.75" thickBot="1">
      <c r="A11" s="771" t="s">
        <v>387</v>
      </c>
      <c r="B11" s="771" t="s">
        <v>388</v>
      </c>
      <c r="C11" s="771" t="s">
        <v>389</v>
      </c>
      <c r="D11" s="772" t="s">
        <v>390</v>
      </c>
      <c r="E11" s="738" t="s">
        <v>396</v>
      </c>
      <c r="F11" s="738" t="s">
        <v>397</v>
      </c>
      <c r="G11" s="738" t="s">
        <v>398</v>
      </c>
      <c r="H11" s="4"/>
      <c r="I11" s="4"/>
    </row>
    <row r="12" spans="1:9" ht="16.5" thickBot="1">
      <c r="A12" s="953"/>
      <c r="B12" s="954"/>
      <c r="C12" s="954"/>
      <c r="D12" s="955"/>
      <c r="E12" s="762">
        <v>0.05</v>
      </c>
      <c r="F12" s="773">
        <v>0.1116</v>
      </c>
      <c r="G12" s="774">
        <v>0.0145</v>
      </c>
      <c r="H12" s="4"/>
      <c r="I12" s="4"/>
    </row>
    <row r="13" spans="1:9" ht="15">
      <c r="A13" s="744" t="str">
        <f>'[1]Salaries - Year 2'!A13</f>
        <v>Principal: Lower Grades</v>
      </c>
      <c r="B13" s="763">
        <v>1</v>
      </c>
      <c r="C13" s="746">
        <f>('Salaries - Year 2'!C13)*(1+$B$5)</f>
        <v>95508.72</v>
      </c>
      <c r="D13" s="757">
        <f>B13*C13</f>
        <v>95508.72</v>
      </c>
      <c r="E13" s="775">
        <f>D13*$E$12</f>
        <v>4775.436000000001</v>
      </c>
      <c r="F13" s="776">
        <f>D13*$F$12</f>
        <v>10658.773152</v>
      </c>
      <c r="G13" s="775">
        <f>D13*$G$12</f>
        <v>1384.87644</v>
      </c>
      <c r="H13" s="4"/>
      <c r="I13" s="4"/>
    </row>
    <row r="14" spans="1:9" ht="15">
      <c r="A14" s="744" t="str">
        <f>'[1]Salaries - Year 2'!A14</f>
        <v>Teachers</v>
      </c>
      <c r="B14" s="764">
        <v>21</v>
      </c>
      <c r="C14" s="746">
        <v>50696</v>
      </c>
      <c r="D14" s="757">
        <f aca="true" t="shared" si="0" ref="D14:D34">B14*C14</f>
        <v>1064616</v>
      </c>
      <c r="E14" s="775">
        <f aca="true" t="shared" si="1" ref="E14:E34">D14*$E$12</f>
        <v>53230.8</v>
      </c>
      <c r="F14" s="776">
        <f aca="true" t="shared" si="2" ref="F14:F26">D14*$F$12</f>
        <v>118811.1456</v>
      </c>
      <c r="G14" s="775">
        <f aca="true" t="shared" si="3" ref="G14:G34">D14*$G$12</f>
        <v>15436.932</v>
      </c>
      <c r="H14" s="4"/>
      <c r="I14" s="4"/>
    </row>
    <row r="15" spans="1:9" ht="15">
      <c r="A15" s="736" t="s">
        <v>26</v>
      </c>
      <c r="B15" s="764">
        <v>1</v>
      </c>
      <c r="C15" s="746">
        <v>70000</v>
      </c>
      <c r="D15" s="757">
        <f t="shared" si="0"/>
        <v>70000</v>
      </c>
      <c r="E15" s="775">
        <f t="shared" si="1"/>
        <v>3500</v>
      </c>
      <c r="F15" s="776">
        <f t="shared" si="2"/>
        <v>7812</v>
      </c>
      <c r="G15" s="775">
        <f t="shared" si="3"/>
        <v>1015</v>
      </c>
      <c r="H15" s="4"/>
      <c r="I15" s="4"/>
    </row>
    <row r="16" spans="1:9" ht="15">
      <c r="A16" s="736"/>
      <c r="B16" s="764"/>
      <c r="C16" s="746">
        <f>('Salaries - Year 2'!C16)*(1+$B$5)</f>
        <v>0</v>
      </c>
      <c r="D16" s="757">
        <f t="shared" si="0"/>
        <v>0</v>
      </c>
      <c r="E16" s="775">
        <f t="shared" si="1"/>
        <v>0</v>
      </c>
      <c r="F16" s="776">
        <f t="shared" si="2"/>
        <v>0</v>
      </c>
      <c r="G16" s="775">
        <f t="shared" si="3"/>
        <v>0</v>
      </c>
      <c r="H16" s="4"/>
      <c r="I16" s="4"/>
    </row>
    <row r="17" spans="1:9" ht="15">
      <c r="A17" s="736"/>
      <c r="B17" s="764"/>
      <c r="C17" s="746">
        <f>('Salaries - Year 2'!C17)*(1+$B$5)</f>
        <v>0</v>
      </c>
      <c r="D17" s="757">
        <f t="shared" si="0"/>
        <v>0</v>
      </c>
      <c r="E17" s="775">
        <f t="shared" si="1"/>
        <v>0</v>
      </c>
      <c r="F17" s="776">
        <f t="shared" si="2"/>
        <v>0</v>
      </c>
      <c r="G17" s="775">
        <f t="shared" si="3"/>
        <v>0</v>
      </c>
      <c r="H17" s="4"/>
      <c r="I17" s="4"/>
    </row>
    <row r="18" spans="1:9" ht="15">
      <c r="A18" s="736"/>
      <c r="B18" s="764"/>
      <c r="C18" s="746">
        <f>('Salaries - Year 2'!C18)*(1+$B$5)</f>
        <v>0</v>
      </c>
      <c r="D18" s="757">
        <f t="shared" si="0"/>
        <v>0</v>
      </c>
      <c r="E18" s="775">
        <f t="shared" si="1"/>
        <v>0</v>
      </c>
      <c r="F18" s="776">
        <f t="shared" si="2"/>
        <v>0</v>
      </c>
      <c r="G18" s="775">
        <f t="shared" si="3"/>
        <v>0</v>
      </c>
      <c r="H18" s="4"/>
      <c r="I18" s="4"/>
    </row>
    <row r="19" spans="1:9" ht="15">
      <c r="A19" s="736"/>
      <c r="B19" s="764"/>
      <c r="C19" s="746">
        <f>('Salaries - Year 2'!C19)*(1+$B$5)</f>
        <v>0</v>
      </c>
      <c r="D19" s="757">
        <f t="shared" si="0"/>
        <v>0</v>
      </c>
      <c r="E19" s="775">
        <f t="shared" si="1"/>
        <v>0</v>
      </c>
      <c r="F19" s="776">
        <f t="shared" si="2"/>
        <v>0</v>
      </c>
      <c r="G19" s="775">
        <f t="shared" si="3"/>
        <v>0</v>
      </c>
      <c r="H19" s="4"/>
      <c r="I19" s="4"/>
    </row>
    <row r="20" spans="1:9" ht="15">
      <c r="A20" s="736"/>
      <c r="B20" s="764"/>
      <c r="C20" s="746">
        <f>('Salaries - Year 2'!C20)*(1+$B$5)</f>
        <v>0</v>
      </c>
      <c r="D20" s="757">
        <f t="shared" si="0"/>
        <v>0</v>
      </c>
      <c r="E20" s="775">
        <f t="shared" si="1"/>
        <v>0</v>
      </c>
      <c r="F20" s="776">
        <f t="shared" si="2"/>
        <v>0</v>
      </c>
      <c r="G20" s="775">
        <f t="shared" si="3"/>
        <v>0</v>
      </c>
      <c r="H20" s="4"/>
      <c r="I20" s="4"/>
    </row>
    <row r="21" spans="1:9" ht="15">
      <c r="A21" s="736"/>
      <c r="B21" s="764"/>
      <c r="C21" s="746">
        <f>('Salaries - Year 2'!C21)*(1+$B$5)</f>
        <v>0</v>
      </c>
      <c r="D21" s="757">
        <f t="shared" si="0"/>
        <v>0</v>
      </c>
      <c r="E21" s="775">
        <f t="shared" si="1"/>
        <v>0</v>
      </c>
      <c r="F21" s="776">
        <f t="shared" si="2"/>
        <v>0</v>
      </c>
      <c r="G21" s="775">
        <f t="shared" si="3"/>
        <v>0</v>
      </c>
      <c r="H21" s="4"/>
      <c r="I21" s="4"/>
    </row>
    <row r="22" spans="1:9" ht="15">
      <c r="A22" s="736"/>
      <c r="B22" s="764"/>
      <c r="C22" s="746">
        <f>('Salaries - Year 2'!C22)*(1+$B$5)</f>
        <v>0</v>
      </c>
      <c r="D22" s="757">
        <f t="shared" si="0"/>
        <v>0</v>
      </c>
      <c r="E22" s="775">
        <f t="shared" si="1"/>
        <v>0</v>
      </c>
      <c r="F22" s="776">
        <f t="shared" si="2"/>
        <v>0</v>
      </c>
      <c r="G22" s="775">
        <f t="shared" si="3"/>
        <v>0</v>
      </c>
      <c r="H22" s="4"/>
      <c r="I22" s="4"/>
    </row>
    <row r="23" spans="1:9" ht="15">
      <c r="A23" s="736"/>
      <c r="B23" s="764"/>
      <c r="C23" s="746">
        <f>('Salaries - Year 2'!C23)*(1+$B$5)</f>
        <v>0</v>
      </c>
      <c r="D23" s="757">
        <f t="shared" si="0"/>
        <v>0</v>
      </c>
      <c r="E23" s="775">
        <f t="shared" si="1"/>
        <v>0</v>
      </c>
      <c r="F23" s="776">
        <f t="shared" si="2"/>
        <v>0</v>
      </c>
      <c r="G23" s="775">
        <f t="shared" si="3"/>
        <v>0</v>
      </c>
      <c r="H23" s="4"/>
      <c r="I23" s="4"/>
    </row>
    <row r="24" spans="1:9" ht="15">
      <c r="A24" s="736"/>
      <c r="B24" s="764"/>
      <c r="C24" s="746">
        <f>('Salaries - Year 2'!C24)*(1+$B$5)</f>
        <v>0</v>
      </c>
      <c r="D24" s="757">
        <f t="shared" si="0"/>
        <v>0</v>
      </c>
      <c r="E24" s="775">
        <f t="shared" si="1"/>
        <v>0</v>
      </c>
      <c r="F24" s="776">
        <f t="shared" si="2"/>
        <v>0</v>
      </c>
      <c r="G24" s="775">
        <f t="shared" si="3"/>
        <v>0</v>
      </c>
      <c r="H24" s="4"/>
      <c r="I24" s="4"/>
    </row>
    <row r="25" spans="1:9" ht="15">
      <c r="A25" s="736"/>
      <c r="B25" s="764"/>
      <c r="C25" s="746">
        <f>('Salaries - Year 2'!C25)*(1+$B$5)</f>
        <v>0</v>
      </c>
      <c r="D25" s="757">
        <f t="shared" si="0"/>
        <v>0</v>
      </c>
      <c r="E25" s="775">
        <f t="shared" si="1"/>
        <v>0</v>
      </c>
      <c r="F25" s="776">
        <f t="shared" si="2"/>
        <v>0</v>
      </c>
      <c r="G25" s="775">
        <f t="shared" si="3"/>
        <v>0</v>
      </c>
      <c r="H25" s="4"/>
      <c r="I25" s="4"/>
    </row>
    <row r="26" spans="1:9" ht="15.75" thickBot="1">
      <c r="A26" s="750"/>
      <c r="B26" s="764"/>
      <c r="C26" s="746">
        <f>('Salaries - Year 2'!C26)*(1+$B$5)</f>
        <v>0</v>
      </c>
      <c r="D26" s="757">
        <f t="shared" si="0"/>
        <v>0</v>
      </c>
      <c r="E26" s="775">
        <f t="shared" si="1"/>
        <v>0</v>
      </c>
      <c r="F26" s="777">
        <f t="shared" si="2"/>
        <v>0</v>
      </c>
      <c r="G26" s="775">
        <f t="shared" si="3"/>
        <v>0</v>
      </c>
      <c r="H26" s="4"/>
      <c r="I26" s="4"/>
    </row>
    <row r="27" spans="1:9" ht="15">
      <c r="A27" s="739" t="s">
        <v>399</v>
      </c>
      <c r="B27" s="764">
        <v>1</v>
      </c>
      <c r="C27" s="746">
        <f>('Salaries - Year 2'!C27)*(1+$B$5)</f>
        <v>52020</v>
      </c>
      <c r="D27" s="757">
        <f t="shared" si="0"/>
        <v>52020</v>
      </c>
      <c r="E27" s="778">
        <f t="shared" si="1"/>
        <v>2601</v>
      </c>
      <c r="F27" s="779"/>
      <c r="G27" s="780">
        <f t="shared" si="3"/>
        <v>754.2900000000001</v>
      </c>
      <c r="H27" s="4"/>
      <c r="I27" s="4"/>
    </row>
    <row r="28" spans="1:9" ht="15.75" thickBot="1">
      <c r="A28" s="740" t="s">
        <v>400</v>
      </c>
      <c r="B28" s="764">
        <v>2</v>
      </c>
      <c r="C28" s="746">
        <f>('Salaries - Year 2'!C28)*(1+$B$5)</f>
        <v>31212</v>
      </c>
      <c r="D28" s="757">
        <f t="shared" si="0"/>
        <v>62424</v>
      </c>
      <c r="E28" s="778">
        <f t="shared" si="1"/>
        <v>3121.2000000000003</v>
      </c>
      <c r="F28" s="781"/>
      <c r="G28" s="780">
        <f t="shared" si="3"/>
        <v>905.148</v>
      </c>
      <c r="H28" s="4"/>
      <c r="I28" s="4"/>
    </row>
    <row r="29" spans="1:9" ht="15.75" hidden="1" thickBot="1">
      <c r="A29" s="740" t="s">
        <v>401</v>
      </c>
      <c r="B29" s="764"/>
      <c r="C29" s="748"/>
      <c r="D29" s="757">
        <f t="shared" si="0"/>
        <v>0</v>
      </c>
      <c r="E29" s="778">
        <f t="shared" si="1"/>
        <v>0</v>
      </c>
      <c r="F29" s="781"/>
      <c r="G29" s="780">
        <f t="shared" si="3"/>
        <v>0</v>
      </c>
      <c r="H29" s="4"/>
      <c r="I29" s="4"/>
    </row>
    <row r="30" spans="1:9" ht="15.75" hidden="1" thickBot="1">
      <c r="A30" s="740" t="s">
        <v>402</v>
      </c>
      <c r="B30" s="764"/>
      <c r="C30" s="748"/>
      <c r="D30" s="757">
        <f t="shared" si="0"/>
        <v>0</v>
      </c>
      <c r="E30" s="778">
        <f t="shared" si="1"/>
        <v>0</v>
      </c>
      <c r="F30" s="781"/>
      <c r="G30" s="780">
        <f t="shared" si="3"/>
        <v>0</v>
      </c>
      <c r="H30" s="4"/>
      <c r="I30" s="4"/>
    </row>
    <row r="31" spans="1:9" ht="15.75" hidden="1" thickBot="1">
      <c r="A31" s="740" t="s">
        <v>403</v>
      </c>
      <c r="B31" s="764"/>
      <c r="C31" s="748"/>
      <c r="D31" s="757">
        <f t="shared" si="0"/>
        <v>0</v>
      </c>
      <c r="E31" s="778">
        <f t="shared" si="1"/>
        <v>0</v>
      </c>
      <c r="F31" s="781"/>
      <c r="G31" s="780">
        <f t="shared" si="3"/>
        <v>0</v>
      </c>
      <c r="H31" s="4"/>
      <c r="I31" s="4"/>
    </row>
    <row r="32" spans="1:9" ht="15.75" hidden="1" thickBot="1">
      <c r="A32" s="740" t="s">
        <v>404</v>
      </c>
      <c r="B32" s="764"/>
      <c r="C32" s="748"/>
      <c r="D32" s="757">
        <f t="shared" si="0"/>
        <v>0</v>
      </c>
      <c r="E32" s="778">
        <f t="shared" si="1"/>
        <v>0</v>
      </c>
      <c r="F32" s="781"/>
      <c r="G32" s="780">
        <f t="shared" si="3"/>
        <v>0</v>
      </c>
      <c r="H32" s="4"/>
      <c r="I32" s="4"/>
    </row>
    <row r="33" spans="1:9" ht="15.75" hidden="1" thickBot="1">
      <c r="A33" s="740" t="s">
        <v>405</v>
      </c>
      <c r="B33" s="764"/>
      <c r="C33" s="748"/>
      <c r="D33" s="757">
        <f t="shared" si="0"/>
        <v>0</v>
      </c>
      <c r="E33" s="778">
        <f t="shared" si="1"/>
        <v>0</v>
      </c>
      <c r="F33" s="781"/>
      <c r="G33" s="780">
        <f t="shared" si="3"/>
        <v>0</v>
      </c>
      <c r="H33" s="4"/>
      <c r="I33" s="4"/>
    </row>
    <row r="34" spans="1:9" ht="15.75" hidden="1" thickBot="1">
      <c r="A34" s="741" t="s">
        <v>406</v>
      </c>
      <c r="B34" s="765"/>
      <c r="C34" s="753"/>
      <c r="D34" s="757">
        <f t="shared" si="0"/>
        <v>0</v>
      </c>
      <c r="E34" s="778">
        <f t="shared" si="1"/>
        <v>0</v>
      </c>
      <c r="F34" s="782"/>
      <c r="G34" s="780">
        <f t="shared" si="3"/>
        <v>0</v>
      </c>
      <c r="H34" s="4"/>
      <c r="I34" s="4"/>
    </row>
    <row r="35" spans="1:9" ht="15.75" thickBot="1">
      <c r="A35" s="783" t="s">
        <v>407</v>
      </c>
      <c r="B35" s="784">
        <f>SUM(B13:B28)</f>
        <v>26</v>
      </c>
      <c r="C35" s="760"/>
      <c r="D35" s="761">
        <f>SUM(D13:D28)</f>
        <v>1344568.72</v>
      </c>
      <c r="E35" s="761">
        <f>SUM(E13:E28)</f>
        <v>67228.436</v>
      </c>
      <c r="F35" s="761">
        <f>SUM(F13:F28)</f>
        <v>137281.918752</v>
      </c>
      <c r="G35" s="761">
        <f>SUM(G13:G28)</f>
        <v>19496.246440000003</v>
      </c>
      <c r="H35" s="4"/>
      <c r="I35" s="4"/>
    </row>
    <row r="36" spans="1:9" ht="12.75">
      <c r="A36" s="962"/>
      <c r="B36" s="962"/>
      <c r="C36" s="962"/>
      <c r="D36" s="767"/>
      <c r="E36" s="754"/>
      <c r="F36" s="754"/>
      <c r="G36" s="754"/>
      <c r="H36" s="4"/>
      <c r="I36" s="4"/>
    </row>
    <row r="37" spans="1:9" ht="13.5" thickBot="1">
      <c r="A37" s="766"/>
      <c r="B37" s="766"/>
      <c r="C37" s="766"/>
      <c r="D37" s="767"/>
      <c r="E37" s="754"/>
      <c r="F37" s="754"/>
      <c r="G37" s="754"/>
      <c r="H37" s="4"/>
      <c r="I37" s="4"/>
    </row>
    <row r="38" spans="1:9" ht="15" thickBot="1">
      <c r="A38" s="956" t="s">
        <v>474</v>
      </c>
      <c r="B38" s="957"/>
      <c r="C38" s="957"/>
      <c r="D38" s="958"/>
      <c r="E38" s="816"/>
      <c r="F38" s="816"/>
      <c r="G38" s="754"/>
      <c r="H38" s="4"/>
      <c r="I38" s="4"/>
    </row>
    <row r="39" spans="1:9" ht="60.75" thickBot="1">
      <c r="A39" s="959" t="s">
        <v>408</v>
      </c>
      <c r="B39" s="960"/>
      <c r="C39" s="960"/>
      <c r="D39" s="961"/>
      <c r="E39" s="738" t="s">
        <v>409</v>
      </c>
      <c r="F39" s="738" t="s">
        <v>398</v>
      </c>
      <c r="G39" s="754"/>
      <c r="H39" s="4"/>
      <c r="I39" s="4"/>
    </row>
    <row r="40" spans="1:9" ht="16.5" thickBot="1">
      <c r="A40" s="953"/>
      <c r="B40" s="954"/>
      <c r="C40" s="954"/>
      <c r="D40" s="955"/>
      <c r="E40" s="774">
        <v>0.062</v>
      </c>
      <c r="F40" s="774">
        <v>0.0145</v>
      </c>
      <c r="G40" s="754"/>
      <c r="H40" s="4"/>
      <c r="I40" s="4"/>
    </row>
    <row r="41" spans="1:9" ht="15">
      <c r="A41" s="744" t="str">
        <f>'[1]Salaries - Year 2'!A41</f>
        <v>Teacher Aides</v>
      </c>
      <c r="B41" s="763">
        <v>6</v>
      </c>
      <c r="C41" s="746">
        <f>('Salaries - Year 2'!C41)*(1+$B$5)</f>
        <v>20808</v>
      </c>
      <c r="D41" s="757">
        <f>B41*C41</f>
        <v>124848</v>
      </c>
      <c r="E41" s="775">
        <f>D41*$E$40</f>
        <v>7740.576</v>
      </c>
      <c r="F41" s="775">
        <f>D41*$F$40</f>
        <v>1810.296</v>
      </c>
      <c r="G41" s="754"/>
      <c r="H41" s="4"/>
      <c r="I41" s="4"/>
    </row>
    <row r="42" spans="1:9" ht="15">
      <c r="A42" s="744" t="str">
        <f>'[1]Salaries - Year 2'!A42</f>
        <v>School Counselor</v>
      </c>
      <c r="B42" s="764">
        <v>2</v>
      </c>
      <c r="C42" s="746">
        <f>('Salaries - Year 2'!C42)*(1+$B$5)</f>
        <v>36414</v>
      </c>
      <c r="D42" s="757">
        <f aca="true" t="shared" si="4" ref="D42:D62">B42*C42</f>
        <v>72828</v>
      </c>
      <c r="E42" s="785">
        <f aca="true" t="shared" si="5" ref="E42:E62">D42*$E$40</f>
        <v>4515.336</v>
      </c>
      <c r="F42" s="785">
        <f aca="true" t="shared" si="6" ref="F42:F62">D42*$F$40</f>
        <v>1056.006</v>
      </c>
      <c r="G42" s="754"/>
      <c r="H42" s="4"/>
      <c r="I42" s="4"/>
    </row>
    <row r="43" spans="1:9" ht="15">
      <c r="A43" s="744" t="s">
        <v>410</v>
      </c>
      <c r="B43" s="764">
        <v>1</v>
      </c>
      <c r="C43" s="746">
        <f>('Salaries - Year 2'!C43)*(1+$B$5)</f>
        <v>68978.52</v>
      </c>
      <c r="D43" s="757">
        <f t="shared" si="4"/>
        <v>68978.52</v>
      </c>
      <c r="E43" s="785">
        <f t="shared" si="5"/>
        <v>4276.66824</v>
      </c>
      <c r="F43" s="785">
        <f t="shared" si="6"/>
        <v>1000.1885400000001</v>
      </c>
      <c r="G43" s="754"/>
      <c r="H43" s="4"/>
      <c r="I43" s="4"/>
    </row>
    <row r="44" spans="1:9" ht="15">
      <c r="A44" s="744" t="s">
        <v>532</v>
      </c>
      <c r="B44" s="764">
        <v>1</v>
      </c>
      <c r="C44" s="746">
        <f>('Salaries - Year 2'!C44)*(1+$B$5)</f>
        <v>41616</v>
      </c>
      <c r="D44" s="757">
        <f t="shared" si="4"/>
        <v>41616</v>
      </c>
      <c r="E44" s="785">
        <f t="shared" si="5"/>
        <v>2580.192</v>
      </c>
      <c r="F44" s="785">
        <f t="shared" si="6"/>
        <v>603.432</v>
      </c>
      <c r="G44" s="754"/>
      <c r="H44" s="4"/>
      <c r="I44" s="4"/>
    </row>
    <row r="45" spans="1:9" ht="15">
      <c r="A45" s="744" t="s">
        <v>533</v>
      </c>
      <c r="B45" s="764">
        <v>1</v>
      </c>
      <c r="C45" s="746">
        <f>('Salaries - Year 2'!C45)*(1+$B$5)</f>
        <v>41616</v>
      </c>
      <c r="D45" s="757">
        <f t="shared" si="4"/>
        <v>41616</v>
      </c>
      <c r="E45" s="785">
        <f t="shared" si="5"/>
        <v>2580.192</v>
      </c>
      <c r="F45" s="785">
        <f t="shared" si="6"/>
        <v>603.432</v>
      </c>
      <c r="G45" s="754"/>
      <c r="H45" s="4"/>
      <c r="I45" s="4"/>
    </row>
    <row r="46" spans="1:9" ht="15">
      <c r="A46" s="736" t="s">
        <v>534</v>
      </c>
      <c r="B46" s="764">
        <v>1</v>
      </c>
      <c r="C46" s="746">
        <f>('Salaries - Year 2'!C46)*(1+$B$5)</f>
        <v>25500</v>
      </c>
      <c r="D46" s="757">
        <f t="shared" si="4"/>
        <v>25500</v>
      </c>
      <c r="E46" s="785">
        <f t="shared" si="5"/>
        <v>1581</v>
      </c>
      <c r="F46" s="785">
        <f t="shared" si="6"/>
        <v>369.75</v>
      </c>
      <c r="G46" s="754"/>
      <c r="H46" s="4"/>
      <c r="I46" s="4"/>
    </row>
    <row r="47" spans="1:9" ht="15">
      <c r="A47" s="736"/>
      <c r="B47" s="764"/>
      <c r="C47" s="746">
        <f>('Salaries - Year 2'!C47)*(1+$B$5)</f>
        <v>0</v>
      </c>
      <c r="D47" s="757">
        <f t="shared" si="4"/>
        <v>0</v>
      </c>
      <c r="E47" s="785">
        <f t="shared" si="5"/>
        <v>0</v>
      </c>
      <c r="F47" s="785">
        <f t="shared" si="6"/>
        <v>0</v>
      </c>
      <c r="G47" s="754"/>
      <c r="H47" s="4"/>
      <c r="I47" s="4"/>
    </row>
    <row r="48" spans="1:9" ht="15">
      <c r="A48" s="736"/>
      <c r="B48" s="764"/>
      <c r="C48" s="746">
        <f>('Salaries - Year 2'!C48)*(1+$B$5)</f>
        <v>0</v>
      </c>
      <c r="D48" s="757">
        <f t="shared" si="4"/>
        <v>0</v>
      </c>
      <c r="E48" s="785">
        <f t="shared" si="5"/>
        <v>0</v>
      </c>
      <c r="F48" s="785">
        <f t="shared" si="6"/>
        <v>0</v>
      </c>
      <c r="G48" s="754"/>
      <c r="H48" s="4"/>
      <c r="I48" s="4"/>
    </row>
    <row r="49" spans="1:9" ht="15">
      <c r="A49" s="736"/>
      <c r="B49" s="764"/>
      <c r="C49" s="746">
        <f>('Salaries - Year 2'!C49)*(1+$B$5)</f>
        <v>0</v>
      </c>
      <c r="D49" s="757">
        <f t="shared" si="4"/>
        <v>0</v>
      </c>
      <c r="E49" s="785">
        <f t="shared" si="5"/>
        <v>0</v>
      </c>
      <c r="F49" s="785">
        <f t="shared" si="6"/>
        <v>0</v>
      </c>
      <c r="G49" s="754"/>
      <c r="H49" s="4"/>
      <c r="I49" s="4"/>
    </row>
    <row r="50" spans="1:9" ht="15">
      <c r="A50" s="736"/>
      <c r="B50" s="764"/>
      <c r="C50" s="746">
        <f>('Salaries - Year 2'!C50)*(1+$B$5)</f>
        <v>0</v>
      </c>
      <c r="D50" s="757">
        <f t="shared" si="4"/>
        <v>0</v>
      </c>
      <c r="E50" s="785">
        <f t="shared" si="5"/>
        <v>0</v>
      </c>
      <c r="F50" s="785">
        <f t="shared" si="6"/>
        <v>0</v>
      </c>
      <c r="G50" s="754"/>
      <c r="H50" s="4"/>
      <c r="I50" s="4"/>
    </row>
    <row r="51" spans="1:9" ht="15">
      <c r="A51" s="736"/>
      <c r="B51" s="764"/>
      <c r="C51" s="746">
        <f>('Salaries - Year 2'!C51)*(1+$B$5)</f>
        <v>0</v>
      </c>
      <c r="D51" s="757">
        <f t="shared" si="4"/>
        <v>0</v>
      </c>
      <c r="E51" s="785">
        <f t="shared" si="5"/>
        <v>0</v>
      </c>
      <c r="F51" s="785">
        <f t="shared" si="6"/>
        <v>0</v>
      </c>
      <c r="G51" s="754"/>
      <c r="H51" s="4"/>
      <c r="I51" s="4"/>
    </row>
    <row r="52" spans="1:9" ht="15">
      <c r="A52" s="736"/>
      <c r="B52" s="764"/>
      <c r="C52" s="746">
        <f>('Salaries - Year 2'!C52)*(1+$B$5)</f>
        <v>0</v>
      </c>
      <c r="D52" s="757">
        <f t="shared" si="4"/>
        <v>0</v>
      </c>
      <c r="E52" s="785">
        <f t="shared" si="5"/>
        <v>0</v>
      </c>
      <c r="F52" s="785">
        <f t="shared" si="6"/>
        <v>0</v>
      </c>
      <c r="G52" s="754"/>
      <c r="H52" s="4"/>
      <c r="I52" s="4"/>
    </row>
    <row r="53" spans="1:9" ht="15">
      <c r="A53" s="737"/>
      <c r="B53" s="764"/>
      <c r="C53" s="746">
        <f>('Salaries - Year 2'!C53)*(1+$B$5)</f>
        <v>0</v>
      </c>
      <c r="D53" s="757">
        <f t="shared" si="4"/>
        <v>0</v>
      </c>
      <c r="E53" s="785">
        <f t="shared" si="5"/>
        <v>0</v>
      </c>
      <c r="F53" s="785">
        <f t="shared" si="6"/>
        <v>0</v>
      </c>
      <c r="G53" s="754"/>
      <c r="H53" s="4"/>
      <c r="I53" s="4"/>
    </row>
    <row r="54" spans="1:9" ht="15">
      <c r="A54" s="737"/>
      <c r="B54" s="764"/>
      <c r="C54" s="746">
        <f>('Salaries - Year 2'!C54)*(1+$B$5)</f>
        <v>0</v>
      </c>
      <c r="D54" s="757">
        <f t="shared" si="4"/>
        <v>0</v>
      </c>
      <c r="E54" s="785">
        <f t="shared" si="5"/>
        <v>0</v>
      </c>
      <c r="F54" s="785">
        <f t="shared" si="6"/>
        <v>0</v>
      </c>
      <c r="G54" s="754"/>
      <c r="H54" s="4"/>
      <c r="I54" s="4"/>
    </row>
    <row r="55" spans="1:9" ht="15">
      <c r="A55" s="737"/>
      <c r="B55" s="768"/>
      <c r="C55" s="746">
        <f>('Salaries - Year 2'!C55)*(1+$B$5)</f>
        <v>0</v>
      </c>
      <c r="D55" s="757">
        <f t="shared" si="4"/>
        <v>0</v>
      </c>
      <c r="E55" s="785">
        <f t="shared" si="5"/>
        <v>0</v>
      </c>
      <c r="F55" s="785">
        <f t="shared" si="6"/>
        <v>0</v>
      </c>
      <c r="G55" s="754"/>
      <c r="H55" s="4"/>
      <c r="I55" s="4"/>
    </row>
    <row r="56" spans="1:9" ht="15">
      <c r="A56" s="737"/>
      <c r="B56" s="768"/>
      <c r="C56" s="746">
        <f>('Salaries - Year 2'!C56)*(1+$B$5)</f>
        <v>0</v>
      </c>
      <c r="D56" s="757">
        <f t="shared" si="4"/>
        <v>0</v>
      </c>
      <c r="E56" s="785">
        <f t="shared" si="5"/>
        <v>0</v>
      </c>
      <c r="F56" s="785">
        <f t="shared" si="6"/>
        <v>0</v>
      </c>
      <c r="G56" s="754"/>
      <c r="H56" s="4"/>
      <c r="I56" s="4"/>
    </row>
    <row r="57" spans="1:9" ht="15">
      <c r="A57" s="737"/>
      <c r="B57" s="768"/>
      <c r="C57" s="746">
        <f>('Salaries - Year 2'!C57)*(1+$B$5)</f>
        <v>0</v>
      </c>
      <c r="D57" s="757">
        <f t="shared" si="4"/>
        <v>0</v>
      </c>
      <c r="E57" s="785">
        <f t="shared" si="5"/>
        <v>0</v>
      </c>
      <c r="F57" s="785">
        <f t="shared" si="6"/>
        <v>0</v>
      </c>
      <c r="G57" s="754"/>
      <c r="H57" s="4"/>
      <c r="I57" s="4"/>
    </row>
    <row r="58" spans="1:9" ht="15">
      <c r="A58" s="737"/>
      <c r="B58" s="768"/>
      <c r="C58" s="746">
        <f>('Salaries - Year 2'!C58)*(1+$B$5)</f>
        <v>0</v>
      </c>
      <c r="D58" s="757">
        <f t="shared" si="4"/>
        <v>0</v>
      </c>
      <c r="E58" s="785">
        <f t="shared" si="5"/>
        <v>0</v>
      </c>
      <c r="F58" s="785">
        <f t="shared" si="6"/>
        <v>0</v>
      </c>
      <c r="G58" s="754"/>
      <c r="H58" s="4"/>
      <c r="I58" s="4"/>
    </row>
    <row r="59" spans="1:9" ht="15">
      <c r="A59" s="737"/>
      <c r="B59" s="768"/>
      <c r="C59" s="746">
        <f>('Salaries - Year 2'!C59)*(1+$B$5)</f>
        <v>0</v>
      </c>
      <c r="D59" s="757">
        <f t="shared" si="4"/>
        <v>0</v>
      </c>
      <c r="E59" s="785">
        <f t="shared" si="5"/>
        <v>0</v>
      </c>
      <c r="F59" s="785">
        <f t="shared" si="6"/>
        <v>0</v>
      </c>
      <c r="G59" s="754"/>
      <c r="H59" s="4"/>
      <c r="I59" s="4"/>
    </row>
    <row r="60" spans="1:9" ht="15">
      <c r="A60" s="737"/>
      <c r="B60" s="768"/>
      <c r="C60" s="746">
        <f>('Salaries - Year 2'!C60)*(1+$B$5)</f>
        <v>0</v>
      </c>
      <c r="D60" s="757">
        <f t="shared" si="4"/>
        <v>0</v>
      </c>
      <c r="E60" s="785">
        <f t="shared" si="5"/>
        <v>0</v>
      </c>
      <c r="F60" s="785">
        <f t="shared" si="6"/>
        <v>0</v>
      </c>
      <c r="G60" s="754"/>
      <c r="H60" s="4"/>
      <c r="I60" s="4"/>
    </row>
    <row r="61" spans="1:9" ht="15">
      <c r="A61" s="737"/>
      <c r="B61" s="768"/>
      <c r="C61" s="746">
        <f>('Salaries - Year 2'!C61)*(1+$B$5)</f>
        <v>0</v>
      </c>
      <c r="D61" s="757">
        <f t="shared" si="4"/>
        <v>0</v>
      </c>
      <c r="E61" s="785">
        <f t="shared" si="5"/>
        <v>0</v>
      </c>
      <c r="F61" s="785">
        <f t="shared" si="6"/>
        <v>0</v>
      </c>
      <c r="G61" s="754"/>
      <c r="H61" s="4"/>
      <c r="I61" s="4"/>
    </row>
    <row r="62" spans="1:9" ht="15.75" thickBot="1">
      <c r="A62" s="742"/>
      <c r="B62" s="768"/>
      <c r="C62" s="746">
        <f>('Salaries - Year 2'!C62)*(1+$B$5)</f>
        <v>0</v>
      </c>
      <c r="D62" s="757">
        <f t="shared" si="4"/>
        <v>0</v>
      </c>
      <c r="E62" s="785">
        <f t="shared" si="5"/>
        <v>0</v>
      </c>
      <c r="F62" s="785">
        <f t="shared" si="6"/>
        <v>0</v>
      </c>
      <c r="G62" s="754"/>
      <c r="H62" s="4"/>
      <c r="I62" s="4"/>
    </row>
    <row r="63" spans="1:9" ht="15.75" thickBot="1">
      <c r="A63" s="783" t="s">
        <v>407</v>
      </c>
      <c r="B63" s="786">
        <f>SUM(B41:B62)</f>
        <v>12</v>
      </c>
      <c r="C63" s="787"/>
      <c r="D63" s="761">
        <f>SUM(D41:D62)</f>
        <v>375386.52</v>
      </c>
      <c r="E63" s="761">
        <f>SUM(E41:E62)</f>
        <v>23273.964239999998</v>
      </c>
      <c r="F63" s="761">
        <f>SUM(F41:F62)</f>
        <v>5443.10454</v>
      </c>
      <c r="G63" s="754"/>
      <c r="H63" s="4"/>
      <c r="I63" s="4"/>
    </row>
    <row r="64" spans="1:9" ht="13.5" thickBot="1">
      <c r="A64" s="754"/>
      <c r="B64" s="754"/>
      <c r="C64" s="754"/>
      <c r="D64" s="754"/>
      <c r="E64" s="754"/>
      <c r="F64" s="754"/>
      <c r="G64" s="754"/>
      <c r="H64" s="4"/>
      <c r="I64" s="4"/>
    </row>
    <row r="65" spans="1:9" ht="15.75" thickBot="1">
      <c r="A65" s="788" t="s">
        <v>7</v>
      </c>
      <c r="B65" s="789" t="s">
        <v>113</v>
      </c>
      <c r="C65" s="754"/>
      <c r="D65" s="754"/>
      <c r="E65" s="754"/>
      <c r="F65" s="754"/>
      <c r="G65" s="754"/>
      <c r="H65" s="4"/>
      <c r="I65" s="4"/>
    </row>
    <row r="66" spans="1:9" ht="15.75" thickBot="1">
      <c r="A66" s="790" t="s">
        <v>411</v>
      </c>
      <c r="B66" s="761">
        <f>D35</f>
        <v>1344568.72</v>
      </c>
      <c r="C66" s="754"/>
      <c r="D66" s="754"/>
      <c r="E66" s="754"/>
      <c r="F66" s="754"/>
      <c r="G66" s="754"/>
      <c r="H66" s="4"/>
      <c r="I66" s="4"/>
    </row>
    <row r="67" spans="1:9" ht="15.75" thickBot="1">
      <c r="A67" s="791" t="s">
        <v>412</v>
      </c>
      <c r="B67" s="761">
        <f>D63</f>
        <v>375386.52</v>
      </c>
      <c r="C67" s="754"/>
      <c r="D67" s="754"/>
      <c r="E67" s="754"/>
      <c r="F67" s="754"/>
      <c r="G67" s="754"/>
      <c r="H67" s="4"/>
      <c r="I67" s="4"/>
    </row>
    <row r="68" spans="1:9" ht="15.75" thickBot="1">
      <c r="A68" s="792" t="s">
        <v>413</v>
      </c>
      <c r="B68" s="761">
        <f>SUM(B66:B67)</f>
        <v>1719955.24</v>
      </c>
      <c r="C68" s="754"/>
      <c r="D68" s="754"/>
      <c r="E68" s="754"/>
      <c r="F68" s="754"/>
      <c r="G68" s="754"/>
      <c r="H68" s="4"/>
      <c r="I68" s="4"/>
    </row>
    <row r="69" spans="1:9" ht="12.75">
      <c r="A69" s="754"/>
      <c r="B69" s="754"/>
      <c r="C69" s="754"/>
      <c r="D69" s="754"/>
      <c r="E69" s="754"/>
      <c r="F69" s="754"/>
      <c r="G69" s="754"/>
      <c r="H69" s="4"/>
      <c r="I69" s="4"/>
    </row>
    <row r="70" spans="1:9" ht="13.5" thickBot="1">
      <c r="A70" s="754"/>
      <c r="B70" s="754"/>
      <c r="C70" s="754"/>
      <c r="D70" s="754"/>
      <c r="E70" s="754"/>
      <c r="F70" s="754"/>
      <c r="G70" s="754"/>
      <c r="H70" s="4"/>
      <c r="I70" s="4"/>
    </row>
    <row r="71" spans="1:9" ht="15.75" thickBot="1">
      <c r="A71" s="788" t="s">
        <v>414</v>
      </c>
      <c r="B71" s="789" t="s">
        <v>113</v>
      </c>
      <c r="C71" s="4"/>
      <c r="D71" s="4"/>
      <c r="E71" s="4"/>
      <c r="F71" s="4"/>
      <c r="G71" s="4"/>
      <c r="H71" s="4"/>
      <c r="I71" s="4"/>
    </row>
    <row r="72" spans="1:9" ht="15.75" thickBot="1">
      <c r="A72" s="790" t="s">
        <v>411</v>
      </c>
      <c r="B72" s="761">
        <f>G35</f>
        <v>19496.246440000003</v>
      </c>
      <c r="C72" s="4"/>
      <c r="D72" s="4"/>
      <c r="E72" s="4"/>
      <c r="F72" s="4"/>
      <c r="G72" s="4"/>
      <c r="H72" s="4"/>
      <c r="I72" s="4"/>
    </row>
    <row r="73" spans="1:9" ht="15.75" thickBot="1">
      <c r="A73" s="791" t="s">
        <v>412</v>
      </c>
      <c r="B73" s="761">
        <f>F63</f>
        <v>5443.10454</v>
      </c>
      <c r="C73" s="4"/>
      <c r="D73" s="4"/>
      <c r="E73" s="4"/>
      <c r="F73" s="4"/>
      <c r="G73" s="4"/>
      <c r="H73" s="4"/>
      <c r="I73" s="4"/>
    </row>
    <row r="74" spans="1:9" ht="15.75" thickBot="1">
      <c r="A74" s="792" t="s">
        <v>415</v>
      </c>
      <c r="B74" s="761">
        <f>SUM(B72:B73)</f>
        <v>24939.350980000003</v>
      </c>
      <c r="C74" s="4"/>
      <c r="D74" s="4"/>
      <c r="E74" s="4"/>
      <c r="F74" s="4"/>
      <c r="G74" s="4"/>
      <c r="H74" s="4"/>
      <c r="I74" s="4"/>
    </row>
    <row r="75" spans="1:9" ht="12.75">
      <c r="A75" s="4"/>
      <c r="B75" s="4"/>
      <c r="C75" s="4"/>
      <c r="D75" s="4"/>
      <c r="E75" s="4"/>
      <c r="F75" s="4"/>
      <c r="G75" s="4"/>
      <c r="H75" s="4"/>
      <c r="I75" s="4"/>
    </row>
    <row r="76" spans="1:9" ht="13.5" thickBot="1">
      <c r="A76" s="4"/>
      <c r="B76" s="4"/>
      <c r="C76" s="4"/>
      <c r="D76" s="4"/>
      <c r="E76" s="4"/>
      <c r="F76" s="4"/>
      <c r="G76" s="4"/>
      <c r="H76" s="4"/>
      <c r="I76" s="4"/>
    </row>
    <row r="77" spans="1:9" ht="15.75" thickBot="1">
      <c r="A77" s="788" t="s">
        <v>27</v>
      </c>
      <c r="B77" s="789" t="s">
        <v>113</v>
      </c>
      <c r="C77" s="4"/>
      <c r="D77" s="4"/>
      <c r="E77" s="4"/>
      <c r="F77" s="4"/>
      <c r="G77" s="4"/>
      <c r="H77" s="4"/>
      <c r="I77" s="4"/>
    </row>
    <row r="78" spans="1:9" ht="15.75" thickBot="1">
      <c r="A78" s="790" t="s">
        <v>416</v>
      </c>
      <c r="B78" s="793">
        <f>B35</f>
        <v>26</v>
      </c>
      <c r="C78" s="4"/>
      <c r="D78" s="4"/>
      <c r="E78" s="4"/>
      <c r="F78" s="4"/>
      <c r="G78" s="4"/>
      <c r="H78" s="4"/>
      <c r="I78" s="4"/>
    </row>
    <row r="79" spans="1:9" ht="15.75" thickBot="1">
      <c r="A79" s="790" t="s">
        <v>417</v>
      </c>
      <c r="B79" s="793">
        <f>B63</f>
        <v>12</v>
      </c>
      <c r="C79" s="4"/>
      <c r="D79" s="4"/>
      <c r="E79" s="4"/>
      <c r="F79" s="4"/>
      <c r="G79" s="4"/>
      <c r="H79" s="4"/>
      <c r="I79" s="4"/>
    </row>
    <row r="80" spans="1:9" ht="15.75" thickBot="1">
      <c r="A80" s="792" t="s">
        <v>418</v>
      </c>
      <c r="B80" s="793">
        <f>SUM(B78:B79)</f>
        <v>38</v>
      </c>
      <c r="C80" s="4"/>
      <c r="D80" s="4"/>
      <c r="E80" s="4"/>
      <c r="F80" s="4"/>
      <c r="G80" s="4"/>
      <c r="H80" s="4"/>
      <c r="I80" s="4"/>
    </row>
    <row r="81" spans="1:9" ht="12.75">
      <c r="A81" s="4"/>
      <c r="B81" s="4"/>
      <c r="C81" s="4"/>
      <c r="D81" s="4"/>
      <c r="E81" s="4"/>
      <c r="F81" s="4"/>
      <c r="G81" s="4"/>
      <c r="H81" s="4"/>
      <c r="I81" s="4"/>
    </row>
    <row r="82" spans="1:9" ht="13.5" thickBot="1">
      <c r="A82" s="4"/>
      <c r="B82" s="4"/>
      <c r="C82" s="4"/>
      <c r="D82" s="4"/>
      <c r="E82" s="4"/>
      <c r="F82" s="4"/>
      <c r="G82" s="4"/>
      <c r="H82" s="4"/>
      <c r="I82" s="4"/>
    </row>
    <row r="83" spans="1:9" ht="27" thickBot="1">
      <c r="A83" s="815" t="s">
        <v>428</v>
      </c>
      <c r="B83" s="769"/>
      <c r="C83" s="4"/>
      <c r="D83" s="4"/>
      <c r="E83" s="4"/>
      <c r="F83" s="4"/>
      <c r="G83" s="4"/>
      <c r="H83" s="4"/>
      <c r="I83" s="4"/>
    </row>
    <row r="84" spans="1:9" ht="13.5" thickBot="1">
      <c r="A84" s="4"/>
      <c r="B84" s="4"/>
      <c r="C84" s="4"/>
      <c r="D84" s="4"/>
      <c r="E84" s="4"/>
      <c r="F84" s="4"/>
      <c r="G84" s="4"/>
      <c r="H84" s="4"/>
      <c r="I84" s="4"/>
    </row>
    <row r="85" spans="1:9" ht="30.75" thickBot="1">
      <c r="A85" s="794" t="s">
        <v>419</v>
      </c>
      <c r="B85" s="795" t="s">
        <v>420</v>
      </c>
      <c r="C85" s="795" t="s">
        <v>390</v>
      </c>
      <c r="D85" s="795" t="s">
        <v>421</v>
      </c>
      <c r="E85" s="795" t="s">
        <v>112</v>
      </c>
      <c r="F85" s="4"/>
      <c r="G85" s="4"/>
      <c r="H85" s="4"/>
      <c r="I85" s="4"/>
    </row>
    <row r="86" spans="1:9" ht="12.75">
      <c r="A86" s="796" t="s">
        <v>422</v>
      </c>
      <c r="B86" s="797">
        <f>B27</f>
        <v>1</v>
      </c>
      <c r="C86" s="798">
        <f>D27</f>
        <v>52020</v>
      </c>
      <c r="D86" s="799">
        <f>100%+$B$83</f>
        <v>1</v>
      </c>
      <c r="E86" s="800">
        <f>C86*D86</f>
        <v>52020</v>
      </c>
      <c r="F86" s="4"/>
      <c r="G86" s="4"/>
      <c r="H86" s="4"/>
      <c r="I86" s="4"/>
    </row>
    <row r="87" spans="1:9" ht="12.75">
      <c r="A87" s="801" t="s">
        <v>423</v>
      </c>
      <c r="B87" s="802">
        <f>B28</f>
        <v>2</v>
      </c>
      <c r="C87" s="803">
        <f>D28</f>
        <v>62424</v>
      </c>
      <c r="D87" s="804">
        <f>100%+$B$83</f>
        <v>1</v>
      </c>
      <c r="E87" s="805">
        <f>C87*D87</f>
        <v>62424</v>
      </c>
      <c r="F87" s="4"/>
      <c r="G87" s="4"/>
      <c r="H87" s="4"/>
      <c r="I87" s="4"/>
    </row>
    <row r="88" spans="1:9" ht="12.75">
      <c r="A88" s="770"/>
      <c r="B88" s="164"/>
      <c r="C88" s="164"/>
      <c r="D88" s="164"/>
      <c r="E88" s="4"/>
      <c r="F88" s="4"/>
      <c r="G88" s="4"/>
      <c r="H88" s="4"/>
      <c r="I88" s="4"/>
    </row>
    <row r="89" spans="1:9" ht="13.5" thickBot="1">
      <c r="A89" s="4"/>
      <c r="B89" s="4"/>
      <c r="C89" s="4"/>
      <c r="D89" s="4"/>
      <c r="E89" s="4"/>
      <c r="F89" s="4"/>
      <c r="G89" s="4"/>
      <c r="H89" s="4"/>
      <c r="I89" s="4"/>
    </row>
    <row r="90" spans="1:9" ht="39" thickBot="1">
      <c r="A90" s="452" t="s">
        <v>424</v>
      </c>
      <c r="B90" s="444" t="s">
        <v>113</v>
      </c>
      <c r="C90" s="705" t="s">
        <v>114</v>
      </c>
      <c r="D90" s="705" t="s">
        <v>115</v>
      </c>
      <c r="E90" s="4"/>
      <c r="F90" s="4"/>
      <c r="G90" s="4"/>
      <c r="H90" s="4"/>
      <c r="I90" s="4"/>
    </row>
    <row r="91" spans="1:9" ht="15.75" thickBot="1">
      <c r="A91" s="806" t="s">
        <v>116</v>
      </c>
      <c r="B91" s="807">
        <f>E86/(B86+0.00000000000001)</f>
        <v>52019.99999999948</v>
      </c>
      <c r="C91" s="701">
        <v>0</v>
      </c>
      <c r="D91" s="701">
        <f>E86</f>
        <v>52020</v>
      </c>
      <c r="E91" s="4"/>
      <c r="F91" s="4"/>
      <c r="G91" s="4"/>
      <c r="H91" s="4"/>
      <c r="I91" s="4"/>
    </row>
    <row r="92" spans="1:9" ht="15.75" thickBot="1">
      <c r="A92" s="806" t="s">
        <v>117</v>
      </c>
      <c r="B92" s="808">
        <f>VLOOKUP(B91,C91:D92,2,TRUE)</f>
        <v>52020</v>
      </c>
      <c r="C92" s="701">
        <v>90000</v>
      </c>
      <c r="D92" s="701">
        <f>B86*C92</f>
        <v>90000</v>
      </c>
      <c r="E92" s="4"/>
      <c r="F92" s="4"/>
      <c r="G92" s="4"/>
      <c r="H92" s="4"/>
      <c r="I92" s="4"/>
    </row>
    <row r="93" spans="1:9" ht="12.75">
      <c r="A93" s="4"/>
      <c r="B93" s="4"/>
      <c r="C93" s="4"/>
      <c r="D93" s="4"/>
      <c r="E93" s="4"/>
      <c r="F93" s="4"/>
      <c r="G93" s="4"/>
      <c r="H93" s="4"/>
      <c r="I93" s="4"/>
    </row>
    <row r="94" spans="1:9" ht="13.5" thickBot="1">
      <c r="A94" s="4"/>
      <c r="B94" s="4"/>
      <c r="C94" s="4"/>
      <c r="D94" s="4"/>
      <c r="E94" s="4"/>
      <c r="F94" s="4"/>
      <c r="G94" s="4"/>
      <c r="H94" s="4"/>
      <c r="I94" s="4"/>
    </row>
    <row r="95" spans="1:9" ht="39" thickBot="1">
      <c r="A95" s="452" t="s">
        <v>425</v>
      </c>
      <c r="B95" s="444" t="s">
        <v>113</v>
      </c>
      <c r="C95" s="705" t="s">
        <v>114</v>
      </c>
      <c r="D95" s="705" t="s">
        <v>115</v>
      </c>
      <c r="E95" s="4"/>
      <c r="F95" s="4"/>
      <c r="G95" s="4"/>
      <c r="H95" s="4"/>
      <c r="I95" s="4"/>
    </row>
    <row r="96" spans="1:9" ht="15.75" thickBot="1">
      <c r="A96" s="806" t="s">
        <v>116</v>
      </c>
      <c r="B96" s="807">
        <f>E87/(B87+0.00000000000001)</f>
        <v>31211.99999999984</v>
      </c>
      <c r="C96" s="701">
        <v>0</v>
      </c>
      <c r="D96" s="701">
        <f>E87</f>
        <v>62424</v>
      </c>
      <c r="E96" s="4"/>
      <c r="F96" s="4"/>
      <c r="G96" s="4"/>
      <c r="H96" s="4"/>
      <c r="I96" s="4"/>
    </row>
    <row r="97" spans="1:9" ht="15.75" thickBot="1">
      <c r="A97" s="806" t="s">
        <v>117</v>
      </c>
      <c r="B97" s="808">
        <f>VLOOKUP(B96,C96:D97,2,TRUE)</f>
        <v>62424</v>
      </c>
      <c r="C97" s="701">
        <v>40000</v>
      </c>
      <c r="D97" s="701">
        <f>B87*C97</f>
        <v>80000</v>
      </c>
      <c r="E97" s="4"/>
      <c r="F97" s="4"/>
      <c r="G97" s="4"/>
      <c r="H97" s="4"/>
      <c r="I97" s="4"/>
    </row>
    <row r="98" spans="1:9" ht="12.75">
      <c r="A98" s="4"/>
      <c r="B98" s="4"/>
      <c r="C98" s="4"/>
      <c r="D98" s="4"/>
      <c r="E98" s="4"/>
      <c r="F98" s="4"/>
      <c r="G98" s="4"/>
      <c r="H98" s="4"/>
      <c r="I98" s="4"/>
    </row>
    <row r="99" spans="1:9" ht="13.5" thickBot="1">
      <c r="A99" s="4"/>
      <c r="B99" s="4"/>
      <c r="C99" s="4"/>
      <c r="D99" s="4"/>
      <c r="E99" s="4"/>
      <c r="F99" s="4"/>
      <c r="G99" s="4"/>
      <c r="H99" s="4"/>
      <c r="I99" s="4"/>
    </row>
    <row r="100" spans="1:9" ht="15.75" thickBot="1">
      <c r="A100" s="809" t="s">
        <v>426</v>
      </c>
      <c r="B100" s="810">
        <f>B92+B97</f>
        <v>114444</v>
      </c>
      <c r="C100" s="4"/>
      <c r="D100" s="4"/>
      <c r="E100" s="4"/>
      <c r="F100" s="4"/>
      <c r="G100" s="4"/>
      <c r="H100" s="4"/>
      <c r="I100" s="4"/>
    </row>
    <row r="101" spans="1:9" ht="12.75">
      <c r="A101" s="4"/>
      <c r="B101" s="4"/>
      <c r="C101" s="4"/>
      <c r="D101" s="4"/>
      <c r="E101" s="4"/>
      <c r="F101" s="4"/>
      <c r="G101" s="4"/>
      <c r="H101" s="4"/>
      <c r="I101" s="4"/>
    </row>
    <row r="102" spans="1:9" ht="12.75">
      <c r="A102" s="4"/>
      <c r="B102" s="4"/>
      <c r="C102" s="4"/>
      <c r="D102" s="4"/>
      <c r="E102" s="4"/>
      <c r="F102" s="4"/>
      <c r="G102" s="4"/>
      <c r="H102" s="4"/>
      <c r="I102" s="4"/>
    </row>
    <row r="103" spans="1:9" ht="12.75">
      <c r="A103" s="4"/>
      <c r="B103" s="4"/>
      <c r="C103" s="4"/>
      <c r="D103" s="4"/>
      <c r="E103" s="4"/>
      <c r="F103" s="4"/>
      <c r="G103" s="4"/>
      <c r="H103" s="4"/>
      <c r="I103" s="4"/>
    </row>
    <row r="104" spans="1:9" ht="12.75">
      <c r="A104" s="4"/>
      <c r="B104" s="4"/>
      <c r="C104" s="4"/>
      <c r="D104" s="4"/>
      <c r="E104" s="4"/>
      <c r="F104" s="4"/>
      <c r="G104" s="4"/>
      <c r="H104" s="4"/>
      <c r="I104" s="4"/>
    </row>
    <row r="105" spans="1:9" ht="12.75">
      <c r="A105" s="4"/>
      <c r="B105" s="4"/>
      <c r="C105" s="4"/>
      <c r="D105" s="4"/>
      <c r="E105" s="4"/>
      <c r="F105" s="4"/>
      <c r="G105" s="4"/>
      <c r="H105" s="4"/>
      <c r="I105" s="4"/>
    </row>
    <row r="106" spans="1:9" ht="12.75">
      <c r="A106" s="4"/>
      <c r="B106" s="4"/>
      <c r="C106" s="4"/>
      <c r="D106" s="4"/>
      <c r="E106" s="4"/>
      <c r="F106" s="4"/>
      <c r="G106" s="4"/>
      <c r="H106" s="4"/>
      <c r="I106" s="4"/>
    </row>
    <row r="107" spans="1:9" ht="12.75">
      <c r="A107" s="4"/>
      <c r="B107" s="4"/>
      <c r="C107" s="4"/>
      <c r="D107" s="4"/>
      <c r="E107" s="4"/>
      <c r="F107" s="4"/>
      <c r="G107" s="4"/>
      <c r="H107" s="4"/>
      <c r="I107" s="4"/>
    </row>
    <row r="108" spans="1:9" ht="12.75">
      <c r="A108" s="4"/>
      <c r="B108" s="4"/>
      <c r="C108" s="4"/>
      <c r="D108" s="4"/>
      <c r="E108" s="4"/>
      <c r="F108" s="4"/>
      <c r="G108" s="4"/>
      <c r="H108" s="4"/>
      <c r="I108" s="4"/>
    </row>
    <row r="109" spans="1:9" ht="12.75">
      <c r="A109" s="4"/>
      <c r="B109" s="4"/>
      <c r="C109" s="4"/>
      <c r="D109" s="4"/>
      <c r="E109" s="4"/>
      <c r="F109" s="4"/>
      <c r="G109" s="4"/>
      <c r="H109" s="4"/>
      <c r="I109" s="4"/>
    </row>
    <row r="110" spans="1:9" ht="12.75">
      <c r="A110" s="4"/>
      <c r="B110" s="4"/>
      <c r="C110" s="4"/>
      <c r="D110" s="4"/>
      <c r="E110" s="4"/>
      <c r="F110" s="4"/>
      <c r="G110" s="4"/>
      <c r="H110" s="4"/>
      <c r="I110" s="4"/>
    </row>
    <row r="111" spans="1:9" ht="12.75">
      <c r="A111" s="4"/>
      <c r="B111" s="4"/>
      <c r="C111" s="4"/>
      <c r="D111" s="4"/>
      <c r="E111" s="4"/>
      <c r="F111" s="4"/>
      <c r="G111" s="4"/>
      <c r="H111" s="4"/>
      <c r="I111" s="4"/>
    </row>
    <row r="112" spans="1:9" ht="12.75">
      <c r="A112" s="4"/>
      <c r="B112" s="4"/>
      <c r="C112" s="4"/>
      <c r="D112" s="4"/>
      <c r="E112" s="4"/>
      <c r="F112" s="4"/>
      <c r="G112" s="4"/>
      <c r="H112" s="4"/>
      <c r="I112" s="4"/>
    </row>
    <row r="113" spans="1:9" ht="12.75">
      <c r="A113" s="4"/>
      <c r="B113" s="4"/>
      <c r="C113" s="4"/>
      <c r="D113" s="4"/>
      <c r="E113" s="4"/>
      <c r="F113" s="4"/>
      <c r="G113" s="4"/>
      <c r="H113" s="4"/>
      <c r="I113" s="4"/>
    </row>
    <row r="114" spans="1:9" ht="12.75">
      <c r="A114" s="4"/>
      <c r="B114" s="4"/>
      <c r="C114" s="4"/>
      <c r="D114" s="4"/>
      <c r="E114" s="4"/>
      <c r="F114" s="4"/>
      <c r="G114" s="4"/>
      <c r="H114" s="4"/>
      <c r="I114" s="4"/>
    </row>
    <row r="115" spans="1:9" ht="12.75">
      <c r="A115" s="4"/>
      <c r="B115" s="4"/>
      <c r="C115" s="4"/>
      <c r="D115" s="4"/>
      <c r="E115" s="4"/>
      <c r="F115" s="4"/>
      <c r="G115" s="4"/>
      <c r="H115" s="4"/>
      <c r="I115" s="4"/>
    </row>
    <row r="116" spans="1:9" ht="12.75">
      <c r="A116" s="4"/>
      <c r="B116" s="4"/>
      <c r="C116" s="4"/>
      <c r="D116" s="4"/>
      <c r="E116" s="4"/>
      <c r="F116" s="4"/>
      <c r="G116" s="4"/>
      <c r="H116" s="4"/>
      <c r="I116" s="4"/>
    </row>
    <row r="117" spans="1:9" ht="12.75">
      <c r="A117" s="4"/>
      <c r="B117" s="4"/>
      <c r="C117" s="4"/>
      <c r="D117" s="4"/>
      <c r="E117" s="4"/>
      <c r="F117" s="4"/>
      <c r="G117" s="4"/>
      <c r="H117" s="4"/>
      <c r="I117" s="4"/>
    </row>
    <row r="118" spans="1:9" ht="12.75">
      <c r="A118" s="4"/>
      <c r="B118" s="4"/>
      <c r="C118" s="4"/>
      <c r="D118" s="4"/>
      <c r="E118" s="4"/>
      <c r="F118" s="4"/>
      <c r="G118" s="4"/>
      <c r="H118" s="4"/>
      <c r="I118" s="4"/>
    </row>
    <row r="119" spans="1:9" ht="12.75">
      <c r="A119" s="4"/>
      <c r="B119" s="4"/>
      <c r="C119" s="4"/>
      <c r="D119" s="4"/>
      <c r="E119" s="4"/>
      <c r="F119" s="4"/>
      <c r="G119" s="4"/>
      <c r="H119" s="4"/>
      <c r="I119" s="4"/>
    </row>
    <row r="120" spans="1:9" ht="12.75">
      <c r="A120" s="4"/>
      <c r="B120" s="4"/>
      <c r="C120" s="4"/>
      <c r="D120" s="4"/>
      <c r="E120" s="4"/>
      <c r="F120" s="4"/>
      <c r="G120" s="4"/>
      <c r="H120" s="4"/>
      <c r="I120" s="4"/>
    </row>
    <row r="121" spans="1:9" ht="12.75">
      <c r="A121" s="4"/>
      <c r="B121" s="4"/>
      <c r="C121" s="4"/>
      <c r="D121" s="4"/>
      <c r="E121" s="4"/>
      <c r="F121" s="4"/>
      <c r="G121" s="4"/>
      <c r="H121" s="4"/>
      <c r="I121" s="4"/>
    </row>
    <row r="122" spans="1:9" ht="12.75">
      <c r="A122" s="4"/>
      <c r="B122" s="4"/>
      <c r="C122" s="4"/>
      <c r="D122" s="4"/>
      <c r="E122" s="4"/>
      <c r="F122" s="4"/>
      <c r="G122" s="4"/>
      <c r="H122" s="4"/>
      <c r="I122" s="4"/>
    </row>
    <row r="123" spans="1:9" ht="12.75">
      <c r="A123" s="4"/>
      <c r="B123" s="4"/>
      <c r="C123" s="4"/>
      <c r="D123" s="4"/>
      <c r="E123" s="4"/>
      <c r="F123" s="4"/>
      <c r="G123" s="4"/>
      <c r="H123" s="4"/>
      <c r="I123" s="4"/>
    </row>
    <row r="124" spans="1:9" ht="12.75">
      <c r="A124" s="4"/>
      <c r="B124" s="4"/>
      <c r="C124" s="4"/>
      <c r="D124" s="4"/>
      <c r="E124" s="4"/>
      <c r="F124" s="4"/>
      <c r="G124" s="4"/>
      <c r="H124" s="4"/>
      <c r="I124" s="4"/>
    </row>
    <row r="125" spans="1:9" ht="12.75">
      <c r="A125" s="4"/>
      <c r="B125" s="4"/>
      <c r="C125" s="4"/>
      <c r="D125" s="4"/>
      <c r="E125" s="4"/>
      <c r="F125" s="4"/>
      <c r="G125" s="4"/>
      <c r="H125" s="4"/>
      <c r="I125" s="4"/>
    </row>
    <row r="126" spans="1:9" ht="12.75">
      <c r="A126" s="4"/>
      <c r="B126" s="4"/>
      <c r="C126" s="4"/>
      <c r="D126" s="4"/>
      <c r="E126" s="4"/>
      <c r="F126" s="4"/>
      <c r="G126" s="4"/>
      <c r="H126" s="4"/>
      <c r="I126" s="4"/>
    </row>
    <row r="127" spans="1:9" ht="12.75">
      <c r="A127" s="4"/>
      <c r="B127" s="4"/>
      <c r="C127" s="4"/>
      <c r="D127" s="4"/>
      <c r="E127" s="4"/>
      <c r="F127" s="4"/>
      <c r="G127" s="4"/>
      <c r="H127" s="4"/>
      <c r="I127" s="4"/>
    </row>
    <row r="128" spans="1:9" ht="12.75">
      <c r="A128" s="4"/>
      <c r="B128" s="4"/>
      <c r="C128" s="4"/>
      <c r="D128" s="4"/>
      <c r="E128" s="4"/>
      <c r="F128" s="4"/>
      <c r="G128" s="4"/>
      <c r="H128" s="4"/>
      <c r="I128" s="4"/>
    </row>
    <row r="129" spans="1:9" ht="12.75">
      <c r="A129" s="4"/>
      <c r="B129" s="4"/>
      <c r="C129" s="4"/>
      <c r="D129" s="4"/>
      <c r="E129" s="4"/>
      <c r="F129" s="4"/>
      <c r="G129" s="4"/>
      <c r="H129" s="4"/>
      <c r="I129" s="4"/>
    </row>
    <row r="130" spans="1:9" ht="12.75">
      <c r="A130" s="4"/>
      <c r="B130" s="4"/>
      <c r="C130" s="4"/>
      <c r="D130" s="4"/>
      <c r="E130" s="4"/>
      <c r="F130" s="4"/>
      <c r="G130" s="4"/>
      <c r="H130" s="4"/>
      <c r="I130" s="4"/>
    </row>
    <row r="131" spans="1:9" ht="12.75">
      <c r="A131" s="4"/>
      <c r="B131" s="4"/>
      <c r="C131" s="4"/>
      <c r="D131" s="4"/>
      <c r="E131" s="4"/>
      <c r="F131" s="4"/>
      <c r="G131" s="4"/>
      <c r="H131" s="4"/>
      <c r="I131" s="4"/>
    </row>
    <row r="132" spans="1:9" ht="12.75">
      <c r="A132" s="4"/>
      <c r="B132" s="4"/>
      <c r="C132" s="4"/>
      <c r="D132" s="4"/>
      <c r="E132" s="4"/>
      <c r="F132" s="4"/>
      <c r="G132" s="4"/>
      <c r="H132" s="4"/>
      <c r="I132" s="4"/>
    </row>
    <row r="133" spans="1:9" ht="12.75">
      <c r="A133" s="4"/>
      <c r="B133" s="4"/>
      <c r="C133" s="4"/>
      <c r="D133" s="4"/>
      <c r="E133" s="4"/>
      <c r="F133" s="4"/>
      <c r="G133" s="4"/>
      <c r="H133" s="4"/>
      <c r="I133"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7" right="0.7" top="0.75" bottom="0.75" header="0.3" footer="0.3"/>
  <pageSetup horizontalDpi="200" verticalDpi="200" orientation="portrait" r:id="rId1"/>
</worksheet>
</file>

<file path=xl/worksheets/sheet6.xml><?xml version="1.0" encoding="utf-8"?>
<worksheet xmlns="http://schemas.openxmlformats.org/spreadsheetml/2006/main" xmlns:r="http://schemas.openxmlformats.org/officeDocument/2006/relationships">
  <dimension ref="A1:I104"/>
  <sheetViews>
    <sheetView zoomScale="55" zoomScaleNormal="55" zoomScalePageLayoutView="0" workbookViewId="0" topLeftCell="A1">
      <selection activeCell="A1" sqref="A1"/>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9" ht="13.5" thickBot="1">
      <c r="A1" s="888" t="str">
        <f>'Budget with Assumptions'!A2</f>
        <v>Chicago Classical Academy</v>
      </c>
      <c r="B1" s="4"/>
      <c r="C1" s="4"/>
      <c r="D1" s="4"/>
      <c r="E1" s="4"/>
      <c r="F1" s="4"/>
      <c r="G1" s="4"/>
      <c r="H1" s="4"/>
      <c r="I1" s="4"/>
    </row>
    <row r="2" spans="1:9" ht="12.75">
      <c r="A2" s="4"/>
      <c r="B2" s="4"/>
      <c r="C2" s="4"/>
      <c r="D2" s="4"/>
      <c r="E2" s="4"/>
      <c r="F2" s="4"/>
      <c r="G2" s="4"/>
      <c r="H2" s="4"/>
      <c r="I2" s="4"/>
    </row>
    <row r="3" spans="1:9" ht="12.75">
      <c r="A3" s="4"/>
      <c r="B3" s="4"/>
      <c r="C3" s="4"/>
      <c r="D3" s="4"/>
      <c r="E3" s="4"/>
      <c r="F3" s="4"/>
      <c r="G3" s="4"/>
      <c r="H3" s="4"/>
      <c r="I3" s="4"/>
    </row>
    <row r="4" spans="1:9" ht="13.5" thickBot="1">
      <c r="A4" s="4"/>
      <c r="B4" s="4"/>
      <c r="C4" s="4"/>
      <c r="D4" s="4"/>
      <c r="E4" s="4"/>
      <c r="F4" s="4"/>
      <c r="G4" s="4"/>
      <c r="H4" s="4"/>
      <c r="I4" s="4"/>
    </row>
    <row r="5" spans="1:9" ht="77.25" thickBot="1">
      <c r="A5" s="815" t="s">
        <v>427</v>
      </c>
      <c r="B5" s="812">
        <v>0.02</v>
      </c>
      <c r="C5" s="4"/>
      <c r="D5" s="4"/>
      <c r="E5" s="4"/>
      <c r="F5" s="4"/>
      <c r="G5" s="4"/>
      <c r="H5" s="4"/>
      <c r="I5" s="4"/>
    </row>
    <row r="6" spans="1:9" ht="12.75">
      <c r="A6" s="4"/>
      <c r="B6" s="4"/>
      <c r="C6" s="4"/>
      <c r="D6" s="4"/>
      <c r="E6" s="4"/>
      <c r="F6" s="4"/>
      <c r="G6" s="4"/>
      <c r="H6" s="4"/>
      <c r="I6" s="4"/>
    </row>
    <row r="7" spans="1:9" ht="12.75">
      <c r="A7" s="4"/>
      <c r="B7" s="4"/>
      <c r="C7" s="4"/>
      <c r="D7" s="4"/>
      <c r="E7" s="4"/>
      <c r="F7" s="4"/>
      <c r="G7" s="4"/>
      <c r="H7" s="4"/>
      <c r="I7" s="4"/>
    </row>
    <row r="8" spans="1:9" ht="13.5" thickBot="1">
      <c r="A8" s="4"/>
      <c r="B8" s="4"/>
      <c r="C8" s="4"/>
      <c r="D8" s="4"/>
      <c r="E8" s="4"/>
      <c r="F8" s="4"/>
      <c r="G8" s="4"/>
      <c r="H8" s="4"/>
      <c r="I8" s="4"/>
    </row>
    <row r="9" spans="1:9" ht="15" thickBot="1">
      <c r="A9" s="956" t="s">
        <v>502</v>
      </c>
      <c r="B9" s="957"/>
      <c r="C9" s="957"/>
      <c r="D9" s="958"/>
      <c r="E9" s="754"/>
      <c r="F9" s="754"/>
      <c r="G9" s="754"/>
      <c r="H9" s="4"/>
      <c r="I9" s="4"/>
    </row>
    <row r="10" spans="1:9" ht="15" thickBot="1">
      <c r="A10" s="959" t="s">
        <v>395</v>
      </c>
      <c r="B10" s="960"/>
      <c r="C10" s="960"/>
      <c r="D10" s="961"/>
      <c r="E10" s="754"/>
      <c r="F10" s="754"/>
      <c r="G10" s="754"/>
      <c r="H10" s="4"/>
      <c r="I10" s="4"/>
    </row>
    <row r="11" spans="1:9" ht="90.75" thickBot="1">
      <c r="A11" s="771" t="s">
        <v>387</v>
      </c>
      <c r="B11" s="771" t="s">
        <v>388</v>
      </c>
      <c r="C11" s="771" t="s">
        <v>389</v>
      </c>
      <c r="D11" s="772" t="s">
        <v>390</v>
      </c>
      <c r="E11" s="738" t="s">
        <v>396</v>
      </c>
      <c r="F11" s="738" t="s">
        <v>397</v>
      </c>
      <c r="G11" s="738" t="s">
        <v>398</v>
      </c>
      <c r="H11" s="4"/>
      <c r="I11" s="4"/>
    </row>
    <row r="12" spans="1:9" ht="16.5" thickBot="1">
      <c r="A12" s="963"/>
      <c r="B12" s="964"/>
      <c r="C12" s="964"/>
      <c r="D12" s="965"/>
      <c r="E12" s="762">
        <v>0.05</v>
      </c>
      <c r="F12" s="773">
        <v>0.1116</v>
      </c>
      <c r="G12" s="774">
        <v>0.0145</v>
      </c>
      <c r="H12" s="4"/>
      <c r="I12" s="4"/>
    </row>
    <row r="13" spans="1:9" ht="15">
      <c r="A13" s="744" t="str">
        <f>'[1]Salaries - Year 3'!A13</f>
        <v>Principal: Lower Grades</v>
      </c>
      <c r="B13" s="763">
        <v>1</v>
      </c>
      <c r="C13" s="746">
        <f>('Salaries - Year 3'!C13)*(1+$B$5)</f>
        <v>97418.8944</v>
      </c>
      <c r="D13" s="757">
        <f>B13*C13</f>
        <v>97418.8944</v>
      </c>
      <c r="E13" s="775">
        <f>D13*$E$12</f>
        <v>4870.94472</v>
      </c>
      <c r="F13" s="776">
        <f>D13*$F$12</f>
        <v>10871.94861504</v>
      </c>
      <c r="G13" s="775">
        <f>D13*$G$12</f>
        <v>1412.5739688</v>
      </c>
      <c r="H13" s="4"/>
      <c r="I13" s="4"/>
    </row>
    <row r="14" spans="1:9" ht="15">
      <c r="A14" s="744" t="str">
        <f>'[1]Salaries - Year 3'!A14</f>
        <v>Teachers</v>
      </c>
      <c r="B14" s="764">
        <v>25</v>
      </c>
      <c r="C14" s="746">
        <v>51556.28384000002</v>
      </c>
      <c r="D14" s="757">
        <f aca="true" t="shared" si="0" ref="D14:D34">B14*C14</f>
        <v>1288907.0960000004</v>
      </c>
      <c r="E14" s="775">
        <f aca="true" t="shared" si="1" ref="E14:E34">D14*$E$12</f>
        <v>64445.35480000002</v>
      </c>
      <c r="F14" s="776">
        <f aca="true" t="shared" si="2" ref="F14:F26">D14*$F$12</f>
        <v>143842.03191360005</v>
      </c>
      <c r="G14" s="775">
        <f aca="true" t="shared" si="3" ref="G14:G34">D14*$G$12</f>
        <v>18689.152892000006</v>
      </c>
      <c r="H14" s="4"/>
      <c r="I14" s="4"/>
    </row>
    <row r="15" spans="1:9" ht="15">
      <c r="A15" s="744" t="str">
        <f>'[1]Salaries - Year 3'!A15</f>
        <v>Assistant Principal</v>
      </c>
      <c r="B15" s="764">
        <v>1</v>
      </c>
      <c r="C15" s="746">
        <f>('Salaries - Year 3'!C15)*(1+$B$5)</f>
        <v>71400</v>
      </c>
      <c r="D15" s="757">
        <f t="shared" si="0"/>
        <v>71400</v>
      </c>
      <c r="E15" s="775">
        <f t="shared" si="1"/>
        <v>3570</v>
      </c>
      <c r="F15" s="776">
        <f t="shared" si="2"/>
        <v>7968.240000000001</v>
      </c>
      <c r="G15" s="775">
        <f t="shared" si="3"/>
        <v>1035.3</v>
      </c>
      <c r="H15" s="4"/>
      <c r="I15" s="4"/>
    </row>
    <row r="16" spans="1:9" ht="15">
      <c r="A16" s="736"/>
      <c r="B16" s="764"/>
      <c r="C16" s="746">
        <f>('Salaries - Year 3'!C16)*(1+$B$5)</f>
        <v>0</v>
      </c>
      <c r="D16" s="757">
        <f t="shared" si="0"/>
        <v>0</v>
      </c>
      <c r="E16" s="775">
        <f t="shared" si="1"/>
        <v>0</v>
      </c>
      <c r="F16" s="776">
        <f t="shared" si="2"/>
        <v>0</v>
      </c>
      <c r="G16" s="775">
        <f t="shared" si="3"/>
        <v>0</v>
      </c>
      <c r="H16" s="4"/>
      <c r="I16" s="4"/>
    </row>
    <row r="17" spans="1:9" ht="15">
      <c r="A17" s="736"/>
      <c r="B17" s="764"/>
      <c r="C17" s="746">
        <f>('Salaries - Year 3'!C17)*(1+$B$5)</f>
        <v>0</v>
      </c>
      <c r="D17" s="757">
        <f t="shared" si="0"/>
        <v>0</v>
      </c>
      <c r="E17" s="775">
        <f t="shared" si="1"/>
        <v>0</v>
      </c>
      <c r="F17" s="776">
        <f t="shared" si="2"/>
        <v>0</v>
      </c>
      <c r="G17" s="775">
        <f t="shared" si="3"/>
        <v>0</v>
      </c>
      <c r="H17" s="4"/>
      <c r="I17" s="4"/>
    </row>
    <row r="18" spans="1:9" ht="15">
      <c r="A18" s="736"/>
      <c r="B18" s="764"/>
      <c r="C18" s="746">
        <f>('Salaries - Year 3'!C18)*(1+$B$5)</f>
        <v>0</v>
      </c>
      <c r="D18" s="757">
        <f t="shared" si="0"/>
        <v>0</v>
      </c>
      <c r="E18" s="775">
        <f t="shared" si="1"/>
        <v>0</v>
      </c>
      <c r="F18" s="776">
        <f t="shared" si="2"/>
        <v>0</v>
      </c>
      <c r="G18" s="775">
        <f t="shared" si="3"/>
        <v>0</v>
      </c>
      <c r="H18" s="4"/>
      <c r="I18" s="4"/>
    </row>
    <row r="19" spans="1:9" ht="15">
      <c r="A19" s="736"/>
      <c r="B19" s="764"/>
      <c r="C19" s="746">
        <f>('Salaries - Year 3'!C19)*(1+$B$5)</f>
        <v>0</v>
      </c>
      <c r="D19" s="757">
        <f t="shared" si="0"/>
        <v>0</v>
      </c>
      <c r="E19" s="775">
        <f t="shared" si="1"/>
        <v>0</v>
      </c>
      <c r="F19" s="776">
        <f t="shared" si="2"/>
        <v>0</v>
      </c>
      <c r="G19" s="775">
        <f t="shared" si="3"/>
        <v>0</v>
      </c>
      <c r="H19" s="4"/>
      <c r="I19" s="4"/>
    </row>
    <row r="20" spans="1:9" ht="15">
      <c r="A20" s="736"/>
      <c r="B20" s="764"/>
      <c r="C20" s="746">
        <f>('Salaries - Year 3'!C20)*(1+$B$5)</f>
        <v>0</v>
      </c>
      <c r="D20" s="757">
        <f t="shared" si="0"/>
        <v>0</v>
      </c>
      <c r="E20" s="775">
        <f t="shared" si="1"/>
        <v>0</v>
      </c>
      <c r="F20" s="776">
        <f t="shared" si="2"/>
        <v>0</v>
      </c>
      <c r="G20" s="775">
        <f t="shared" si="3"/>
        <v>0</v>
      </c>
      <c r="H20" s="4"/>
      <c r="I20" s="4"/>
    </row>
    <row r="21" spans="1:9" ht="15">
      <c r="A21" s="736"/>
      <c r="B21" s="764"/>
      <c r="C21" s="746">
        <f>('Salaries - Year 3'!C21)*(1+$B$5)</f>
        <v>0</v>
      </c>
      <c r="D21" s="757">
        <f t="shared" si="0"/>
        <v>0</v>
      </c>
      <c r="E21" s="775">
        <f t="shared" si="1"/>
        <v>0</v>
      </c>
      <c r="F21" s="776">
        <f t="shared" si="2"/>
        <v>0</v>
      </c>
      <c r="G21" s="775">
        <f t="shared" si="3"/>
        <v>0</v>
      </c>
      <c r="H21" s="4"/>
      <c r="I21" s="4"/>
    </row>
    <row r="22" spans="1:9" ht="15">
      <c r="A22" s="736"/>
      <c r="B22" s="764"/>
      <c r="C22" s="746">
        <f>('Salaries - Year 3'!C22)*(1+$B$5)</f>
        <v>0</v>
      </c>
      <c r="D22" s="757">
        <f t="shared" si="0"/>
        <v>0</v>
      </c>
      <c r="E22" s="775">
        <f t="shared" si="1"/>
        <v>0</v>
      </c>
      <c r="F22" s="776">
        <f t="shared" si="2"/>
        <v>0</v>
      </c>
      <c r="G22" s="775">
        <f t="shared" si="3"/>
        <v>0</v>
      </c>
      <c r="H22" s="4"/>
      <c r="I22" s="4"/>
    </row>
    <row r="23" spans="1:9" ht="15">
      <c r="A23" s="736"/>
      <c r="B23" s="764"/>
      <c r="C23" s="746">
        <f>('Salaries - Year 3'!C23)*(1+$B$5)</f>
        <v>0</v>
      </c>
      <c r="D23" s="757">
        <f t="shared" si="0"/>
        <v>0</v>
      </c>
      <c r="E23" s="775">
        <f t="shared" si="1"/>
        <v>0</v>
      </c>
      <c r="F23" s="776">
        <f t="shared" si="2"/>
        <v>0</v>
      </c>
      <c r="G23" s="775">
        <f t="shared" si="3"/>
        <v>0</v>
      </c>
      <c r="H23" s="4"/>
      <c r="I23" s="4"/>
    </row>
    <row r="24" spans="1:9" ht="15">
      <c r="A24" s="736"/>
      <c r="B24" s="764"/>
      <c r="C24" s="746">
        <f>('Salaries - Year 3'!C24)*(1+$B$5)</f>
        <v>0</v>
      </c>
      <c r="D24" s="757">
        <f t="shared" si="0"/>
        <v>0</v>
      </c>
      <c r="E24" s="775">
        <f t="shared" si="1"/>
        <v>0</v>
      </c>
      <c r="F24" s="776">
        <f t="shared" si="2"/>
        <v>0</v>
      </c>
      <c r="G24" s="775">
        <f t="shared" si="3"/>
        <v>0</v>
      </c>
      <c r="H24" s="4"/>
      <c r="I24" s="4"/>
    </row>
    <row r="25" spans="1:9" ht="15">
      <c r="A25" s="736"/>
      <c r="B25" s="764"/>
      <c r="C25" s="746">
        <f>('Salaries - Year 3'!C25)*(1+$B$5)</f>
        <v>0</v>
      </c>
      <c r="D25" s="757">
        <f t="shared" si="0"/>
        <v>0</v>
      </c>
      <c r="E25" s="775">
        <f t="shared" si="1"/>
        <v>0</v>
      </c>
      <c r="F25" s="776">
        <f t="shared" si="2"/>
        <v>0</v>
      </c>
      <c r="G25" s="775">
        <f t="shared" si="3"/>
        <v>0</v>
      </c>
      <c r="H25" s="4"/>
      <c r="I25" s="4"/>
    </row>
    <row r="26" spans="1:9" ht="15.75" thickBot="1">
      <c r="A26" s="750"/>
      <c r="B26" s="764"/>
      <c r="C26" s="746">
        <f>('Salaries - Year 3'!C26)*(1+$B$5)</f>
        <v>0</v>
      </c>
      <c r="D26" s="757">
        <f t="shared" si="0"/>
        <v>0</v>
      </c>
      <c r="E26" s="775">
        <f t="shared" si="1"/>
        <v>0</v>
      </c>
      <c r="F26" s="777">
        <f t="shared" si="2"/>
        <v>0</v>
      </c>
      <c r="G26" s="775">
        <f t="shared" si="3"/>
        <v>0</v>
      </c>
      <c r="H26" s="4"/>
      <c r="I26" s="4"/>
    </row>
    <row r="27" spans="1:9" ht="15">
      <c r="A27" s="739" t="s">
        <v>399</v>
      </c>
      <c r="B27" s="764">
        <v>1</v>
      </c>
      <c r="C27" s="746">
        <f>('Salaries - Year 3'!C27)*(1+$B$5)</f>
        <v>53060.4</v>
      </c>
      <c r="D27" s="757">
        <f t="shared" si="0"/>
        <v>53060.4</v>
      </c>
      <c r="E27" s="778">
        <f t="shared" si="1"/>
        <v>2653.0200000000004</v>
      </c>
      <c r="F27" s="779"/>
      <c r="G27" s="780">
        <f t="shared" si="3"/>
        <v>769.3758</v>
      </c>
      <c r="H27" s="4"/>
      <c r="I27" s="4"/>
    </row>
    <row r="28" spans="1:9" ht="15.75" thickBot="1">
      <c r="A28" s="740" t="s">
        <v>400</v>
      </c>
      <c r="B28" s="764">
        <v>2</v>
      </c>
      <c r="C28" s="746">
        <f>('Salaries - Year 3'!C28)*(1+$B$5)</f>
        <v>31836.24</v>
      </c>
      <c r="D28" s="757">
        <f t="shared" si="0"/>
        <v>63672.48</v>
      </c>
      <c r="E28" s="778">
        <f t="shared" si="1"/>
        <v>3183.6240000000003</v>
      </c>
      <c r="F28" s="781"/>
      <c r="G28" s="780">
        <f t="shared" si="3"/>
        <v>923.2509600000001</v>
      </c>
      <c r="H28" s="4"/>
      <c r="I28" s="4"/>
    </row>
    <row r="29" spans="1:9" ht="15.75" hidden="1" thickBot="1">
      <c r="A29" s="740" t="s">
        <v>401</v>
      </c>
      <c r="B29" s="764"/>
      <c r="C29" s="746">
        <f>('Salaries - Year 3'!C29)*(1+$B$5)</f>
        <v>0</v>
      </c>
      <c r="D29" s="757">
        <f t="shared" si="0"/>
        <v>0</v>
      </c>
      <c r="E29" s="778">
        <f t="shared" si="1"/>
        <v>0</v>
      </c>
      <c r="F29" s="781"/>
      <c r="G29" s="780">
        <f t="shared" si="3"/>
        <v>0</v>
      </c>
      <c r="H29" s="4"/>
      <c r="I29" s="4"/>
    </row>
    <row r="30" spans="1:9" ht="15.75" hidden="1" thickBot="1">
      <c r="A30" s="740" t="s">
        <v>402</v>
      </c>
      <c r="B30" s="764"/>
      <c r="C30" s="746">
        <f>('Salaries - Year 3'!C30)*(1+$B$5)</f>
        <v>0</v>
      </c>
      <c r="D30" s="757">
        <f t="shared" si="0"/>
        <v>0</v>
      </c>
      <c r="E30" s="778">
        <f t="shared" si="1"/>
        <v>0</v>
      </c>
      <c r="F30" s="781"/>
      <c r="G30" s="780">
        <f t="shared" si="3"/>
        <v>0</v>
      </c>
      <c r="H30" s="4"/>
      <c r="I30" s="4"/>
    </row>
    <row r="31" spans="1:9" ht="15.75" hidden="1" thickBot="1">
      <c r="A31" s="740" t="s">
        <v>403</v>
      </c>
      <c r="B31" s="764"/>
      <c r="C31" s="746">
        <f>('Salaries - Year 3'!C31)*(1+$B$5)</f>
        <v>0</v>
      </c>
      <c r="D31" s="757">
        <f t="shared" si="0"/>
        <v>0</v>
      </c>
      <c r="E31" s="778">
        <f t="shared" si="1"/>
        <v>0</v>
      </c>
      <c r="F31" s="781"/>
      <c r="G31" s="780">
        <f t="shared" si="3"/>
        <v>0</v>
      </c>
      <c r="H31" s="4"/>
      <c r="I31" s="4"/>
    </row>
    <row r="32" spans="1:9" ht="15.75" hidden="1" thickBot="1">
      <c r="A32" s="740" t="s">
        <v>404</v>
      </c>
      <c r="B32" s="764"/>
      <c r="C32" s="746">
        <f>('Salaries - Year 3'!C32)*(1+$B$5)</f>
        <v>0</v>
      </c>
      <c r="D32" s="757">
        <f t="shared" si="0"/>
        <v>0</v>
      </c>
      <c r="E32" s="778">
        <f t="shared" si="1"/>
        <v>0</v>
      </c>
      <c r="F32" s="781"/>
      <c r="G32" s="780">
        <f t="shared" si="3"/>
        <v>0</v>
      </c>
      <c r="H32" s="4"/>
      <c r="I32" s="4"/>
    </row>
    <row r="33" spans="1:9" ht="15.75" hidden="1" thickBot="1">
      <c r="A33" s="740" t="s">
        <v>405</v>
      </c>
      <c r="B33" s="764"/>
      <c r="C33" s="746">
        <f>('Salaries - Year 3'!C33)*(1+$B$5)</f>
        <v>0</v>
      </c>
      <c r="D33" s="757">
        <f t="shared" si="0"/>
        <v>0</v>
      </c>
      <c r="E33" s="778">
        <f t="shared" si="1"/>
        <v>0</v>
      </c>
      <c r="F33" s="781"/>
      <c r="G33" s="780">
        <f t="shared" si="3"/>
        <v>0</v>
      </c>
      <c r="H33" s="4"/>
      <c r="I33" s="4"/>
    </row>
    <row r="34" spans="1:9" ht="15.75" hidden="1" thickBot="1">
      <c r="A34" s="741" t="s">
        <v>406</v>
      </c>
      <c r="B34" s="765"/>
      <c r="C34" s="746">
        <f>('Salaries - Year 3'!C34)*(1+$B$5)</f>
        <v>0</v>
      </c>
      <c r="D34" s="757">
        <f t="shared" si="0"/>
        <v>0</v>
      </c>
      <c r="E34" s="778">
        <f t="shared" si="1"/>
        <v>0</v>
      </c>
      <c r="F34" s="782"/>
      <c r="G34" s="780">
        <f t="shared" si="3"/>
        <v>0</v>
      </c>
      <c r="H34" s="4"/>
      <c r="I34" s="4"/>
    </row>
    <row r="35" spans="1:9" ht="15.75" thickBot="1">
      <c r="A35" s="783" t="s">
        <v>407</v>
      </c>
      <c r="B35" s="784">
        <f>SUM(B13:B28)</f>
        <v>30</v>
      </c>
      <c r="C35" s="760"/>
      <c r="D35" s="761">
        <f>SUM(D13:D28)</f>
        <v>1574458.8704000004</v>
      </c>
      <c r="E35" s="761">
        <f>SUM(E13:E28)</f>
        <v>78722.94352000003</v>
      </c>
      <c r="F35" s="761">
        <f>SUM(F13:F28)</f>
        <v>162682.22052864003</v>
      </c>
      <c r="G35" s="761">
        <f>SUM(G13:G28)</f>
        <v>22829.653620800007</v>
      </c>
      <c r="H35" s="4"/>
      <c r="I35" s="4"/>
    </row>
    <row r="36" spans="1:9" ht="12.75">
      <c r="A36" s="962"/>
      <c r="B36" s="962"/>
      <c r="C36" s="962"/>
      <c r="D36" s="767"/>
      <c r="E36" s="754"/>
      <c r="F36" s="754"/>
      <c r="G36" s="754"/>
      <c r="H36" s="4"/>
      <c r="I36" s="4"/>
    </row>
    <row r="37" spans="1:9" ht="13.5" thickBot="1">
      <c r="A37" s="766"/>
      <c r="B37" s="766"/>
      <c r="C37" s="766"/>
      <c r="D37" s="767"/>
      <c r="E37" s="754"/>
      <c r="F37" s="754"/>
      <c r="G37" s="754"/>
      <c r="H37" s="4"/>
      <c r="I37" s="4"/>
    </row>
    <row r="38" spans="1:9" ht="15" thickBot="1">
      <c r="A38" s="956" t="s">
        <v>475</v>
      </c>
      <c r="B38" s="957"/>
      <c r="C38" s="957"/>
      <c r="D38" s="958"/>
      <c r="E38" s="754"/>
      <c r="F38" s="754"/>
      <c r="G38" s="754"/>
      <c r="H38" s="4"/>
      <c r="I38" s="4"/>
    </row>
    <row r="39" spans="1:9" ht="60.75" thickBot="1">
      <c r="A39" s="959" t="s">
        <v>408</v>
      </c>
      <c r="B39" s="960"/>
      <c r="C39" s="960"/>
      <c r="D39" s="961"/>
      <c r="E39" s="738" t="s">
        <v>409</v>
      </c>
      <c r="F39" s="738" t="s">
        <v>398</v>
      </c>
      <c r="G39" s="754"/>
      <c r="H39" s="4"/>
      <c r="I39" s="4"/>
    </row>
    <row r="40" spans="1:9" ht="16.5" thickBot="1">
      <c r="A40" s="953"/>
      <c r="B40" s="954"/>
      <c r="C40" s="954"/>
      <c r="D40" s="955"/>
      <c r="E40" s="774">
        <v>0.062</v>
      </c>
      <c r="F40" s="774">
        <v>0.0145</v>
      </c>
      <c r="G40" s="754"/>
      <c r="H40" s="4"/>
      <c r="I40" s="4"/>
    </row>
    <row r="41" spans="1:9" ht="15">
      <c r="A41" s="744" t="str">
        <f>'[1]Salaries - Year 3'!A41</f>
        <v>Teacher Aides</v>
      </c>
      <c r="B41" s="763">
        <v>6</v>
      </c>
      <c r="C41" s="746">
        <f>('Salaries - Year 3'!C41)*(1+$B$5)</f>
        <v>21224.16</v>
      </c>
      <c r="D41" s="757">
        <f>B41*C41</f>
        <v>127344.95999999999</v>
      </c>
      <c r="E41" s="775">
        <f>D41*$E$40</f>
        <v>7895.387519999999</v>
      </c>
      <c r="F41" s="775">
        <f>D41*$F$40</f>
        <v>1846.50192</v>
      </c>
      <c r="G41" s="754"/>
      <c r="H41" s="4"/>
      <c r="I41" s="4"/>
    </row>
    <row r="42" spans="1:9" ht="15">
      <c r="A42" s="744" t="str">
        <f>'[1]Salaries - Year 3'!A42</f>
        <v>School Counselor</v>
      </c>
      <c r="B42" s="764">
        <v>2</v>
      </c>
      <c r="C42" s="746">
        <f>('Salaries - Year 3'!C42)*(1+$B$5)</f>
        <v>37142.28</v>
      </c>
      <c r="D42" s="757">
        <f aca="true" t="shared" si="4" ref="D42:D62">B42*C42</f>
        <v>74284.56</v>
      </c>
      <c r="E42" s="785">
        <f aca="true" t="shared" si="5" ref="E42:E62">D42*$E$40</f>
        <v>4605.64272</v>
      </c>
      <c r="F42" s="785">
        <f aca="true" t="shared" si="6" ref="F42:F62">D42*$F$40</f>
        <v>1077.1261200000001</v>
      </c>
      <c r="G42" s="754"/>
      <c r="H42" s="4"/>
      <c r="I42" s="4"/>
    </row>
    <row r="43" spans="1:9" ht="15">
      <c r="A43" s="744" t="s">
        <v>410</v>
      </c>
      <c r="B43" s="764">
        <v>1</v>
      </c>
      <c r="C43" s="746">
        <f>('Salaries - Year 3'!C43)*(1+$B$5)</f>
        <v>70358.0904</v>
      </c>
      <c r="D43" s="757">
        <f t="shared" si="4"/>
        <v>70358.0904</v>
      </c>
      <c r="E43" s="785">
        <f t="shared" si="5"/>
        <v>4362.2016048</v>
      </c>
      <c r="F43" s="785">
        <f t="shared" si="6"/>
        <v>1020.1923108000001</v>
      </c>
      <c r="G43" s="754"/>
      <c r="H43" s="4"/>
      <c r="I43" s="4"/>
    </row>
    <row r="44" spans="1:9" ht="15">
      <c r="A44" s="744" t="s">
        <v>532</v>
      </c>
      <c r="B44" s="764">
        <v>1</v>
      </c>
      <c r="C44" s="746">
        <f>('Salaries - Year 3'!C44)*(1+$B$5)</f>
        <v>42448.32</v>
      </c>
      <c r="D44" s="757">
        <f t="shared" si="4"/>
        <v>42448.32</v>
      </c>
      <c r="E44" s="785">
        <f t="shared" si="5"/>
        <v>2631.7958399999998</v>
      </c>
      <c r="F44" s="785">
        <f t="shared" si="6"/>
        <v>615.50064</v>
      </c>
      <c r="G44" s="754"/>
      <c r="H44" s="4"/>
      <c r="I44" s="4"/>
    </row>
    <row r="45" spans="1:9" ht="15">
      <c r="A45" s="744" t="s">
        <v>533</v>
      </c>
      <c r="B45" s="764">
        <v>1</v>
      </c>
      <c r="C45" s="746">
        <f>('Salaries - Year 3'!C45)*(1+$B$5)</f>
        <v>42448.32</v>
      </c>
      <c r="D45" s="757">
        <f t="shared" si="4"/>
        <v>42448.32</v>
      </c>
      <c r="E45" s="785">
        <f t="shared" si="5"/>
        <v>2631.7958399999998</v>
      </c>
      <c r="F45" s="785">
        <f t="shared" si="6"/>
        <v>615.50064</v>
      </c>
      <c r="G45" s="754"/>
      <c r="H45" s="4"/>
      <c r="I45" s="4"/>
    </row>
    <row r="46" spans="1:9" ht="15">
      <c r="A46" s="736"/>
      <c r="B46" s="764"/>
      <c r="C46" s="746">
        <v>0</v>
      </c>
      <c r="D46" s="757">
        <f t="shared" si="4"/>
        <v>0</v>
      </c>
      <c r="E46" s="785">
        <f t="shared" si="5"/>
        <v>0</v>
      </c>
      <c r="F46" s="785">
        <f t="shared" si="6"/>
        <v>0</v>
      </c>
      <c r="G46" s="754"/>
      <c r="H46" s="4"/>
      <c r="I46" s="4"/>
    </row>
    <row r="47" spans="1:9" ht="15">
      <c r="A47" s="736"/>
      <c r="B47" s="764"/>
      <c r="C47" s="746">
        <f>('Salaries - Year 3'!C47)*(1+$B$5)</f>
        <v>0</v>
      </c>
      <c r="D47" s="757">
        <f t="shared" si="4"/>
        <v>0</v>
      </c>
      <c r="E47" s="785">
        <f t="shared" si="5"/>
        <v>0</v>
      </c>
      <c r="F47" s="785">
        <f t="shared" si="6"/>
        <v>0</v>
      </c>
      <c r="G47" s="754"/>
      <c r="H47" s="4"/>
      <c r="I47" s="4"/>
    </row>
    <row r="48" spans="1:9" ht="15">
      <c r="A48" s="736"/>
      <c r="B48" s="764"/>
      <c r="C48" s="746">
        <f>('Salaries - Year 3'!C48)*(1+$B$5)</f>
        <v>0</v>
      </c>
      <c r="D48" s="757">
        <f t="shared" si="4"/>
        <v>0</v>
      </c>
      <c r="E48" s="785">
        <f t="shared" si="5"/>
        <v>0</v>
      </c>
      <c r="F48" s="785">
        <f t="shared" si="6"/>
        <v>0</v>
      </c>
      <c r="G48" s="754"/>
      <c r="H48" s="4"/>
      <c r="I48" s="4"/>
    </row>
    <row r="49" spans="1:9" ht="15">
      <c r="A49" s="736"/>
      <c r="B49" s="764"/>
      <c r="C49" s="746">
        <f>('Salaries - Year 3'!C49)*(1+$B$5)</f>
        <v>0</v>
      </c>
      <c r="D49" s="757">
        <f t="shared" si="4"/>
        <v>0</v>
      </c>
      <c r="E49" s="785">
        <f t="shared" si="5"/>
        <v>0</v>
      </c>
      <c r="F49" s="785">
        <f t="shared" si="6"/>
        <v>0</v>
      </c>
      <c r="G49" s="754"/>
      <c r="H49" s="4"/>
      <c r="I49" s="4"/>
    </row>
    <row r="50" spans="1:9" ht="15">
      <c r="A50" s="736"/>
      <c r="B50" s="764"/>
      <c r="C50" s="746">
        <f>('Salaries - Year 3'!C50)*(1+$B$5)</f>
        <v>0</v>
      </c>
      <c r="D50" s="757">
        <f t="shared" si="4"/>
        <v>0</v>
      </c>
      <c r="E50" s="785">
        <f t="shared" si="5"/>
        <v>0</v>
      </c>
      <c r="F50" s="785">
        <f t="shared" si="6"/>
        <v>0</v>
      </c>
      <c r="G50" s="754"/>
      <c r="H50" s="4"/>
      <c r="I50" s="4"/>
    </row>
    <row r="51" spans="1:9" ht="15">
      <c r="A51" s="736"/>
      <c r="B51" s="764"/>
      <c r="C51" s="746">
        <f>('Salaries - Year 3'!C51)*(1+$B$5)</f>
        <v>0</v>
      </c>
      <c r="D51" s="757">
        <f t="shared" si="4"/>
        <v>0</v>
      </c>
      <c r="E51" s="785">
        <f t="shared" si="5"/>
        <v>0</v>
      </c>
      <c r="F51" s="785">
        <f t="shared" si="6"/>
        <v>0</v>
      </c>
      <c r="G51" s="754"/>
      <c r="H51" s="4"/>
      <c r="I51" s="4"/>
    </row>
    <row r="52" spans="1:9" ht="15">
      <c r="A52" s="736"/>
      <c r="B52" s="764"/>
      <c r="C52" s="746">
        <f>('Salaries - Year 3'!C52)*(1+$B$5)</f>
        <v>0</v>
      </c>
      <c r="D52" s="757">
        <f t="shared" si="4"/>
        <v>0</v>
      </c>
      <c r="E52" s="785">
        <f t="shared" si="5"/>
        <v>0</v>
      </c>
      <c r="F52" s="785">
        <f t="shared" si="6"/>
        <v>0</v>
      </c>
      <c r="G52" s="754"/>
      <c r="H52" s="4"/>
      <c r="I52" s="4"/>
    </row>
    <row r="53" spans="1:9" ht="15">
      <c r="A53" s="737"/>
      <c r="B53" s="764"/>
      <c r="C53" s="746">
        <f>('Salaries - Year 3'!C53)*(1+$B$5)</f>
        <v>0</v>
      </c>
      <c r="D53" s="757">
        <f t="shared" si="4"/>
        <v>0</v>
      </c>
      <c r="E53" s="785">
        <f t="shared" si="5"/>
        <v>0</v>
      </c>
      <c r="F53" s="785">
        <f t="shared" si="6"/>
        <v>0</v>
      </c>
      <c r="G53" s="754"/>
      <c r="H53" s="4"/>
      <c r="I53" s="4"/>
    </row>
    <row r="54" spans="1:9" ht="15">
      <c r="A54" s="737"/>
      <c r="B54" s="764"/>
      <c r="C54" s="746">
        <f>('Salaries - Year 3'!C54)*(1+$B$5)</f>
        <v>0</v>
      </c>
      <c r="D54" s="757">
        <f t="shared" si="4"/>
        <v>0</v>
      </c>
      <c r="E54" s="785">
        <f t="shared" si="5"/>
        <v>0</v>
      </c>
      <c r="F54" s="785">
        <f t="shared" si="6"/>
        <v>0</v>
      </c>
      <c r="G54" s="754"/>
      <c r="H54" s="4"/>
      <c r="I54" s="4"/>
    </row>
    <row r="55" spans="1:9" ht="15">
      <c r="A55" s="737"/>
      <c r="B55" s="768"/>
      <c r="C55" s="746">
        <f>('Salaries - Year 3'!C55)*(1+$B$5)</f>
        <v>0</v>
      </c>
      <c r="D55" s="757">
        <f t="shared" si="4"/>
        <v>0</v>
      </c>
      <c r="E55" s="785">
        <f t="shared" si="5"/>
        <v>0</v>
      </c>
      <c r="F55" s="785">
        <f t="shared" si="6"/>
        <v>0</v>
      </c>
      <c r="G55" s="754"/>
      <c r="H55" s="4"/>
      <c r="I55" s="4"/>
    </row>
    <row r="56" spans="1:9" ht="15">
      <c r="A56" s="737"/>
      <c r="B56" s="768"/>
      <c r="C56" s="746">
        <f>('Salaries - Year 3'!C56)*(1+$B$5)</f>
        <v>0</v>
      </c>
      <c r="D56" s="757">
        <f t="shared" si="4"/>
        <v>0</v>
      </c>
      <c r="E56" s="785">
        <f t="shared" si="5"/>
        <v>0</v>
      </c>
      <c r="F56" s="785">
        <f t="shared" si="6"/>
        <v>0</v>
      </c>
      <c r="G56" s="754"/>
      <c r="H56" s="4"/>
      <c r="I56" s="4"/>
    </row>
    <row r="57" spans="1:9" ht="15">
      <c r="A57" s="737"/>
      <c r="B57" s="768"/>
      <c r="C57" s="746">
        <f>('Salaries - Year 3'!C57)*(1+$B$5)</f>
        <v>0</v>
      </c>
      <c r="D57" s="757">
        <f t="shared" si="4"/>
        <v>0</v>
      </c>
      <c r="E57" s="785">
        <f t="shared" si="5"/>
        <v>0</v>
      </c>
      <c r="F57" s="785">
        <f t="shared" si="6"/>
        <v>0</v>
      </c>
      <c r="G57" s="754"/>
      <c r="H57" s="4"/>
      <c r="I57" s="4"/>
    </row>
    <row r="58" spans="1:9" ht="15">
      <c r="A58" s="737"/>
      <c r="B58" s="768"/>
      <c r="C58" s="746">
        <f>('Salaries - Year 3'!C58)*(1+$B$5)</f>
        <v>0</v>
      </c>
      <c r="D58" s="757">
        <f t="shared" si="4"/>
        <v>0</v>
      </c>
      <c r="E58" s="785">
        <f t="shared" si="5"/>
        <v>0</v>
      </c>
      <c r="F58" s="785">
        <f t="shared" si="6"/>
        <v>0</v>
      </c>
      <c r="G58" s="754"/>
      <c r="H58" s="4"/>
      <c r="I58" s="4"/>
    </row>
    <row r="59" spans="1:9" ht="15">
      <c r="A59" s="737"/>
      <c r="B59" s="768"/>
      <c r="C59" s="746">
        <f>('Salaries - Year 3'!C59)*(1+$B$5)</f>
        <v>0</v>
      </c>
      <c r="D59" s="757">
        <f t="shared" si="4"/>
        <v>0</v>
      </c>
      <c r="E59" s="785">
        <f t="shared" si="5"/>
        <v>0</v>
      </c>
      <c r="F59" s="785">
        <f t="shared" si="6"/>
        <v>0</v>
      </c>
      <c r="G59" s="754"/>
      <c r="H59" s="4"/>
      <c r="I59" s="4"/>
    </row>
    <row r="60" spans="1:9" ht="15">
      <c r="A60" s="737"/>
      <c r="B60" s="768"/>
      <c r="C60" s="746">
        <f>('Salaries - Year 3'!C60)*(1+$B$5)</f>
        <v>0</v>
      </c>
      <c r="D60" s="757">
        <f t="shared" si="4"/>
        <v>0</v>
      </c>
      <c r="E60" s="785">
        <f t="shared" si="5"/>
        <v>0</v>
      </c>
      <c r="F60" s="785">
        <f t="shared" si="6"/>
        <v>0</v>
      </c>
      <c r="G60" s="754"/>
      <c r="H60" s="4"/>
      <c r="I60" s="4"/>
    </row>
    <row r="61" spans="1:9" ht="15">
      <c r="A61" s="737"/>
      <c r="B61" s="768"/>
      <c r="C61" s="746">
        <f>('Salaries - Year 3'!C61)*(1+$B$5)</f>
        <v>0</v>
      </c>
      <c r="D61" s="757">
        <f t="shared" si="4"/>
        <v>0</v>
      </c>
      <c r="E61" s="785">
        <f t="shared" si="5"/>
        <v>0</v>
      </c>
      <c r="F61" s="785">
        <f t="shared" si="6"/>
        <v>0</v>
      </c>
      <c r="G61" s="754"/>
      <c r="H61" s="4"/>
      <c r="I61" s="4"/>
    </row>
    <row r="62" spans="1:9" ht="15.75" thickBot="1">
      <c r="A62" s="742"/>
      <c r="B62" s="768"/>
      <c r="C62" s="746">
        <f>('Salaries - Year 3'!C62)*(1+$B$5)</f>
        <v>0</v>
      </c>
      <c r="D62" s="757">
        <f t="shared" si="4"/>
        <v>0</v>
      </c>
      <c r="E62" s="785">
        <f t="shared" si="5"/>
        <v>0</v>
      </c>
      <c r="F62" s="785">
        <f t="shared" si="6"/>
        <v>0</v>
      </c>
      <c r="G62" s="754"/>
      <c r="H62" s="4"/>
      <c r="I62" s="4"/>
    </row>
    <row r="63" spans="1:9" ht="15.75" thickBot="1">
      <c r="A63" s="783" t="s">
        <v>407</v>
      </c>
      <c r="B63" s="786">
        <f>SUM(B41:B62)</f>
        <v>11</v>
      </c>
      <c r="C63" s="787"/>
      <c r="D63" s="814">
        <f>SUM(D41:D62)</f>
        <v>356884.2504</v>
      </c>
      <c r="E63" s="814">
        <f>SUM(E41:E62)</f>
        <v>22126.8235248</v>
      </c>
      <c r="F63" s="814">
        <f>SUM(F41:F62)</f>
        <v>5174.8216308</v>
      </c>
      <c r="G63" s="754"/>
      <c r="H63" s="4"/>
      <c r="I63" s="4"/>
    </row>
    <row r="64" spans="1:9" ht="13.5" thickBot="1">
      <c r="A64" s="754"/>
      <c r="B64" s="754"/>
      <c r="C64" s="754"/>
      <c r="D64" s="754"/>
      <c r="E64" s="754"/>
      <c r="F64" s="754"/>
      <c r="G64" s="754"/>
      <c r="H64" s="4"/>
      <c r="I64" s="4"/>
    </row>
    <row r="65" spans="1:9" ht="15.75" thickBot="1">
      <c r="A65" s="788" t="s">
        <v>7</v>
      </c>
      <c r="B65" s="789" t="s">
        <v>113</v>
      </c>
      <c r="C65" s="754"/>
      <c r="D65" s="754"/>
      <c r="E65" s="754"/>
      <c r="F65" s="754"/>
      <c r="G65" s="754"/>
      <c r="H65" s="4"/>
      <c r="I65" s="4"/>
    </row>
    <row r="66" spans="1:9" ht="15.75" thickBot="1">
      <c r="A66" s="790" t="s">
        <v>411</v>
      </c>
      <c r="B66" s="761">
        <f>D35</f>
        <v>1574458.8704000004</v>
      </c>
      <c r="C66" s="754"/>
      <c r="D66" s="754"/>
      <c r="E66" s="754"/>
      <c r="F66" s="754"/>
      <c r="G66" s="754"/>
      <c r="H66" s="4"/>
      <c r="I66" s="4"/>
    </row>
    <row r="67" spans="1:9" ht="15.75" thickBot="1">
      <c r="A67" s="791" t="s">
        <v>412</v>
      </c>
      <c r="B67" s="761">
        <f>D63</f>
        <v>356884.2504</v>
      </c>
      <c r="C67" s="754"/>
      <c r="D67" s="754"/>
      <c r="E67" s="754"/>
      <c r="F67" s="754"/>
      <c r="G67" s="754"/>
      <c r="H67" s="4"/>
      <c r="I67" s="4"/>
    </row>
    <row r="68" spans="1:9" ht="15.75" thickBot="1">
      <c r="A68" s="792" t="s">
        <v>413</v>
      </c>
      <c r="B68" s="761">
        <f>SUM(B66:B67)</f>
        <v>1931343.1208000004</v>
      </c>
      <c r="C68" s="754"/>
      <c r="D68" s="754"/>
      <c r="E68" s="754"/>
      <c r="F68" s="754"/>
      <c r="G68" s="754"/>
      <c r="H68" s="4"/>
      <c r="I68" s="4"/>
    </row>
    <row r="69" spans="1:9" ht="12.75">
      <c r="A69" s="754"/>
      <c r="B69" s="754"/>
      <c r="C69" s="754"/>
      <c r="D69" s="754"/>
      <c r="E69" s="754"/>
      <c r="F69" s="754"/>
      <c r="G69" s="754"/>
      <c r="H69" s="4"/>
      <c r="I69" s="4"/>
    </row>
    <row r="70" spans="1:9" ht="13.5" thickBot="1">
      <c r="A70" s="754"/>
      <c r="B70" s="754"/>
      <c r="C70" s="754"/>
      <c r="D70" s="754"/>
      <c r="E70" s="754"/>
      <c r="F70" s="754"/>
      <c r="G70" s="754"/>
      <c r="H70" s="4"/>
      <c r="I70" s="4"/>
    </row>
    <row r="71" spans="1:9" ht="15.75" thickBot="1">
      <c r="A71" s="788" t="s">
        <v>414</v>
      </c>
      <c r="B71" s="789" t="s">
        <v>113</v>
      </c>
      <c r="C71" s="4"/>
      <c r="D71" s="4"/>
      <c r="E71" s="4"/>
      <c r="F71" s="4"/>
      <c r="G71" s="4"/>
      <c r="H71" s="4"/>
      <c r="I71" s="4"/>
    </row>
    <row r="72" spans="1:9" ht="15.75" thickBot="1">
      <c r="A72" s="790" t="s">
        <v>411</v>
      </c>
      <c r="B72" s="761">
        <f>G35</f>
        <v>22829.653620800007</v>
      </c>
      <c r="C72" s="4"/>
      <c r="D72" s="4"/>
      <c r="E72" s="4"/>
      <c r="F72" s="4"/>
      <c r="G72" s="4"/>
      <c r="H72" s="4"/>
      <c r="I72" s="4"/>
    </row>
    <row r="73" spans="1:9" ht="15.75" thickBot="1">
      <c r="A73" s="791" t="s">
        <v>412</v>
      </c>
      <c r="B73" s="761">
        <f>F63</f>
        <v>5174.8216308</v>
      </c>
      <c r="C73" s="4"/>
      <c r="D73" s="4"/>
      <c r="E73" s="4"/>
      <c r="F73" s="4"/>
      <c r="G73" s="4"/>
      <c r="H73" s="4"/>
      <c r="I73" s="4"/>
    </row>
    <row r="74" spans="1:9" ht="15.75" thickBot="1">
      <c r="A74" s="792" t="s">
        <v>415</v>
      </c>
      <c r="B74" s="761">
        <f>SUM(B72:B73)</f>
        <v>28004.475251600008</v>
      </c>
      <c r="C74" s="4"/>
      <c r="D74" s="4"/>
      <c r="E74" s="4"/>
      <c r="F74" s="4"/>
      <c r="G74" s="4"/>
      <c r="H74" s="4"/>
      <c r="I74" s="4"/>
    </row>
    <row r="75" spans="1:9" ht="12.75">
      <c r="A75" s="4"/>
      <c r="B75" s="4"/>
      <c r="C75" s="4"/>
      <c r="D75" s="4"/>
      <c r="E75" s="4"/>
      <c r="F75" s="4"/>
      <c r="G75" s="4"/>
      <c r="H75" s="4"/>
      <c r="I75" s="4"/>
    </row>
    <row r="76" spans="1:9" ht="13.5" thickBot="1">
      <c r="A76" s="4"/>
      <c r="B76" s="4"/>
      <c r="C76" s="4"/>
      <c r="D76" s="4"/>
      <c r="E76" s="4"/>
      <c r="F76" s="4"/>
      <c r="G76" s="4"/>
      <c r="H76" s="4"/>
      <c r="I76" s="4"/>
    </row>
    <row r="77" spans="1:9" ht="15.75" thickBot="1">
      <c r="A77" s="788" t="s">
        <v>27</v>
      </c>
      <c r="B77" s="789" t="s">
        <v>113</v>
      </c>
      <c r="C77" s="4"/>
      <c r="D77" s="4"/>
      <c r="E77" s="4"/>
      <c r="F77" s="4"/>
      <c r="G77" s="4"/>
      <c r="H77" s="4"/>
      <c r="I77" s="4"/>
    </row>
    <row r="78" spans="1:9" ht="15.75" thickBot="1">
      <c r="A78" s="790" t="s">
        <v>416</v>
      </c>
      <c r="B78" s="793">
        <f>B35</f>
        <v>30</v>
      </c>
      <c r="C78" s="4"/>
      <c r="D78" s="4"/>
      <c r="E78" s="4"/>
      <c r="F78" s="4"/>
      <c r="G78" s="4"/>
      <c r="H78" s="4"/>
      <c r="I78" s="4"/>
    </row>
    <row r="79" spans="1:9" ht="15.75" thickBot="1">
      <c r="A79" s="790" t="s">
        <v>417</v>
      </c>
      <c r="B79" s="793">
        <f>B63</f>
        <v>11</v>
      </c>
      <c r="C79" s="4"/>
      <c r="D79" s="4"/>
      <c r="E79" s="4"/>
      <c r="F79" s="4"/>
      <c r="G79" s="4"/>
      <c r="H79" s="4"/>
      <c r="I79" s="4"/>
    </row>
    <row r="80" spans="1:9" ht="15.75" thickBot="1">
      <c r="A80" s="792" t="s">
        <v>418</v>
      </c>
      <c r="B80" s="793">
        <f>SUM(B78:B79)</f>
        <v>41</v>
      </c>
      <c r="C80" s="4"/>
      <c r="D80" s="4"/>
      <c r="E80" s="4"/>
      <c r="F80" s="4"/>
      <c r="G80" s="4"/>
      <c r="H80" s="4"/>
      <c r="I80" s="4"/>
    </row>
    <row r="81" spans="1:9" ht="12.75">
      <c r="A81" s="4"/>
      <c r="B81" s="4"/>
      <c r="C81" s="4"/>
      <c r="D81" s="4"/>
      <c r="E81" s="4"/>
      <c r="F81" s="4"/>
      <c r="G81" s="4"/>
      <c r="H81" s="4"/>
      <c r="I81" s="4"/>
    </row>
    <row r="82" spans="1:9" ht="13.5" thickBot="1">
      <c r="A82" s="4"/>
      <c r="B82" s="4"/>
      <c r="C82" s="4"/>
      <c r="D82" s="4"/>
      <c r="E82" s="4"/>
      <c r="F82" s="4"/>
      <c r="G82" s="4"/>
      <c r="H82" s="4"/>
      <c r="I82" s="4"/>
    </row>
    <row r="83" spans="1:9" ht="27" thickBot="1">
      <c r="A83" s="815" t="s">
        <v>428</v>
      </c>
      <c r="B83" s="769"/>
      <c r="C83" s="4"/>
      <c r="D83" s="4"/>
      <c r="E83" s="4"/>
      <c r="F83" s="4"/>
      <c r="G83" s="4"/>
      <c r="H83" s="4"/>
      <c r="I83" s="4"/>
    </row>
    <row r="84" spans="1:9" ht="13.5" thickBot="1">
      <c r="A84" s="4"/>
      <c r="B84" s="4"/>
      <c r="C84" s="4"/>
      <c r="D84" s="4"/>
      <c r="E84" s="4"/>
      <c r="F84" s="4"/>
      <c r="G84" s="4"/>
      <c r="H84" s="4"/>
      <c r="I84" s="4"/>
    </row>
    <row r="85" spans="1:9" ht="30.75" thickBot="1">
      <c r="A85" s="794" t="s">
        <v>419</v>
      </c>
      <c r="B85" s="795" t="s">
        <v>420</v>
      </c>
      <c r="C85" s="795" t="s">
        <v>390</v>
      </c>
      <c r="D85" s="795" t="s">
        <v>421</v>
      </c>
      <c r="E85" s="795" t="s">
        <v>112</v>
      </c>
      <c r="F85" s="4"/>
      <c r="G85" s="4"/>
      <c r="H85" s="4"/>
      <c r="I85" s="4"/>
    </row>
    <row r="86" spans="1:9" ht="12.75">
      <c r="A86" s="796" t="s">
        <v>422</v>
      </c>
      <c r="B86" s="797">
        <f>B27</f>
        <v>1</v>
      </c>
      <c r="C86" s="798">
        <f>D27</f>
        <v>53060.4</v>
      </c>
      <c r="D86" s="799">
        <f>100%+$B$83</f>
        <v>1</v>
      </c>
      <c r="E86" s="800">
        <f>C86*D86</f>
        <v>53060.4</v>
      </c>
      <c r="F86" s="4"/>
      <c r="G86" s="4"/>
      <c r="H86" s="4"/>
      <c r="I86" s="4"/>
    </row>
    <row r="87" spans="1:9" ht="12.75">
      <c r="A87" s="801" t="s">
        <v>423</v>
      </c>
      <c r="B87" s="802">
        <f>B28</f>
        <v>2</v>
      </c>
      <c r="C87" s="803">
        <f>D28</f>
        <v>63672.48</v>
      </c>
      <c r="D87" s="804">
        <f>100%+$B$83</f>
        <v>1</v>
      </c>
      <c r="E87" s="805">
        <f>C87*D87</f>
        <v>63672.48</v>
      </c>
      <c r="F87" s="4"/>
      <c r="G87" s="4"/>
      <c r="H87" s="4"/>
      <c r="I87" s="4"/>
    </row>
    <row r="88" spans="1:9" ht="12.75">
      <c r="A88" s="770"/>
      <c r="B88" s="164"/>
      <c r="C88" s="164"/>
      <c r="D88" s="164"/>
      <c r="E88" s="4"/>
      <c r="F88" s="4"/>
      <c r="G88" s="4"/>
      <c r="H88" s="4"/>
      <c r="I88" s="4"/>
    </row>
    <row r="89" spans="1:9" ht="13.5" thickBot="1">
      <c r="A89" s="4"/>
      <c r="B89" s="4"/>
      <c r="C89" s="4"/>
      <c r="D89" s="4"/>
      <c r="E89" s="4"/>
      <c r="F89" s="4"/>
      <c r="G89" s="4"/>
      <c r="H89" s="4"/>
      <c r="I89" s="4"/>
    </row>
    <row r="90" spans="1:9" ht="39" thickBot="1">
      <c r="A90" s="452" t="s">
        <v>424</v>
      </c>
      <c r="B90" s="444" t="s">
        <v>113</v>
      </c>
      <c r="C90" s="705" t="s">
        <v>114</v>
      </c>
      <c r="D90" s="705" t="s">
        <v>115</v>
      </c>
      <c r="E90" s="4"/>
      <c r="F90" s="4"/>
      <c r="G90" s="4"/>
      <c r="H90" s="4"/>
      <c r="I90" s="4"/>
    </row>
    <row r="91" spans="1:9" ht="15.75" thickBot="1">
      <c r="A91" s="806" t="s">
        <v>116</v>
      </c>
      <c r="B91" s="807">
        <f>E86/(B86+0.00000000000001)</f>
        <v>53060.39999999947</v>
      </c>
      <c r="C91" s="701">
        <v>0</v>
      </c>
      <c r="D91" s="701">
        <f>E86</f>
        <v>53060.4</v>
      </c>
      <c r="E91" s="4"/>
      <c r="F91" s="4"/>
      <c r="G91" s="4"/>
      <c r="H91" s="4"/>
      <c r="I91" s="4"/>
    </row>
    <row r="92" spans="1:9" ht="15.75" thickBot="1">
      <c r="A92" s="806" t="s">
        <v>117</v>
      </c>
      <c r="B92" s="808">
        <f>VLOOKUP(B91,C91:D92,2,TRUE)</f>
        <v>53060.4</v>
      </c>
      <c r="C92" s="701">
        <v>90000</v>
      </c>
      <c r="D92" s="701">
        <f>B86*C92</f>
        <v>90000</v>
      </c>
      <c r="E92" s="4"/>
      <c r="F92" s="4"/>
      <c r="G92" s="4"/>
      <c r="H92" s="4"/>
      <c r="I92" s="4"/>
    </row>
    <row r="93" spans="1:9" ht="12.75">
      <c r="A93" s="4"/>
      <c r="B93" s="4"/>
      <c r="C93" s="4"/>
      <c r="D93" s="4"/>
      <c r="E93" s="4"/>
      <c r="F93" s="4"/>
      <c r="G93" s="4"/>
      <c r="H93" s="4"/>
      <c r="I93" s="4"/>
    </row>
    <row r="94" spans="1:9" ht="13.5" thickBot="1">
      <c r="A94" s="4"/>
      <c r="B94" s="4"/>
      <c r="C94" s="4"/>
      <c r="D94" s="4"/>
      <c r="E94" s="4"/>
      <c r="F94" s="4"/>
      <c r="G94" s="4"/>
      <c r="H94" s="4"/>
      <c r="I94" s="4"/>
    </row>
    <row r="95" spans="1:9" ht="39" thickBot="1">
      <c r="A95" s="452" t="s">
        <v>425</v>
      </c>
      <c r="B95" s="444" t="s">
        <v>113</v>
      </c>
      <c r="C95" s="705" t="s">
        <v>114</v>
      </c>
      <c r="D95" s="705" t="s">
        <v>115</v>
      </c>
      <c r="E95" s="4"/>
      <c r="F95" s="4"/>
      <c r="G95" s="4"/>
      <c r="H95" s="4"/>
      <c r="I95" s="4"/>
    </row>
    <row r="96" spans="1:9" ht="15.75" thickBot="1">
      <c r="A96" s="806" t="s">
        <v>116</v>
      </c>
      <c r="B96" s="807">
        <f>E87/(B87+0.00000000000001)</f>
        <v>31836.239999999838</v>
      </c>
      <c r="C96" s="701">
        <v>0</v>
      </c>
      <c r="D96" s="701">
        <f>E87</f>
        <v>63672.48</v>
      </c>
      <c r="E96" s="4"/>
      <c r="F96" s="4"/>
      <c r="G96" s="4"/>
      <c r="H96" s="4"/>
      <c r="I96" s="4"/>
    </row>
    <row r="97" spans="1:9" ht="15.75" thickBot="1">
      <c r="A97" s="806" t="s">
        <v>117</v>
      </c>
      <c r="B97" s="808">
        <f>VLOOKUP(B96,C96:D97,2,TRUE)</f>
        <v>63672.48</v>
      </c>
      <c r="C97" s="701">
        <v>40000</v>
      </c>
      <c r="D97" s="701">
        <f>B87*C97</f>
        <v>80000</v>
      </c>
      <c r="E97" s="4"/>
      <c r="F97" s="4"/>
      <c r="G97" s="4"/>
      <c r="H97" s="4"/>
      <c r="I97" s="4"/>
    </row>
    <row r="98" spans="1:9" ht="12.75">
      <c r="A98" s="4"/>
      <c r="B98" s="4"/>
      <c r="C98" s="4"/>
      <c r="D98" s="4"/>
      <c r="E98" s="4"/>
      <c r="F98" s="4"/>
      <c r="G98" s="4"/>
      <c r="H98" s="4"/>
      <c r="I98" s="4"/>
    </row>
    <row r="99" spans="1:9" ht="13.5" thickBot="1">
      <c r="A99" s="4"/>
      <c r="B99" s="4"/>
      <c r="C99" s="4"/>
      <c r="D99" s="4"/>
      <c r="E99" s="4"/>
      <c r="F99" s="4"/>
      <c r="G99" s="4"/>
      <c r="H99" s="4"/>
      <c r="I99" s="4"/>
    </row>
    <row r="100" spans="1:9" ht="15.75" thickBot="1">
      <c r="A100" s="809" t="s">
        <v>426</v>
      </c>
      <c r="B100" s="810">
        <f>B92+B97</f>
        <v>116732.88</v>
      </c>
      <c r="C100" s="4"/>
      <c r="D100" s="4"/>
      <c r="E100" s="4"/>
      <c r="F100" s="4"/>
      <c r="G100" s="4"/>
      <c r="H100" s="4"/>
      <c r="I100" s="4"/>
    </row>
    <row r="101" spans="1:9" ht="12.75">
      <c r="A101" s="4"/>
      <c r="B101" s="4"/>
      <c r="C101" s="4"/>
      <c r="D101" s="4"/>
      <c r="E101" s="4"/>
      <c r="F101" s="4"/>
      <c r="G101" s="4"/>
      <c r="H101" s="4"/>
      <c r="I101" s="4"/>
    </row>
    <row r="102" spans="1:9" ht="12.75">
      <c r="A102" s="4"/>
      <c r="B102" s="4"/>
      <c r="C102" s="4"/>
      <c r="D102" s="4"/>
      <c r="E102" s="4"/>
      <c r="F102" s="4"/>
      <c r="G102" s="4"/>
      <c r="H102" s="4"/>
      <c r="I102" s="4"/>
    </row>
    <row r="103" spans="1:9" ht="12.75">
      <c r="A103" s="4"/>
      <c r="B103" s="4"/>
      <c r="C103" s="4"/>
      <c r="D103" s="4"/>
      <c r="E103" s="4"/>
      <c r="F103" s="4"/>
      <c r="G103" s="4"/>
      <c r="H103" s="4"/>
      <c r="I103" s="4"/>
    </row>
    <row r="104" spans="1:9" ht="12.75">
      <c r="A104" s="4"/>
      <c r="B104" s="4"/>
      <c r="C104" s="4"/>
      <c r="D104" s="4"/>
      <c r="E104" s="4"/>
      <c r="F104" s="4"/>
      <c r="G104" s="4"/>
      <c r="H104" s="4"/>
      <c r="I104"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05"/>
  <sheetViews>
    <sheetView zoomScale="55" zoomScaleNormal="55" zoomScalePageLayoutView="0" workbookViewId="0" topLeftCell="A1">
      <selection activeCell="A1" sqref="A1"/>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7" ht="13.5" thickBot="1">
      <c r="A1" s="888" t="str">
        <f>'Budget with Assumptions'!A2</f>
        <v>Chicago Classical Academy</v>
      </c>
      <c r="B1" s="4"/>
      <c r="C1" s="4"/>
      <c r="D1" s="4"/>
      <c r="E1" s="4"/>
      <c r="F1" s="4"/>
      <c r="G1" s="4"/>
    </row>
    <row r="2" spans="1:7" ht="12.75">
      <c r="A2" s="4"/>
      <c r="B2" s="4"/>
      <c r="C2" s="4"/>
      <c r="D2" s="4"/>
      <c r="E2" s="4"/>
      <c r="F2" s="4"/>
      <c r="G2" s="4"/>
    </row>
    <row r="3" spans="1:7" ht="12.75">
      <c r="A3" s="4"/>
      <c r="B3" s="4"/>
      <c r="C3" s="4"/>
      <c r="D3" s="4"/>
      <c r="E3" s="4"/>
      <c r="F3" s="4"/>
      <c r="G3" s="4"/>
    </row>
    <row r="4" spans="1:7" ht="13.5" thickBot="1">
      <c r="A4" s="4"/>
      <c r="B4" s="4"/>
      <c r="C4" s="4"/>
      <c r="D4" s="4"/>
      <c r="E4" s="4"/>
      <c r="F4" s="4"/>
      <c r="G4" s="4"/>
    </row>
    <row r="5" spans="1:7" ht="77.25" thickBot="1">
      <c r="A5" s="815" t="s">
        <v>427</v>
      </c>
      <c r="B5" s="812">
        <v>0.02</v>
      </c>
      <c r="C5" s="4"/>
      <c r="D5" s="4"/>
      <c r="E5" s="4"/>
      <c r="F5" s="4"/>
      <c r="G5" s="4"/>
    </row>
    <row r="6" spans="1:7" ht="12.75">
      <c r="A6" s="4"/>
      <c r="B6" s="4"/>
      <c r="C6" s="4"/>
      <c r="D6" s="4"/>
      <c r="E6" s="4"/>
      <c r="F6" s="4"/>
      <c r="G6" s="4"/>
    </row>
    <row r="7" spans="1:7" ht="12.75">
      <c r="A7" s="4"/>
      <c r="B7" s="4"/>
      <c r="C7" s="4"/>
      <c r="D7" s="4"/>
      <c r="E7" s="4"/>
      <c r="F7" s="4"/>
      <c r="G7" s="4"/>
    </row>
    <row r="8" spans="1:7" ht="13.5" thickBot="1">
      <c r="A8" s="4"/>
      <c r="B8" s="4"/>
      <c r="C8" s="4"/>
      <c r="D8" s="4"/>
      <c r="E8" s="4"/>
      <c r="F8" s="4"/>
      <c r="G8" s="4"/>
    </row>
    <row r="9" spans="1:7" ht="15" thickBot="1">
      <c r="A9" s="956" t="s">
        <v>503</v>
      </c>
      <c r="B9" s="957"/>
      <c r="C9" s="957"/>
      <c r="D9" s="958"/>
      <c r="E9" s="754"/>
      <c r="F9" s="754"/>
      <c r="G9" s="754"/>
    </row>
    <row r="10" spans="1:7" ht="15" thickBot="1">
      <c r="A10" s="959" t="s">
        <v>395</v>
      </c>
      <c r="B10" s="960"/>
      <c r="C10" s="960"/>
      <c r="D10" s="961"/>
      <c r="E10" s="754"/>
      <c r="F10" s="754"/>
      <c r="G10" s="754"/>
    </row>
    <row r="11" spans="1:7" ht="90.75" thickBot="1">
      <c r="A11" s="771" t="s">
        <v>387</v>
      </c>
      <c r="B11" s="771" t="s">
        <v>388</v>
      </c>
      <c r="C11" s="771" t="s">
        <v>389</v>
      </c>
      <c r="D11" s="772" t="s">
        <v>390</v>
      </c>
      <c r="E11" s="738" t="s">
        <v>396</v>
      </c>
      <c r="F11" s="738" t="s">
        <v>397</v>
      </c>
      <c r="G11" s="738" t="s">
        <v>398</v>
      </c>
    </row>
    <row r="12" spans="1:7" ht="16.5" thickBot="1">
      <c r="A12" s="953"/>
      <c r="B12" s="954"/>
      <c r="C12" s="954"/>
      <c r="D12" s="955"/>
      <c r="E12" s="762">
        <v>0.05</v>
      </c>
      <c r="F12" s="773">
        <v>0.1116</v>
      </c>
      <c r="G12" s="774">
        <v>0.0145</v>
      </c>
    </row>
    <row r="13" spans="1:7" ht="15">
      <c r="A13" s="744" t="str">
        <f>'[1]Salaries - Year 4'!A13</f>
        <v>Principal: Lower Grades</v>
      </c>
      <c r="B13" s="763">
        <v>1</v>
      </c>
      <c r="C13" s="746">
        <f>('Salaries - Year 4'!C13)*(1+$B$5)</f>
        <v>99367.27228800001</v>
      </c>
      <c r="D13" s="757">
        <f>B13*C13</f>
        <v>99367.27228800001</v>
      </c>
      <c r="E13" s="775">
        <f>D13*$E$12</f>
        <v>4968.363614400001</v>
      </c>
      <c r="F13" s="776">
        <f>D13*$F$12</f>
        <v>11089.387587340801</v>
      </c>
      <c r="G13" s="775">
        <f>D13*$G$12</f>
        <v>1440.8254481760002</v>
      </c>
    </row>
    <row r="14" spans="1:7" ht="15">
      <c r="A14" s="744" t="str">
        <f>'[1]Salaries - Year 4'!A14</f>
        <v>Teachers</v>
      </c>
      <c r="B14" s="764">
        <v>25</v>
      </c>
      <c r="C14" s="746">
        <v>52587.4095168</v>
      </c>
      <c r="D14" s="757">
        <f aca="true" t="shared" si="0" ref="D14:D34">B14*C14</f>
        <v>1314685.23792</v>
      </c>
      <c r="E14" s="775">
        <f aca="true" t="shared" si="1" ref="E14:E34">D14*$E$12</f>
        <v>65734.261896</v>
      </c>
      <c r="F14" s="776">
        <f aca="true" t="shared" si="2" ref="F14:F26">D14*$F$12</f>
        <v>146718.87255187202</v>
      </c>
      <c r="G14" s="775">
        <f aca="true" t="shared" si="3" ref="G14:G34">D14*$G$12</f>
        <v>19062.93594984</v>
      </c>
    </row>
    <row r="15" spans="1:7" ht="15">
      <c r="A15" s="744" t="str">
        <f>'[1]Salaries - Year 4'!A15</f>
        <v>Assistant Principal</v>
      </c>
      <c r="B15" s="764">
        <v>1</v>
      </c>
      <c r="C15" s="746">
        <f>('Salaries - Year 4'!C15)*(1+$B$5)</f>
        <v>72828</v>
      </c>
      <c r="D15" s="757">
        <f t="shared" si="0"/>
        <v>72828</v>
      </c>
      <c r="E15" s="775">
        <f t="shared" si="1"/>
        <v>3641.4</v>
      </c>
      <c r="F15" s="776">
        <f t="shared" si="2"/>
        <v>8127.6048</v>
      </c>
      <c r="G15" s="775">
        <f t="shared" si="3"/>
        <v>1056.006</v>
      </c>
    </row>
    <row r="16" spans="1:7" ht="15">
      <c r="A16" s="736"/>
      <c r="B16" s="764"/>
      <c r="C16" s="746">
        <f>('Salaries - Year 4'!C16)*(1+$B$5)</f>
        <v>0</v>
      </c>
      <c r="D16" s="757">
        <f t="shared" si="0"/>
        <v>0</v>
      </c>
      <c r="E16" s="775">
        <f t="shared" si="1"/>
        <v>0</v>
      </c>
      <c r="F16" s="776">
        <f t="shared" si="2"/>
        <v>0</v>
      </c>
      <c r="G16" s="775">
        <f t="shared" si="3"/>
        <v>0</v>
      </c>
    </row>
    <row r="17" spans="1:7" ht="15">
      <c r="A17" s="736"/>
      <c r="B17" s="764"/>
      <c r="C17" s="746">
        <f>('Salaries - Year 4'!C17)*(1+$B$5)</f>
        <v>0</v>
      </c>
      <c r="D17" s="757">
        <f t="shared" si="0"/>
        <v>0</v>
      </c>
      <c r="E17" s="775">
        <f t="shared" si="1"/>
        <v>0</v>
      </c>
      <c r="F17" s="776">
        <f t="shared" si="2"/>
        <v>0</v>
      </c>
      <c r="G17" s="775">
        <f t="shared" si="3"/>
        <v>0</v>
      </c>
    </row>
    <row r="18" spans="1:7" ht="15">
      <c r="A18" s="736"/>
      <c r="B18" s="764"/>
      <c r="C18" s="746">
        <f>('Salaries - Year 4'!C18)*(1+$B$5)</f>
        <v>0</v>
      </c>
      <c r="D18" s="757">
        <f t="shared" si="0"/>
        <v>0</v>
      </c>
      <c r="E18" s="775">
        <f t="shared" si="1"/>
        <v>0</v>
      </c>
      <c r="F18" s="776">
        <f t="shared" si="2"/>
        <v>0</v>
      </c>
      <c r="G18" s="775">
        <f t="shared" si="3"/>
        <v>0</v>
      </c>
    </row>
    <row r="19" spans="1:7" ht="15">
      <c r="A19" s="736"/>
      <c r="B19" s="764"/>
      <c r="C19" s="746">
        <f>('Salaries - Year 4'!C19)*(1+$B$5)</f>
        <v>0</v>
      </c>
      <c r="D19" s="757">
        <f t="shared" si="0"/>
        <v>0</v>
      </c>
      <c r="E19" s="775">
        <f t="shared" si="1"/>
        <v>0</v>
      </c>
      <c r="F19" s="776">
        <f t="shared" si="2"/>
        <v>0</v>
      </c>
      <c r="G19" s="775">
        <f t="shared" si="3"/>
        <v>0</v>
      </c>
    </row>
    <row r="20" spans="1:7" ht="15">
      <c r="A20" s="736"/>
      <c r="B20" s="764"/>
      <c r="C20" s="746">
        <f>('Salaries - Year 4'!C20)*(1+$B$5)</f>
        <v>0</v>
      </c>
      <c r="D20" s="757">
        <f t="shared" si="0"/>
        <v>0</v>
      </c>
      <c r="E20" s="775">
        <f t="shared" si="1"/>
        <v>0</v>
      </c>
      <c r="F20" s="776">
        <f t="shared" si="2"/>
        <v>0</v>
      </c>
      <c r="G20" s="775">
        <f t="shared" si="3"/>
        <v>0</v>
      </c>
    </row>
    <row r="21" spans="1:7" ht="15">
      <c r="A21" s="736"/>
      <c r="B21" s="764"/>
      <c r="C21" s="746">
        <f>('Salaries - Year 4'!C21)*(1+$B$5)</f>
        <v>0</v>
      </c>
      <c r="D21" s="757">
        <f t="shared" si="0"/>
        <v>0</v>
      </c>
      <c r="E21" s="775">
        <f t="shared" si="1"/>
        <v>0</v>
      </c>
      <c r="F21" s="776">
        <f t="shared" si="2"/>
        <v>0</v>
      </c>
      <c r="G21" s="775">
        <f t="shared" si="3"/>
        <v>0</v>
      </c>
    </row>
    <row r="22" spans="1:7" ht="15">
      <c r="A22" s="736"/>
      <c r="B22" s="764"/>
      <c r="C22" s="746">
        <f>('Salaries - Year 4'!C22)*(1+$B$5)</f>
        <v>0</v>
      </c>
      <c r="D22" s="757">
        <f t="shared" si="0"/>
        <v>0</v>
      </c>
      <c r="E22" s="775">
        <f t="shared" si="1"/>
        <v>0</v>
      </c>
      <c r="F22" s="776">
        <f t="shared" si="2"/>
        <v>0</v>
      </c>
      <c r="G22" s="775">
        <f t="shared" si="3"/>
        <v>0</v>
      </c>
    </row>
    <row r="23" spans="1:7" ht="15">
      <c r="A23" s="736"/>
      <c r="B23" s="764"/>
      <c r="C23" s="746">
        <f>('Salaries - Year 4'!C23)*(1+$B$5)</f>
        <v>0</v>
      </c>
      <c r="D23" s="757">
        <f t="shared" si="0"/>
        <v>0</v>
      </c>
      <c r="E23" s="775">
        <f t="shared" si="1"/>
        <v>0</v>
      </c>
      <c r="F23" s="776">
        <f t="shared" si="2"/>
        <v>0</v>
      </c>
      <c r="G23" s="775">
        <f t="shared" si="3"/>
        <v>0</v>
      </c>
    </row>
    <row r="24" spans="1:7" ht="15">
      <c r="A24" s="736"/>
      <c r="B24" s="764"/>
      <c r="C24" s="746">
        <f>('Salaries - Year 4'!C24)*(1+$B$5)</f>
        <v>0</v>
      </c>
      <c r="D24" s="757">
        <f t="shared" si="0"/>
        <v>0</v>
      </c>
      <c r="E24" s="775">
        <f t="shared" si="1"/>
        <v>0</v>
      </c>
      <c r="F24" s="776">
        <f t="shared" si="2"/>
        <v>0</v>
      </c>
      <c r="G24" s="775">
        <f t="shared" si="3"/>
        <v>0</v>
      </c>
    </row>
    <row r="25" spans="1:7" ht="15">
      <c r="A25" s="736"/>
      <c r="B25" s="764"/>
      <c r="C25" s="746">
        <f>('Salaries - Year 4'!C25)*(1+$B$5)</f>
        <v>0</v>
      </c>
      <c r="D25" s="757">
        <f t="shared" si="0"/>
        <v>0</v>
      </c>
      <c r="E25" s="775">
        <f t="shared" si="1"/>
        <v>0</v>
      </c>
      <c r="F25" s="776">
        <f t="shared" si="2"/>
        <v>0</v>
      </c>
      <c r="G25" s="775">
        <f t="shared" si="3"/>
        <v>0</v>
      </c>
    </row>
    <row r="26" spans="1:7" ht="15.75" thickBot="1">
      <c r="A26" s="750"/>
      <c r="B26" s="764"/>
      <c r="C26" s="746">
        <f>('Salaries - Year 4'!C26)*(1+$B$5)</f>
        <v>0</v>
      </c>
      <c r="D26" s="757">
        <f t="shared" si="0"/>
        <v>0</v>
      </c>
      <c r="E26" s="775">
        <f t="shared" si="1"/>
        <v>0</v>
      </c>
      <c r="F26" s="777">
        <f t="shared" si="2"/>
        <v>0</v>
      </c>
      <c r="G26" s="775">
        <f t="shared" si="3"/>
        <v>0</v>
      </c>
    </row>
    <row r="27" spans="1:7" ht="15">
      <c r="A27" s="739" t="s">
        <v>399</v>
      </c>
      <c r="B27" s="764">
        <v>1</v>
      </c>
      <c r="C27" s="746">
        <f>('Salaries - Year 4'!C27)*(1+$B$5)</f>
        <v>54121.608</v>
      </c>
      <c r="D27" s="757">
        <f t="shared" si="0"/>
        <v>54121.608</v>
      </c>
      <c r="E27" s="778">
        <f t="shared" si="1"/>
        <v>2706.0804000000003</v>
      </c>
      <c r="F27" s="779"/>
      <c r="G27" s="780">
        <f t="shared" si="3"/>
        <v>784.763316</v>
      </c>
    </row>
    <row r="28" spans="1:7" ht="15.75" thickBot="1">
      <c r="A28" s="740" t="s">
        <v>400</v>
      </c>
      <c r="B28" s="764">
        <v>2</v>
      </c>
      <c r="C28" s="746">
        <f>('Salaries - Year 4'!C28)*(1+$B$5)</f>
        <v>32472.9648</v>
      </c>
      <c r="D28" s="757">
        <f t="shared" si="0"/>
        <v>64945.9296</v>
      </c>
      <c r="E28" s="778">
        <f t="shared" si="1"/>
        <v>3247.2964800000004</v>
      </c>
      <c r="F28" s="781"/>
      <c r="G28" s="780">
        <f t="shared" si="3"/>
        <v>941.7159792000001</v>
      </c>
    </row>
    <row r="29" spans="1:7" ht="15.75" hidden="1" thickBot="1">
      <c r="A29" s="740" t="s">
        <v>401</v>
      </c>
      <c r="B29" s="764"/>
      <c r="C29" s="746">
        <f>('Salaries - Year 3'!C29)*(1+$B$5)</f>
        <v>0</v>
      </c>
      <c r="D29" s="757">
        <f t="shared" si="0"/>
        <v>0</v>
      </c>
      <c r="E29" s="778">
        <f t="shared" si="1"/>
        <v>0</v>
      </c>
      <c r="F29" s="781"/>
      <c r="G29" s="780">
        <f t="shared" si="3"/>
        <v>0</v>
      </c>
    </row>
    <row r="30" spans="1:7" ht="15.75" hidden="1" thickBot="1">
      <c r="A30" s="740" t="s">
        <v>402</v>
      </c>
      <c r="B30" s="764"/>
      <c r="C30" s="746">
        <f>('Salaries - Year 3'!C30)*(1+$B$5)</f>
        <v>0</v>
      </c>
      <c r="D30" s="757">
        <f t="shared" si="0"/>
        <v>0</v>
      </c>
      <c r="E30" s="778">
        <f t="shared" si="1"/>
        <v>0</v>
      </c>
      <c r="F30" s="781"/>
      <c r="G30" s="780">
        <f t="shared" si="3"/>
        <v>0</v>
      </c>
    </row>
    <row r="31" spans="1:7" ht="15.75" hidden="1" thickBot="1">
      <c r="A31" s="740" t="s">
        <v>403</v>
      </c>
      <c r="B31" s="764"/>
      <c r="C31" s="746">
        <f>('Salaries - Year 3'!C31)*(1+$B$5)</f>
        <v>0</v>
      </c>
      <c r="D31" s="757">
        <f t="shared" si="0"/>
        <v>0</v>
      </c>
      <c r="E31" s="778">
        <f t="shared" si="1"/>
        <v>0</v>
      </c>
      <c r="F31" s="781"/>
      <c r="G31" s="780">
        <f t="shared" si="3"/>
        <v>0</v>
      </c>
    </row>
    <row r="32" spans="1:7" ht="15.75" hidden="1" thickBot="1">
      <c r="A32" s="740" t="s">
        <v>404</v>
      </c>
      <c r="B32" s="764"/>
      <c r="C32" s="746">
        <f>('Salaries - Year 3'!C32)*(1+$B$5)</f>
        <v>0</v>
      </c>
      <c r="D32" s="757">
        <f t="shared" si="0"/>
        <v>0</v>
      </c>
      <c r="E32" s="778">
        <f t="shared" si="1"/>
        <v>0</v>
      </c>
      <c r="F32" s="781"/>
      <c r="G32" s="780">
        <f t="shared" si="3"/>
        <v>0</v>
      </c>
    </row>
    <row r="33" spans="1:7" ht="15.75" hidden="1" thickBot="1">
      <c r="A33" s="740" t="s">
        <v>405</v>
      </c>
      <c r="B33" s="764"/>
      <c r="C33" s="746">
        <f>('Salaries - Year 3'!C33)*(1+$B$5)</f>
        <v>0</v>
      </c>
      <c r="D33" s="757">
        <f t="shared" si="0"/>
        <v>0</v>
      </c>
      <c r="E33" s="778">
        <f t="shared" si="1"/>
        <v>0</v>
      </c>
      <c r="F33" s="781"/>
      <c r="G33" s="780">
        <f t="shared" si="3"/>
        <v>0</v>
      </c>
    </row>
    <row r="34" spans="1:7" ht="15.75" hidden="1" thickBot="1">
      <c r="A34" s="741" t="s">
        <v>406</v>
      </c>
      <c r="B34" s="765"/>
      <c r="C34" s="746">
        <f>('Salaries - Year 3'!C34)*(1+$B$5)</f>
        <v>0</v>
      </c>
      <c r="D34" s="757">
        <f t="shared" si="0"/>
        <v>0</v>
      </c>
      <c r="E34" s="778">
        <f t="shared" si="1"/>
        <v>0</v>
      </c>
      <c r="F34" s="782"/>
      <c r="G34" s="780">
        <f t="shared" si="3"/>
        <v>0</v>
      </c>
    </row>
    <row r="35" spans="1:7" ht="15.75" thickBot="1">
      <c r="A35" s="783" t="s">
        <v>407</v>
      </c>
      <c r="B35" s="784">
        <f>SUM(B13:B28)</f>
        <v>30</v>
      </c>
      <c r="C35" s="760"/>
      <c r="D35" s="761">
        <f>SUM(D13:D28)</f>
        <v>1605948.047808</v>
      </c>
      <c r="E35" s="761">
        <f>SUM(E13:E28)</f>
        <v>80297.4023904</v>
      </c>
      <c r="F35" s="761">
        <f>SUM(F13:F28)</f>
        <v>165935.86493921283</v>
      </c>
      <c r="G35" s="761">
        <f>SUM(G13:G28)</f>
        <v>23286.246693216002</v>
      </c>
    </row>
    <row r="36" spans="1:7" ht="12.75">
      <c r="A36" s="962"/>
      <c r="B36" s="962"/>
      <c r="C36" s="962"/>
      <c r="D36" s="767"/>
      <c r="E36" s="754"/>
      <c r="F36" s="754"/>
      <c r="G36" s="754"/>
    </row>
    <row r="37" spans="1:7" ht="13.5" thickBot="1">
      <c r="A37" s="766"/>
      <c r="B37" s="766"/>
      <c r="C37" s="766"/>
      <c r="D37" s="767"/>
      <c r="E37" s="754"/>
      <c r="F37" s="754"/>
      <c r="G37" s="754"/>
    </row>
    <row r="38" spans="1:7" ht="15" thickBot="1">
      <c r="A38" s="956" t="s">
        <v>476</v>
      </c>
      <c r="B38" s="957"/>
      <c r="C38" s="957"/>
      <c r="D38" s="958"/>
      <c r="E38" s="754"/>
      <c r="F38" s="754"/>
      <c r="G38" s="754"/>
    </row>
    <row r="39" spans="1:7" ht="60.75" thickBot="1">
      <c r="A39" s="959" t="s">
        <v>408</v>
      </c>
      <c r="B39" s="960"/>
      <c r="C39" s="960"/>
      <c r="D39" s="961"/>
      <c r="E39" s="738" t="s">
        <v>409</v>
      </c>
      <c r="F39" s="738" t="s">
        <v>398</v>
      </c>
      <c r="G39" s="754"/>
    </row>
    <row r="40" spans="1:7" ht="16.5" thickBot="1">
      <c r="A40" s="953"/>
      <c r="B40" s="954"/>
      <c r="C40" s="954"/>
      <c r="D40" s="955"/>
      <c r="E40" s="774">
        <v>0.062</v>
      </c>
      <c r="F40" s="774">
        <v>0.0145</v>
      </c>
      <c r="G40" s="754"/>
    </row>
    <row r="41" spans="1:7" ht="15">
      <c r="A41" s="744" t="s">
        <v>391</v>
      </c>
      <c r="B41" s="763">
        <v>6</v>
      </c>
      <c r="C41" s="746">
        <f>('Salaries - Year 4'!C41)*(1+$B$5)</f>
        <v>21648.6432</v>
      </c>
      <c r="D41" s="757">
        <f>B41*C41</f>
        <v>129891.85919999999</v>
      </c>
      <c r="E41" s="775">
        <f>D41*$E$40</f>
        <v>8053.295270399999</v>
      </c>
      <c r="F41" s="775">
        <f>D41*$F$40</f>
        <v>1883.4319584</v>
      </c>
      <c r="G41" s="754"/>
    </row>
    <row r="42" spans="1:7" ht="15">
      <c r="A42" s="744" t="s">
        <v>531</v>
      </c>
      <c r="B42" s="764">
        <v>2</v>
      </c>
      <c r="C42" s="746">
        <f>('Salaries - Year 4'!C42)*(1+$B$5)</f>
        <v>37885.1256</v>
      </c>
      <c r="D42" s="757">
        <f aca="true" t="shared" si="4" ref="D42:D62">B42*C42</f>
        <v>75770.2512</v>
      </c>
      <c r="E42" s="785">
        <f aca="true" t="shared" si="5" ref="E42:E62">D42*$E$40</f>
        <v>4697.7555744</v>
      </c>
      <c r="F42" s="785">
        <f aca="true" t="shared" si="6" ref="F42:F62">D42*$F$40</f>
        <v>1098.6686424</v>
      </c>
      <c r="G42" s="754"/>
    </row>
    <row r="43" spans="1:7" ht="15">
      <c r="A43" s="744" t="s">
        <v>410</v>
      </c>
      <c r="B43" s="764">
        <v>1</v>
      </c>
      <c r="C43" s="746">
        <f>('Salaries - Year 4'!C43)*(1+$B$5)</f>
        <v>71765.252208</v>
      </c>
      <c r="D43" s="757">
        <f t="shared" si="4"/>
        <v>71765.252208</v>
      </c>
      <c r="E43" s="785">
        <f t="shared" si="5"/>
        <v>4449.445636896</v>
      </c>
      <c r="F43" s="785">
        <f t="shared" si="6"/>
        <v>1040.5961570160002</v>
      </c>
      <c r="G43" s="754"/>
    </row>
    <row r="44" spans="1:7" ht="15">
      <c r="A44" s="744" t="s">
        <v>532</v>
      </c>
      <c r="B44" s="764">
        <v>1</v>
      </c>
      <c r="C44" s="746">
        <f>('Salaries - Year 4'!C44)*(1+$B$5)</f>
        <v>43297.2864</v>
      </c>
      <c r="D44" s="757">
        <f t="shared" si="4"/>
        <v>43297.2864</v>
      </c>
      <c r="E44" s="785">
        <f t="shared" si="5"/>
        <v>2684.4317567999997</v>
      </c>
      <c r="F44" s="785">
        <f t="shared" si="6"/>
        <v>627.8106528</v>
      </c>
      <c r="G44" s="754"/>
    </row>
    <row r="45" spans="1:7" ht="15">
      <c r="A45" s="744" t="s">
        <v>533</v>
      </c>
      <c r="B45" s="764">
        <v>1</v>
      </c>
      <c r="C45" s="746">
        <f>('Salaries - Year 4'!C45)*(1+$B$5)</f>
        <v>43297.2864</v>
      </c>
      <c r="D45" s="757">
        <f t="shared" si="4"/>
        <v>43297.2864</v>
      </c>
      <c r="E45" s="785">
        <f t="shared" si="5"/>
        <v>2684.4317567999997</v>
      </c>
      <c r="F45" s="785">
        <f t="shared" si="6"/>
        <v>627.8106528</v>
      </c>
      <c r="G45" s="754"/>
    </row>
    <row r="46" spans="1:7" ht="15">
      <c r="A46" s="736"/>
      <c r="B46" s="764"/>
      <c r="C46" s="746">
        <v>0</v>
      </c>
      <c r="D46" s="757">
        <f t="shared" si="4"/>
        <v>0</v>
      </c>
      <c r="E46" s="785">
        <f t="shared" si="5"/>
        <v>0</v>
      </c>
      <c r="F46" s="785">
        <f t="shared" si="6"/>
        <v>0</v>
      </c>
      <c r="G46" s="754"/>
    </row>
    <row r="47" spans="1:7" ht="15">
      <c r="A47" s="744"/>
      <c r="B47" s="764"/>
      <c r="C47" s="746">
        <v>0</v>
      </c>
      <c r="D47" s="757">
        <f t="shared" si="4"/>
        <v>0</v>
      </c>
      <c r="E47" s="785">
        <f t="shared" si="5"/>
        <v>0</v>
      </c>
      <c r="F47" s="785">
        <f t="shared" si="6"/>
        <v>0</v>
      </c>
      <c r="G47" s="754"/>
    </row>
    <row r="48" spans="1:7" ht="15">
      <c r="A48" s="744"/>
      <c r="B48" s="764"/>
      <c r="C48" s="746">
        <v>0</v>
      </c>
      <c r="D48" s="757">
        <f t="shared" si="4"/>
        <v>0</v>
      </c>
      <c r="E48" s="785">
        <f t="shared" si="5"/>
        <v>0</v>
      </c>
      <c r="F48" s="785">
        <f t="shared" si="6"/>
        <v>0</v>
      </c>
      <c r="G48" s="754"/>
    </row>
    <row r="49" spans="1:7" ht="15">
      <c r="A49" s="744"/>
      <c r="B49" s="764"/>
      <c r="C49" s="746">
        <f>('Salaries - Year 4'!C49)*(1+$B$5)</f>
        <v>0</v>
      </c>
      <c r="D49" s="757">
        <f t="shared" si="4"/>
        <v>0</v>
      </c>
      <c r="E49" s="785">
        <f t="shared" si="5"/>
        <v>0</v>
      </c>
      <c r="F49" s="785">
        <f t="shared" si="6"/>
        <v>0</v>
      </c>
      <c r="G49" s="754"/>
    </row>
    <row r="50" spans="1:7" ht="15">
      <c r="A50" s="736"/>
      <c r="B50" s="764"/>
      <c r="C50" s="746">
        <f>('Salaries - Year 4'!C50)*(1+$B$5)</f>
        <v>0</v>
      </c>
      <c r="D50" s="757">
        <f t="shared" si="4"/>
        <v>0</v>
      </c>
      <c r="E50" s="785">
        <f t="shared" si="5"/>
        <v>0</v>
      </c>
      <c r="F50" s="785">
        <f t="shared" si="6"/>
        <v>0</v>
      </c>
      <c r="G50" s="754"/>
    </row>
    <row r="51" spans="1:7" ht="15">
      <c r="A51" s="736"/>
      <c r="B51" s="764"/>
      <c r="C51" s="746">
        <f>('Salaries - Year 4'!C51)*(1+$B$5)</f>
        <v>0</v>
      </c>
      <c r="D51" s="757">
        <f t="shared" si="4"/>
        <v>0</v>
      </c>
      <c r="E51" s="785">
        <f t="shared" si="5"/>
        <v>0</v>
      </c>
      <c r="F51" s="785">
        <f t="shared" si="6"/>
        <v>0</v>
      </c>
      <c r="G51" s="754"/>
    </row>
    <row r="52" spans="1:7" ht="15">
      <c r="A52" s="736"/>
      <c r="B52" s="764"/>
      <c r="C52" s="746">
        <f>('Salaries - Year 4'!C52)*(1+$B$5)</f>
        <v>0</v>
      </c>
      <c r="D52" s="757">
        <f t="shared" si="4"/>
        <v>0</v>
      </c>
      <c r="E52" s="785">
        <f t="shared" si="5"/>
        <v>0</v>
      </c>
      <c r="F52" s="785">
        <f t="shared" si="6"/>
        <v>0</v>
      </c>
      <c r="G52" s="754"/>
    </row>
    <row r="53" spans="1:7" ht="15">
      <c r="A53" s="737"/>
      <c r="B53" s="764"/>
      <c r="C53" s="746">
        <f>('Salaries - Year 4'!C53)*(1+$B$5)</f>
        <v>0</v>
      </c>
      <c r="D53" s="757">
        <f t="shared" si="4"/>
        <v>0</v>
      </c>
      <c r="E53" s="785">
        <f t="shared" si="5"/>
        <v>0</v>
      </c>
      <c r="F53" s="785">
        <f t="shared" si="6"/>
        <v>0</v>
      </c>
      <c r="G53" s="754"/>
    </row>
    <row r="54" spans="1:7" ht="15">
      <c r="A54" s="737"/>
      <c r="B54" s="764"/>
      <c r="C54" s="746">
        <f>('Salaries - Year 4'!C54)*(1+$B$5)</f>
        <v>0</v>
      </c>
      <c r="D54" s="757">
        <f t="shared" si="4"/>
        <v>0</v>
      </c>
      <c r="E54" s="785">
        <f t="shared" si="5"/>
        <v>0</v>
      </c>
      <c r="F54" s="785">
        <f t="shared" si="6"/>
        <v>0</v>
      </c>
      <c r="G54" s="754"/>
    </row>
    <row r="55" spans="1:7" ht="15">
      <c r="A55" s="737"/>
      <c r="B55" s="768"/>
      <c r="C55" s="746">
        <f>('Salaries - Year 4'!C55)*(1+$B$5)</f>
        <v>0</v>
      </c>
      <c r="D55" s="757">
        <f t="shared" si="4"/>
        <v>0</v>
      </c>
      <c r="E55" s="785">
        <f t="shared" si="5"/>
        <v>0</v>
      </c>
      <c r="F55" s="785">
        <f t="shared" si="6"/>
        <v>0</v>
      </c>
      <c r="G55" s="754"/>
    </row>
    <row r="56" spans="1:7" ht="15">
      <c r="A56" s="737"/>
      <c r="B56" s="768"/>
      <c r="C56" s="746">
        <f>('Salaries - Year 4'!C56)*(1+$B$5)</f>
        <v>0</v>
      </c>
      <c r="D56" s="757">
        <f t="shared" si="4"/>
        <v>0</v>
      </c>
      <c r="E56" s="785">
        <f t="shared" si="5"/>
        <v>0</v>
      </c>
      <c r="F56" s="785">
        <f t="shared" si="6"/>
        <v>0</v>
      </c>
      <c r="G56" s="754"/>
    </row>
    <row r="57" spans="1:7" ht="15">
      <c r="A57" s="737"/>
      <c r="B57" s="768"/>
      <c r="C57" s="746">
        <f>('Salaries - Year 4'!C57)*(1+$B$5)</f>
        <v>0</v>
      </c>
      <c r="D57" s="757">
        <f t="shared" si="4"/>
        <v>0</v>
      </c>
      <c r="E57" s="785">
        <f t="shared" si="5"/>
        <v>0</v>
      </c>
      <c r="F57" s="785">
        <f t="shared" si="6"/>
        <v>0</v>
      </c>
      <c r="G57" s="754"/>
    </row>
    <row r="58" spans="1:7" ht="15">
      <c r="A58" s="737"/>
      <c r="B58" s="768"/>
      <c r="C58" s="746">
        <f>('Salaries - Year 4'!C58)*(1+$B$5)</f>
        <v>0</v>
      </c>
      <c r="D58" s="757">
        <f t="shared" si="4"/>
        <v>0</v>
      </c>
      <c r="E58" s="785">
        <f t="shared" si="5"/>
        <v>0</v>
      </c>
      <c r="F58" s="785">
        <f t="shared" si="6"/>
        <v>0</v>
      </c>
      <c r="G58" s="754"/>
    </row>
    <row r="59" spans="1:7" ht="15">
      <c r="A59" s="737"/>
      <c r="B59" s="768"/>
      <c r="C59" s="746">
        <f>('Salaries - Year 4'!C59)*(1+$B$5)</f>
        <v>0</v>
      </c>
      <c r="D59" s="757">
        <f t="shared" si="4"/>
        <v>0</v>
      </c>
      <c r="E59" s="785">
        <f t="shared" si="5"/>
        <v>0</v>
      </c>
      <c r="F59" s="785">
        <f t="shared" si="6"/>
        <v>0</v>
      </c>
      <c r="G59" s="754"/>
    </row>
    <row r="60" spans="1:7" ht="15">
      <c r="A60" s="737"/>
      <c r="B60" s="768"/>
      <c r="C60" s="746">
        <f>('Salaries - Year 4'!C60)*(1+$B$5)</f>
        <v>0</v>
      </c>
      <c r="D60" s="757">
        <f t="shared" si="4"/>
        <v>0</v>
      </c>
      <c r="E60" s="785">
        <f t="shared" si="5"/>
        <v>0</v>
      </c>
      <c r="F60" s="785">
        <f t="shared" si="6"/>
        <v>0</v>
      </c>
      <c r="G60" s="754"/>
    </row>
    <row r="61" spans="1:7" ht="15">
      <c r="A61" s="737"/>
      <c r="B61" s="768"/>
      <c r="C61" s="746">
        <f>('Salaries - Year 4'!C61)*(1+$B$5)</f>
        <v>0</v>
      </c>
      <c r="D61" s="757">
        <f t="shared" si="4"/>
        <v>0</v>
      </c>
      <c r="E61" s="785">
        <f t="shared" si="5"/>
        <v>0</v>
      </c>
      <c r="F61" s="785">
        <f t="shared" si="6"/>
        <v>0</v>
      </c>
      <c r="G61" s="754"/>
    </row>
    <row r="62" spans="1:7" ht="15.75" thickBot="1">
      <c r="A62" s="742"/>
      <c r="B62" s="768"/>
      <c r="C62" s="746">
        <f>('Salaries - Year 4'!C62)*(1+$B$5)</f>
        <v>0</v>
      </c>
      <c r="D62" s="757">
        <f t="shared" si="4"/>
        <v>0</v>
      </c>
      <c r="E62" s="785">
        <f t="shared" si="5"/>
        <v>0</v>
      </c>
      <c r="F62" s="785">
        <f t="shared" si="6"/>
        <v>0</v>
      </c>
      <c r="G62" s="754"/>
    </row>
    <row r="63" spans="1:7" ht="15.75" thickBot="1">
      <c r="A63" s="783" t="s">
        <v>407</v>
      </c>
      <c r="B63" s="786">
        <f>SUM(B41:B62)</f>
        <v>11</v>
      </c>
      <c r="C63" s="787"/>
      <c r="D63" s="761">
        <f>SUM(D41:D62)</f>
        <v>364021.93540799996</v>
      </c>
      <c r="E63" s="761">
        <f>SUM(E41:E62)</f>
        <v>22569.359995296</v>
      </c>
      <c r="F63" s="761">
        <f>SUM(F41:F62)</f>
        <v>5278.318063416</v>
      </c>
      <c r="G63" s="754"/>
    </row>
    <row r="64" spans="1:7" ht="13.5" thickBot="1">
      <c r="A64" s="754"/>
      <c r="B64" s="754"/>
      <c r="C64" s="754"/>
      <c r="D64" s="754"/>
      <c r="E64" s="754"/>
      <c r="F64" s="754"/>
      <c r="G64" s="754"/>
    </row>
    <row r="65" spans="1:7" ht="15.75" thickBot="1">
      <c r="A65" s="788" t="s">
        <v>7</v>
      </c>
      <c r="B65" s="789" t="s">
        <v>113</v>
      </c>
      <c r="C65" s="754"/>
      <c r="D65" s="754"/>
      <c r="E65" s="754"/>
      <c r="F65" s="754"/>
      <c r="G65" s="754"/>
    </row>
    <row r="66" spans="1:7" ht="15.75" thickBot="1">
      <c r="A66" s="790" t="s">
        <v>411</v>
      </c>
      <c r="B66" s="761">
        <f>D35</f>
        <v>1605948.047808</v>
      </c>
      <c r="C66" s="754"/>
      <c r="D66" s="754"/>
      <c r="E66" s="754"/>
      <c r="F66" s="754"/>
      <c r="G66" s="754"/>
    </row>
    <row r="67" spans="1:7" ht="15.75" thickBot="1">
      <c r="A67" s="791" t="s">
        <v>412</v>
      </c>
      <c r="B67" s="761">
        <f>D63</f>
        <v>364021.93540799996</v>
      </c>
      <c r="C67" s="754"/>
      <c r="D67" s="754"/>
      <c r="E67" s="754"/>
      <c r="F67" s="754"/>
      <c r="G67" s="754"/>
    </row>
    <row r="68" spans="1:7" ht="15.75" thickBot="1">
      <c r="A68" s="792" t="s">
        <v>413</v>
      </c>
      <c r="B68" s="761">
        <f>SUM(B66:B67)</f>
        <v>1969969.9832159998</v>
      </c>
      <c r="C68" s="754"/>
      <c r="D68" s="754"/>
      <c r="E68" s="754"/>
      <c r="F68" s="754"/>
      <c r="G68" s="754"/>
    </row>
    <row r="69" spans="1:7" ht="12.75">
      <c r="A69" s="754"/>
      <c r="B69" s="754"/>
      <c r="C69" s="754"/>
      <c r="D69" s="754"/>
      <c r="E69" s="754"/>
      <c r="F69" s="754"/>
      <c r="G69" s="754"/>
    </row>
    <row r="70" spans="1:7" ht="13.5" thickBot="1">
      <c r="A70" s="754"/>
      <c r="B70" s="754"/>
      <c r="C70" s="754"/>
      <c r="D70" s="754"/>
      <c r="E70" s="754"/>
      <c r="F70" s="754"/>
      <c r="G70" s="754"/>
    </row>
    <row r="71" spans="1:7" ht="15.75" thickBot="1">
      <c r="A71" s="788" t="s">
        <v>414</v>
      </c>
      <c r="B71" s="789" t="s">
        <v>113</v>
      </c>
      <c r="C71" s="4"/>
      <c r="D71" s="4"/>
      <c r="E71" s="4"/>
      <c r="F71" s="4"/>
      <c r="G71" s="4"/>
    </row>
    <row r="72" spans="1:7" ht="15.75" thickBot="1">
      <c r="A72" s="790" t="s">
        <v>411</v>
      </c>
      <c r="B72" s="761">
        <f>G35</f>
        <v>23286.246693216002</v>
      </c>
      <c r="C72" s="4"/>
      <c r="D72" s="4"/>
      <c r="E72" s="4"/>
      <c r="F72" s="4"/>
      <c r="G72" s="4"/>
    </row>
    <row r="73" spans="1:7" ht="15.75" thickBot="1">
      <c r="A73" s="791" t="s">
        <v>412</v>
      </c>
      <c r="B73" s="761">
        <f>F63</f>
        <v>5278.318063416</v>
      </c>
      <c r="C73" s="4"/>
      <c r="D73" s="4"/>
      <c r="E73" s="4"/>
      <c r="F73" s="4"/>
      <c r="G73" s="4"/>
    </row>
    <row r="74" spans="1:7" ht="15.75" thickBot="1">
      <c r="A74" s="792" t="s">
        <v>415</v>
      </c>
      <c r="B74" s="761">
        <f>SUM(B72:B73)</f>
        <v>28564.564756632004</v>
      </c>
      <c r="C74" s="4"/>
      <c r="D74" s="4"/>
      <c r="E74" s="4"/>
      <c r="F74" s="4"/>
      <c r="G74" s="4"/>
    </row>
    <row r="75" spans="1:7" ht="12.75">
      <c r="A75" s="4"/>
      <c r="B75" s="4"/>
      <c r="C75" s="4"/>
      <c r="D75" s="4"/>
      <c r="E75" s="4"/>
      <c r="F75" s="4"/>
      <c r="G75" s="4"/>
    </row>
    <row r="76" spans="1:7" ht="13.5" thickBot="1">
      <c r="A76" s="4"/>
      <c r="B76" s="4"/>
      <c r="C76" s="4"/>
      <c r="D76" s="4"/>
      <c r="E76" s="4"/>
      <c r="F76" s="4"/>
      <c r="G76" s="4"/>
    </row>
    <row r="77" spans="1:7" ht="15.75" thickBot="1">
      <c r="A77" s="788" t="s">
        <v>27</v>
      </c>
      <c r="B77" s="789" t="s">
        <v>113</v>
      </c>
      <c r="C77" s="4"/>
      <c r="D77" s="4"/>
      <c r="E77" s="4"/>
      <c r="F77" s="4"/>
      <c r="G77" s="4"/>
    </row>
    <row r="78" spans="1:7" ht="15.75" thickBot="1">
      <c r="A78" s="790" t="s">
        <v>416</v>
      </c>
      <c r="B78" s="793">
        <f>B35</f>
        <v>30</v>
      </c>
      <c r="C78" s="4"/>
      <c r="D78" s="4"/>
      <c r="E78" s="4"/>
      <c r="F78" s="4"/>
      <c r="G78" s="4"/>
    </row>
    <row r="79" spans="1:7" ht="15.75" thickBot="1">
      <c r="A79" s="790" t="s">
        <v>417</v>
      </c>
      <c r="B79" s="793">
        <f>B63</f>
        <v>11</v>
      </c>
      <c r="C79" s="4"/>
      <c r="D79" s="4"/>
      <c r="E79" s="4"/>
      <c r="F79" s="4"/>
      <c r="G79" s="4"/>
    </row>
    <row r="80" spans="1:7" ht="15.75" thickBot="1">
      <c r="A80" s="792" t="s">
        <v>418</v>
      </c>
      <c r="B80" s="793">
        <f>SUM(B78:B79)</f>
        <v>41</v>
      </c>
      <c r="C80" s="4"/>
      <c r="D80" s="4"/>
      <c r="E80" s="4"/>
      <c r="F80" s="4"/>
      <c r="G80" s="4"/>
    </row>
    <row r="81" spans="1:7" ht="12.75">
      <c r="A81" s="4"/>
      <c r="B81" s="4"/>
      <c r="C81" s="4"/>
      <c r="D81" s="4"/>
      <c r="E81" s="4"/>
      <c r="F81" s="4"/>
      <c r="G81" s="4"/>
    </row>
    <row r="82" spans="1:7" ht="13.5" thickBot="1">
      <c r="A82" s="4"/>
      <c r="B82" s="4"/>
      <c r="C82" s="4"/>
      <c r="D82" s="4"/>
      <c r="E82" s="4"/>
      <c r="F82" s="4"/>
      <c r="G82" s="4"/>
    </row>
    <row r="83" spans="1:7" ht="27" thickBot="1">
      <c r="A83" s="815" t="s">
        <v>429</v>
      </c>
      <c r="B83" s="769"/>
      <c r="C83" s="4"/>
      <c r="D83" s="4"/>
      <c r="E83" s="4"/>
      <c r="F83" s="4"/>
      <c r="G83" s="4"/>
    </row>
    <row r="84" spans="1:7" ht="13.5" thickBot="1">
      <c r="A84" s="4"/>
      <c r="B84" s="4"/>
      <c r="C84" s="4"/>
      <c r="D84" s="4"/>
      <c r="E84" s="4"/>
      <c r="F84" s="4"/>
      <c r="G84" s="4"/>
    </row>
    <row r="85" spans="1:7" ht="30.75" thickBot="1">
      <c r="A85" s="794" t="s">
        <v>419</v>
      </c>
      <c r="B85" s="795" t="s">
        <v>420</v>
      </c>
      <c r="C85" s="795" t="s">
        <v>390</v>
      </c>
      <c r="D85" s="795" t="s">
        <v>421</v>
      </c>
      <c r="E85" s="795" t="s">
        <v>112</v>
      </c>
      <c r="F85" s="4"/>
      <c r="G85" s="4"/>
    </row>
    <row r="86" spans="1:7" ht="12.75">
      <c r="A86" s="796" t="s">
        <v>422</v>
      </c>
      <c r="B86" s="797">
        <f>B27</f>
        <v>1</v>
      </c>
      <c r="C86" s="798">
        <f>D27</f>
        <v>54121.608</v>
      </c>
      <c r="D86" s="799">
        <f>100%+$B$83</f>
        <v>1</v>
      </c>
      <c r="E86" s="800">
        <f>C86*D86</f>
        <v>54121.608</v>
      </c>
      <c r="F86" s="4"/>
      <c r="G86" s="4"/>
    </row>
    <row r="87" spans="1:7" ht="12.75">
      <c r="A87" s="801" t="s">
        <v>423</v>
      </c>
      <c r="B87" s="802">
        <f>B28</f>
        <v>2</v>
      </c>
      <c r="C87" s="803">
        <f>D28</f>
        <v>64945.9296</v>
      </c>
      <c r="D87" s="804">
        <f>100%+$B$83</f>
        <v>1</v>
      </c>
      <c r="E87" s="805">
        <f>C87*D87</f>
        <v>64945.9296</v>
      </c>
      <c r="F87" s="4"/>
      <c r="G87" s="4"/>
    </row>
    <row r="88" spans="1:7" ht="12.75">
      <c r="A88" s="770"/>
      <c r="B88" s="164"/>
      <c r="C88" s="164"/>
      <c r="D88" s="164"/>
      <c r="E88" s="4"/>
      <c r="F88" s="4"/>
      <c r="G88" s="4"/>
    </row>
    <row r="89" spans="1:7" ht="13.5" thickBot="1">
      <c r="A89" s="4"/>
      <c r="B89" s="4"/>
      <c r="C89" s="4"/>
      <c r="D89" s="4"/>
      <c r="E89" s="4"/>
      <c r="F89" s="4"/>
      <c r="G89" s="4"/>
    </row>
    <row r="90" spans="1:7" ht="39" thickBot="1">
      <c r="A90" s="452" t="s">
        <v>424</v>
      </c>
      <c r="B90" s="444" t="s">
        <v>113</v>
      </c>
      <c r="C90" s="705" t="s">
        <v>114</v>
      </c>
      <c r="D90" s="705" t="s">
        <v>115</v>
      </c>
      <c r="E90" s="4"/>
      <c r="F90" s="4"/>
      <c r="G90" s="4"/>
    </row>
    <row r="91" spans="1:7" ht="15.75" thickBot="1">
      <c r="A91" s="806" t="s">
        <v>116</v>
      </c>
      <c r="B91" s="807">
        <f>E86/(B86+0.00000000000001)</f>
        <v>54121.60799999946</v>
      </c>
      <c r="C91" s="701">
        <v>0</v>
      </c>
      <c r="D91" s="701">
        <f>E86</f>
        <v>54121.608</v>
      </c>
      <c r="E91" s="4"/>
      <c r="F91" s="4"/>
      <c r="G91" s="4"/>
    </row>
    <row r="92" spans="1:7" ht="15.75" thickBot="1">
      <c r="A92" s="806" t="s">
        <v>117</v>
      </c>
      <c r="B92" s="808">
        <f>VLOOKUP(B91,C91:D92,2,TRUE)</f>
        <v>54121.608</v>
      </c>
      <c r="C92" s="701">
        <v>90000</v>
      </c>
      <c r="D92" s="701">
        <f>B86*C92</f>
        <v>90000</v>
      </c>
      <c r="E92" s="4"/>
      <c r="F92" s="4"/>
      <c r="G92" s="4"/>
    </row>
    <row r="93" spans="1:7" ht="12.75">
      <c r="A93" s="4"/>
      <c r="B93" s="4"/>
      <c r="C93" s="4"/>
      <c r="D93" s="4"/>
      <c r="E93" s="4"/>
      <c r="F93" s="4"/>
      <c r="G93" s="4"/>
    </row>
    <row r="94" spans="1:7" ht="13.5" thickBot="1">
      <c r="A94" s="4"/>
      <c r="B94" s="4"/>
      <c r="C94" s="4"/>
      <c r="D94" s="4"/>
      <c r="E94" s="4"/>
      <c r="F94" s="4"/>
      <c r="G94" s="4"/>
    </row>
    <row r="95" spans="1:7" ht="39" thickBot="1">
      <c r="A95" s="452" t="s">
        <v>425</v>
      </c>
      <c r="B95" s="444" t="s">
        <v>113</v>
      </c>
      <c r="C95" s="705" t="s">
        <v>114</v>
      </c>
      <c r="D95" s="705" t="s">
        <v>115</v>
      </c>
      <c r="E95" s="4"/>
      <c r="F95" s="4"/>
      <c r="G95" s="4"/>
    </row>
    <row r="96" spans="1:7" ht="15.75" thickBot="1">
      <c r="A96" s="806" t="s">
        <v>116</v>
      </c>
      <c r="B96" s="807">
        <f>E87/(B87+0.00000000000001)</f>
        <v>32472.964799999834</v>
      </c>
      <c r="C96" s="701">
        <v>0</v>
      </c>
      <c r="D96" s="701">
        <f>E87</f>
        <v>64945.9296</v>
      </c>
      <c r="E96" s="4"/>
      <c r="F96" s="4"/>
      <c r="G96" s="4"/>
    </row>
    <row r="97" spans="1:7" ht="15.75" thickBot="1">
      <c r="A97" s="806" t="s">
        <v>117</v>
      </c>
      <c r="B97" s="808">
        <f>VLOOKUP(B96,C96:D97,2,TRUE)</f>
        <v>64945.9296</v>
      </c>
      <c r="C97" s="701">
        <v>40000</v>
      </c>
      <c r="D97" s="701">
        <f>B87*C97</f>
        <v>80000</v>
      </c>
      <c r="E97" s="4"/>
      <c r="F97" s="4"/>
      <c r="G97" s="4"/>
    </row>
    <row r="98" spans="1:7" ht="12.75">
      <c r="A98" s="4"/>
      <c r="B98" s="4"/>
      <c r="C98" s="4"/>
      <c r="D98" s="4"/>
      <c r="E98" s="4"/>
      <c r="F98" s="4"/>
      <c r="G98" s="4"/>
    </row>
    <row r="99" spans="1:7" ht="13.5" thickBot="1">
      <c r="A99" s="4"/>
      <c r="B99" s="4"/>
      <c r="C99" s="4"/>
      <c r="D99" s="4"/>
      <c r="E99" s="4"/>
      <c r="F99" s="4"/>
      <c r="G99" s="4"/>
    </row>
    <row r="100" spans="1:7" ht="15.75" thickBot="1">
      <c r="A100" s="809" t="s">
        <v>426</v>
      </c>
      <c r="B100" s="810">
        <f>B92+B97</f>
        <v>119067.53760000001</v>
      </c>
      <c r="C100" s="4"/>
      <c r="D100" s="4"/>
      <c r="E100" s="4"/>
      <c r="F100" s="4"/>
      <c r="G100" s="4"/>
    </row>
    <row r="101" spans="1:7" ht="12.75">
      <c r="A101" s="4"/>
      <c r="B101" s="4"/>
      <c r="C101" s="4"/>
      <c r="D101" s="4"/>
      <c r="E101" s="4"/>
      <c r="F101" s="4"/>
      <c r="G101" s="4"/>
    </row>
    <row r="102" spans="1:7" ht="12.75">
      <c r="A102" s="4"/>
      <c r="B102" s="4"/>
      <c r="C102" s="4"/>
      <c r="D102" s="4"/>
      <c r="E102" s="4"/>
      <c r="F102" s="4"/>
      <c r="G102" s="4"/>
    </row>
    <row r="103" spans="1:7" ht="12.75">
      <c r="A103" s="4"/>
      <c r="B103" s="4"/>
      <c r="C103" s="4"/>
      <c r="D103" s="4"/>
      <c r="E103" s="4"/>
      <c r="F103" s="4"/>
      <c r="G103" s="4"/>
    </row>
    <row r="104" spans="1:6" ht="12.75">
      <c r="A104" s="4"/>
      <c r="B104" s="4"/>
      <c r="C104" s="4"/>
      <c r="D104" s="4"/>
      <c r="E104" s="4"/>
      <c r="F104" s="4"/>
    </row>
    <row r="105" spans="1:6" ht="12.75">
      <c r="A105" s="4"/>
      <c r="B105" s="4"/>
      <c r="C105" s="4"/>
      <c r="D105" s="4"/>
      <c r="E105" s="4"/>
      <c r="F105"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79.00390625" style="0" customWidth="1"/>
    <col min="2" max="7" width="15.7109375" style="0" customWidth="1"/>
  </cols>
  <sheetData>
    <row r="1" spans="1:7" ht="18">
      <c r="A1" s="708" t="str">
        <f>'Budget with Assumptions'!$A$2</f>
        <v>Chicago Classical Academy</v>
      </c>
      <c r="B1" s="85"/>
      <c r="C1" s="84"/>
      <c r="D1" s="84"/>
      <c r="E1" s="73"/>
      <c r="F1" s="73"/>
      <c r="G1" s="73"/>
    </row>
    <row r="2" spans="1:7" ht="18.75" thickBot="1">
      <c r="A2" s="709" t="s">
        <v>343</v>
      </c>
      <c r="B2" s="85"/>
      <c r="C2" s="84"/>
      <c r="D2" s="84"/>
      <c r="E2" s="73"/>
      <c r="F2" s="73"/>
      <c r="G2" s="73"/>
    </row>
    <row r="3" spans="2:7" ht="15.75">
      <c r="B3" s="85"/>
      <c r="C3" s="84"/>
      <c r="D3" s="84"/>
      <c r="E3" s="73"/>
      <c r="F3" s="73"/>
      <c r="G3" s="73"/>
    </row>
    <row r="4" spans="1:7" ht="19.5" customHeight="1">
      <c r="A4" s="696"/>
      <c r="B4" s="74"/>
      <c r="C4" s="74"/>
      <c r="D4" s="74"/>
      <c r="E4" s="74"/>
      <c r="F4" s="74"/>
      <c r="G4" s="74"/>
    </row>
    <row r="5" spans="1:7" ht="13.5" thickBot="1">
      <c r="A5" s="75"/>
      <c r="B5" s="75"/>
      <c r="C5" s="75"/>
      <c r="D5" s="75"/>
      <c r="E5" s="75"/>
      <c r="F5" s="75"/>
      <c r="G5" s="75"/>
    </row>
    <row r="6" spans="1:7" ht="19.5" customHeight="1" thickBot="1">
      <c r="A6" s="698"/>
      <c r="B6" s="966" t="s">
        <v>341</v>
      </c>
      <c r="C6" s="967"/>
      <c r="D6" s="967"/>
      <c r="E6" s="967"/>
      <c r="F6" s="967"/>
      <c r="G6" s="968"/>
    </row>
    <row r="7" spans="1:7" ht="18.75" customHeight="1" thickBot="1">
      <c r="A7" s="702" t="s">
        <v>339</v>
      </c>
      <c r="B7" s="704" t="s">
        <v>126</v>
      </c>
      <c r="C7" s="705">
        <f>'Budget with Assumptions'!L9</f>
        <v>2019</v>
      </c>
      <c r="D7" s="705">
        <f>'Budget with Assumptions'!N9</f>
        <v>2020</v>
      </c>
      <c r="E7" s="705">
        <f>'Budget with Assumptions'!P9</f>
        <v>2021</v>
      </c>
      <c r="F7" s="705">
        <f>'Budget with Assumptions'!R9</f>
        <v>2022</v>
      </c>
      <c r="G7" s="705">
        <f>'Budget with Assumptions'!T9</f>
        <v>2023</v>
      </c>
    </row>
    <row r="8" spans="1:7" ht="12.75">
      <c r="A8" s="703" t="s">
        <v>47</v>
      </c>
      <c r="B8" s="697" t="s">
        <v>163</v>
      </c>
      <c r="C8" s="103"/>
      <c r="D8" s="103"/>
      <c r="E8" s="103"/>
      <c r="F8" s="103"/>
      <c r="G8" s="103"/>
    </row>
    <row r="9" spans="1:7" ht="12.75">
      <c r="A9" s="703" t="s">
        <v>48</v>
      </c>
      <c r="B9" s="697" t="s">
        <v>163</v>
      </c>
      <c r="C9" s="103"/>
      <c r="D9" s="103"/>
      <c r="E9" s="103"/>
      <c r="F9" s="103"/>
      <c r="G9" s="103"/>
    </row>
    <row r="10" spans="1:7" ht="12.75">
      <c r="A10" s="703" t="s">
        <v>49</v>
      </c>
      <c r="B10" s="697" t="s">
        <v>163</v>
      </c>
      <c r="C10" s="103"/>
      <c r="D10" s="103"/>
      <c r="E10" s="103"/>
      <c r="F10" s="103"/>
      <c r="G10" s="103"/>
    </row>
    <row r="11" spans="1:7" ht="12.75">
      <c r="A11" s="703" t="s">
        <v>50</v>
      </c>
      <c r="B11" s="697" t="s">
        <v>163</v>
      </c>
      <c r="C11" s="103"/>
      <c r="D11" s="103"/>
      <c r="E11" s="103"/>
      <c r="F11" s="103"/>
      <c r="G11" s="103"/>
    </row>
    <row r="12" spans="1:7" ht="12.75">
      <c r="A12" s="703" t="s">
        <v>51</v>
      </c>
      <c r="B12" s="697" t="s">
        <v>163</v>
      </c>
      <c r="C12" s="103"/>
      <c r="D12" s="103"/>
      <c r="E12" s="103"/>
      <c r="F12" s="103"/>
      <c r="G12" s="103"/>
    </row>
    <row r="13" spans="1:7" ht="13.5" thickBot="1">
      <c r="A13" s="712" t="s">
        <v>52</v>
      </c>
      <c r="B13" s="697" t="s">
        <v>163</v>
      </c>
      <c r="C13" s="106"/>
      <c r="D13" s="103"/>
      <c r="E13" s="103"/>
      <c r="F13" s="103"/>
      <c r="G13" s="103"/>
    </row>
    <row r="14" spans="1:7" ht="23.25" customHeight="1" thickBot="1">
      <c r="A14" s="714" t="s">
        <v>345</v>
      </c>
      <c r="B14" s="76"/>
      <c r="C14" s="713">
        <f>SUM(C8:C13)</f>
        <v>0</v>
      </c>
      <c r="D14" s="713">
        <f>SUM(D8:D13)</f>
        <v>0</v>
      </c>
      <c r="E14" s="713">
        <f>SUM(E8:E13)</f>
        <v>0</v>
      </c>
      <c r="F14" s="713">
        <f>SUM(F8:F13)</f>
        <v>0</v>
      </c>
      <c r="G14" s="713">
        <f>SUM(G8:G13)</f>
        <v>0</v>
      </c>
    </row>
    <row r="15" spans="1:7" ht="13.5" thickBot="1">
      <c r="A15" s="74"/>
      <c r="B15" s="74"/>
      <c r="C15" s="74"/>
      <c r="D15" s="74"/>
      <c r="E15" s="74"/>
      <c r="F15" s="74"/>
      <c r="G15" s="74"/>
    </row>
    <row r="16" spans="1:7" ht="18.75" customHeight="1" thickBot="1">
      <c r="A16" s="706" t="str">
        <f aca="true" t="shared" si="0" ref="A16:A22">A7</f>
        <v>Clinician Position</v>
      </c>
      <c r="B16" s="966" t="s">
        <v>342</v>
      </c>
      <c r="C16" s="967"/>
      <c r="D16" s="967"/>
      <c r="E16" s="967"/>
      <c r="F16" s="967"/>
      <c r="G16" s="968"/>
    </row>
    <row r="17" spans="1:7" ht="12.75">
      <c r="A17" s="302" t="str">
        <f t="shared" si="0"/>
        <v>SPED Clinicians-Psychologist (reimbursed by CPS)</v>
      </c>
      <c r="B17" s="595" t="s">
        <v>163</v>
      </c>
      <c r="C17" s="711"/>
      <c r="D17" s="711"/>
      <c r="E17" s="711"/>
      <c r="F17" s="711"/>
      <c r="G17" s="711"/>
    </row>
    <row r="18" spans="1:7" ht="12.75">
      <c r="A18" s="302" t="str">
        <f t="shared" si="0"/>
        <v>SPED Clinicians-Social Worker (reimbursed by CPS)</v>
      </c>
      <c r="B18" s="595" t="s">
        <v>163</v>
      </c>
      <c r="C18" s="711"/>
      <c r="D18" s="711"/>
      <c r="E18" s="711"/>
      <c r="F18" s="711"/>
      <c r="G18" s="711"/>
    </row>
    <row r="19" spans="1:7" ht="12.75">
      <c r="A19" s="302" t="str">
        <f t="shared" si="0"/>
        <v>SPED Clinicians-Speech Therapist (reimbursed by CPS)</v>
      </c>
      <c r="B19" s="595" t="s">
        <v>163</v>
      </c>
      <c r="C19" s="711"/>
      <c r="D19" s="711"/>
      <c r="E19" s="711"/>
      <c r="F19" s="711"/>
      <c r="G19" s="711"/>
    </row>
    <row r="20" spans="1:7" ht="12.75">
      <c r="A20" s="302" t="str">
        <f t="shared" si="0"/>
        <v>SPED Clinicians-Physical Therapist (reimbursed by CPS)</v>
      </c>
      <c r="B20" s="595" t="s">
        <v>163</v>
      </c>
      <c r="C20" s="711"/>
      <c r="D20" s="711"/>
      <c r="E20" s="711"/>
      <c r="F20" s="711"/>
      <c r="G20" s="711"/>
    </row>
    <row r="21" spans="1:7" ht="12.75">
      <c r="A21" s="302" t="str">
        <f t="shared" si="0"/>
        <v>SPED Clinicians-Occupational Therapist (reimbursed by CPS)</v>
      </c>
      <c r="B21" s="595" t="s">
        <v>163</v>
      </c>
      <c r="C21" s="711"/>
      <c r="D21" s="711"/>
      <c r="E21" s="711"/>
      <c r="F21" s="711"/>
      <c r="G21" s="711"/>
    </row>
    <row r="22" spans="1:7" ht="12.75" customHeight="1">
      <c r="A22" s="302" t="str">
        <f t="shared" si="0"/>
        <v>SPED Clinicians-Nurse (reimbursed by CPS)</v>
      </c>
      <c r="B22" s="595" t="s">
        <v>163</v>
      </c>
      <c r="C22" s="711"/>
      <c r="D22" s="711"/>
      <c r="E22" s="711"/>
      <c r="F22" s="711"/>
      <c r="G22" s="711"/>
    </row>
    <row r="23" spans="1:7" ht="38.25" customHeight="1" thickBot="1">
      <c r="A23" s="105"/>
      <c r="B23" s="74"/>
      <c r="C23" s="74"/>
      <c r="D23" s="74"/>
      <c r="E23" s="74"/>
      <c r="F23" s="74"/>
      <c r="G23" s="74"/>
    </row>
    <row r="24" spans="1:7" ht="18.75" customHeight="1" thickBot="1">
      <c r="A24" s="706" t="str">
        <f>A16</f>
        <v>Clinician Position</v>
      </c>
      <c r="B24" s="966" t="s">
        <v>344</v>
      </c>
      <c r="C24" s="967"/>
      <c r="D24" s="967"/>
      <c r="E24" s="967"/>
      <c r="F24" s="967"/>
      <c r="G24" s="968"/>
    </row>
    <row r="25" spans="1:7" ht="12.75">
      <c r="A25" s="302" t="str">
        <f aca="true" t="shared" si="1" ref="A25:A30">A8</f>
        <v>SPED Clinicians-Psychologist (reimbursed by CPS)</v>
      </c>
      <c r="B25" s="596" t="s">
        <v>163</v>
      </c>
      <c r="C25" s="700">
        <f aca="true" t="shared" si="2" ref="C25:G30">C8*C17</f>
        <v>0</v>
      </c>
      <c r="D25" s="700">
        <f t="shared" si="2"/>
        <v>0</v>
      </c>
      <c r="E25" s="700">
        <f t="shared" si="2"/>
        <v>0</v>
      </c>
      <c r="F25" s="700">
        <f t="shared" si="2"/>
        <v>0</v>
      </c>
      <c r="G25" s="700">
        <f t="shared" si="2"/>
        <v>0</v>
      </c>
    </row>
    <row r="26" spans="1:7" ht="12.75">
      <c r="A26" s="303" t="str">
        <f t="shared" si="1"/>
        <v>SPED Clinicians-Social Worker (reimbursed by CPS)</v>
      </c>
      <c r="B26" s="596" t="s">
        <v>163</v>
      </c>
      <c r="C26" s="700">
        <f t="shared" si="2"/>
        <v>0</v>
      </c>
      <c r="D26" s="700">
        <f t="shared" si="2"/>
        <v>0</v>
      </c>
      <c r="E26" s="700">
        <f t="shared" si="2"/>
        <v>0</v>
      </c>
      <c r="F26" s="700">
        <f t="shared" si="2"/>
        <v>0</v>
      </c>
      <c r="G26" s="700">
        <f t="shared" si="2"/>
        <v>0</v>
      </c>
    </row>
    <row r="27" spans="1:7" ht="12.75">
      <c r="A27" s="303" t="str">
        <f t="shared" si="1"/>
        <v>SPED Clinicians-Speech Therapist (reimbursed by CPS)</v>
      </c>
      <c r="B27" s="596" t="s">
        <v>163</v>
      </c>
      <c r="C27" s="700">
        <f t="shared" si="2"/>
        <v>0</v>
      </c>
      <c r="D27" s="700">
        <f t="shared" si="2"/>
        <v>0</v>
      </c>
      <c r="E27" s="700">
        <f t="shared" si="2"/>
        <v>0</v>
      </c>
      <c r="F27" s="700">
        <f t="shared" si="2"/>
        <v>0</v>
      </c>
      <c r="G27" s="700">
        <f t="shared" si="2"/>
        <v>0</v>
      </c>
    </row>
    <row r="28" spans="1:7" ht="12.75">
      <c r="A28" s="303" t="str">
        <f t="shared" si="1"/>
        <v>SPED Clinicians-Physical Therapist (reimbursed by CPS)</v>
      </c>
      <c r="B28" s="596" t="s">
        <v>163</v>
      </c>
      <c r="C28" s="700">
        <f t="shared" si="2"/>
        <v>0</v>
      </c>
      <c r="D28" s="700">
        <f t="shared" si="2"/>
        <v>0</v>
      </c>
      <c r="E28" s="700">
        <f t="shared" si="2"/>
        <v>0</v>
      </c>
      <c r="F28" s="700">
        <f t="shared" si="2"/>
        <v>0</v>
      </c>
      <c r="G28" s="700">
        <f t="shared" si="2"/>
        <v>0</v>
      </c>
    </row>
    <row r="29" spans="1:7" ht="12.75">
      <c r="A29" s="303" t="str">
        <f t="shared" si="1"/>
        <v>SPED Clinicians-Occupational Therapist (reimbursed by CPS)</v>
      </c>
      <c r="B29" s="596" t="s">
        <v>163</v>
      </c>
      <c r="C29" s="700">
        <f t="shared" si="2"/>
        <v>0</v>
      </c>
      <c r="D29" s="700">
        <f t="shared" si="2"/>
        <v>0</v>
      </c>
      <c r="E29" s="700">
        <f t="shared" si="2"/>
        <v>0</v>
      </c>
      <c r="F29" s="700">
        <f t="shared" si="2"/>
        <v>0</v>
      </c>
      <c r="G29" s="700">
        <f t="shared" si="2"/>
        <v>0</v>
      </c>
    </row>
    <row r="30" spans="1:7" ht="13.5" thickBot="1">
      <c r="A30" s="303" t="str">
        <f t="shared" si="1"/>
        <v>SPED Clinicians-Nurse (reimbursed by CPS)</v>
      </c>
      <c r="B30" s="596" t="s">
        <v>163</v>
      </c>
      <c r="C30" s="700">
        <f t="shared" si="2"/>
        <v>0</v>
      </c>
      <c r="D30" s="700">
        <f t="shared" si="2"/>
        <v>0</v>
      </c>
      <c r="E30" s="700">
        <f t="shared" si="2"/>
        <v>0</v>
      </c>
      <c r="F30" s="700">
        <f t="shared" si="2"/>
        <v>0</v>
      </c>
      <c r="G30" s="700">
        <f t="shared" si="2"/>
        <v>0</v>
      </c>
    </row>
    <row r="31" spans="1:7" ht="20.25" customHeight="1" thickBot="1">
      <c r="A31" s="707" t="s">
        <v>340</v>
      </c>
      <c r="B31" s="699" t="s">
        <v>163</v>
      </c>
      <c r="C31" s="701">
        <f>SUM(C25:C30)</f>
        <v>0</v>
      </c>
      <c r="D31" s="701">
        <f>SUM(D25:D30)</f>
        <v>0</v>
      </c>
      <c r="E31" s="701">
        <f>SUM(E25:E30)</f>
        <v>0</v>
      </c>
      <c r="F31" s="701">
        <f>SUM(F25:F30)</f>
        <v>0</v>
      </c>
      <c r="G31" s="701">
        <f>SUM(G25:G30)</f>
        <v>0</v>
      </c>
    </row>
    <row r="32" spans="1:7" s="250" customFormat="1" ht="12.75">
      <c r="A32" s="710"/>
      <c r="B32" s="105"/>
      <c r="C32" s="105"/>
      <c r="D32" s="105"/>
      <c r="E32" s="105"/>
      <c r="F32" s="105"/>
      <c r="G32" s="105"/>
    </row>
  </sheetData>
  <sheetProtection password="CC59"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9.xml><?xml version="1.0" encoding="utf-8"?>
<worksheet xmlns="http://schemas.openxmlformats.org/spreadsheetml/2006/main" xmlns:r="http://schemas.openxmlformats.org/officeDocument/2006/relationships">
  <dimension ref="A1:AC178"/>
  <sheetViews>
    <sheetView zoomScale="70" zoomScaleNormal="70" zoomScalePageLayoutView="0" workbookViewId="0" topLeftCell="A1">
      <selection activeCell="A1" sqref="A1:B1"/>
    </sheetView>
  </sheetViews>
  <sheetFormatPr defaultColWidth="9.140625" defaultRowHeight="12.75"/>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989" t="str">
        <f>'Budget with Assumptions'!$A$2</f>
        <v>Chicago Classical Academy</v>
      </c>
      <c r="B1" s="990"/>
      <c r="C1" s="108"/>
      <c r="D1" s="108"/>
      <c r="E1" s="109"/>
      <c r="F1" s="110"/>
    </row>
    <row r="2" spans="1:6" ht="15">
      <c r="A2" s="111"/>
      <c r="B2" s="108"/>
      <c r="C2" s="108"/>
      <c r="D2" s="108"/>
      <c r="E2" s="109"/>
      <c r="F2" s="110"/>
    </row>
    <row r="3" spans="1:6" ht="15">
      <c r="A3" s="112"/>
      <c r="B3" s="108"/>
      <c r="C3" s="108"/>
      <c r="D3" s="108"/>
      <c r="E3" s="109"/>
      <c r="F3" s="110"/>
    </row>
    <row r="4" spans="1:6" ht="15">
      <c r="A4" s="112"/>
      <c r="B4" s="108"/>
      <c r="C4" s="108"/>
      <c r="D4" s="108"/>
      <c r="E4" s="109"/>
      <c r="F4" s="110"/>
    </row>
    <row r="5" spans="1:6" ht="15.75" thickBot="1">
      <c r="A5" s="112"/>
      <c r="B5" s="108"/>
      <c r="C5" s="108"/>
      <c r="D5" s="108"/>
      <c r="E5" s="109"/>
      <c r="F5" s="110"/>
    </row>
    <row r="6" spans="1:29" ht="15.75" thickBot="1">
      <c r="A6" s="994" t="s">
        <v>127</v>
      </c>
      <c r="B6" s="984"/>
      <c r="C6" s="984"/>
      <c r="D6" s="984"/>
      <c r="E6" s="984"/>
      <c r="F6" s="985"/>
      <c r="G6" s="994" t="s">
        <v>127</v>
      </c>
      <c r="H6" s="984"/>
      <c r="I6" s="984"/>
      <c r="J6" s="984"/>
      <c r="K6" s="984"/>
      <c r="L6" s="994" t="s">
        <v>127</v>
      </c>
      <c r="M6" s="984"/>
      <c r="N6" s="984"/>
      <c r="O6" s="984"/>
      <c r="P6" s="984"/>
      <c r="Q6" s="985"/>
      <c r="R6" s="983" t="s">
        <v>127</v>
      </c>
      <c r="S6" s="984"/>
      <c r="T6" s="984"/>
      <c r="U6" s="984"/>
      <c r="V6" s="984"/>
      <c r="W6" s="985"/>
      <c r="X6" s="983" t="s">
        <v>127</v>
      </c>
      <c r="Y6" s="984"/>
      <c r="Z6" s="984"/>
      <c r="AA6" s="984"/>
      <c r="AB6" s="984"/>
      <c r="AC6" s="985"/>
    </row>
    <row r="7" spans="1:29" ht="22.5" customHeight="1" thickBot="1">
      <c r="A7" s="991">
        <f>'Budget with Assumptions'!L9</f>
        <v>2019</v>
      </c>
      <c r="B7" s="992"/>
      <c r="C7" s="992"/>
      <c r="D7" s="992"/>
      <c r="E7" s="992"/>
      <c r="F7" s="993"/>
      <c r="G7" s="991">
        <f>'Budget with Assumptions'!N9</f>
        <v>2020</v>
      </c>
      <c r="H7" s="992"/>
      <c r="I7" s="992"/>
      <c r="J7" s="992"/>
      <c r="K7" s="992"/>
      <c r="L7" s="991">
        <f>'Budget with Assumptions'!P9</f>
        <v>2021</v>
      </c>
      <c r="M7" s="992"/>
      <c r="N7" s="992"/>
      <c r="O7" s="992"/>
      <c r="P7" s="992"/>
      <c r="Q7" s="993"/>
      <c r="R7" s="992">
        <f>'Budget with Assumptions'!R9</f>
        <v>2022</v>
      </c>
      <c r="S7" s="992"/>
      <c r="T7" s="992"/>
      <c r="U7" s="992"/>
      <c r="V7" s="992"/>
      <c r="W7" s="993"/>
      <c r="X7" s="992">
        <f>'Budget with Assumptions'!T9</f>
        <v>2023</v>
      </c>
      <c r="Y7" s="992"/>
      <c r="Z7" s="992"/>
      <c r="AA7" s="992"/>
      <c r="AB7" s="992"/>
      <c r="AC7" s="993"/>
    </row>
    <row r="8" spans="1:29" ht="15.75" thickBot="1">
      <c r="A8" s="182"/>
      <c r="B8" s="183"/>
      <c r="C8" s="183"/>
      <c r="D8" s="183"/>
      <c r="E8" s="184"/>
      <c r="F8" s="332"/>
      <c r="G8" s="333"/>
      <c r="H8" s="167"/>
      <c r="I8" s="167"/>
      <c r="J8" s="167"/>
      <c r="K8" s="167"/>
      <c r="L8" s="333"/>
      <c r="M8" s="167"/>
      <c r="N8" s="167"/>
      <c r="O8" s="167"/>
      <c r="P8" s="167"/>
      <c r="Q8" s="169"/>
      <c r="R8" s="167"/>
      <c r="S8" s="167"/>
      <c r="T8" s="167"/>
      <c r="U8" s="167"/>
      <c r="V8" s="167"/>
      <c r="W8" s="169"/>
      <c r="X8" s="167"/>
      <c r="Y8" s="167"/>
      <c r="Z8" s="167"/>
      <c r="AA8" s="167"/>
      <c r="AB8" s="167"/>
      <c r="AC8" s="169"/>
    </row>
    <row r="9" spans="1:29" ht="28.5" customHeight="1" thickBot="1">
      <c r="A9" s="1003">
        <f>A7</f>
        <v>2019</v>
      </c>
      <c r="B9" s="988"/>
      <c r="C9" s="114"/>
      <c r="D9" s="114"/>
      <c r="E9" s="115"/>
      <c r="F9" s="147"/>
      <c r="G9" s="1003">
        <f>G7</f>
        <v>2020</v>
      </c>
      <c r="H9" s="988"/>
      <c r="I9" s="114"/>
      <c r="J9" s="114"/>
      <c r="K9" s="115"/>
      <c r="L9" s="1003">
        <f>L7</f>
        <v>2021</v>
      </c>
      <c r="M9" s="988"/>
      <c r="N9" s="114"/>
      <c r="O9" s="114"/>
      <c r="P9" s="115"/>
      <c r="Q9" s="176"/>
      <c r="R9" s="987">
        <f>R7</f>
        <v>2022</v>
      </c>
      <c r="S9" s="988"/>
      <c r="T9" s="114"/>
      <c r="U9" s="114"/>
      <c r="V9" s="115"/>
      <c r="W9" s="176"/>
      <c r="X9" s="987">
        <f>X7</f>
        <v>2023</v>
      </c>
      <c r="Y9" s="988"/>
      <c r="Z9" s="114"/>
      <c r="AA9" s="114"/>
      <c r="AB9" s="115"/>
      <c r="AC9" s="176"/>
    </row>
    <row r="10" spans="1:29" ht="15.75" thickBot="1">
      <c r="A10" s="304" t="s">
        <v>55</v>
      </c>
      <c r="B10" s="228" t="s">
        <v>327</v>
      </c>
      <c r="C10" s="114"/>
      <c r="D10" s="114"/>
      <c r="E10" s="115"/>
      <c r="F10" s="147"/>
      <c r="G10" s="304" t="s">
        <v>55</v>
      </c>
      <c r="H10" s="228" t="s">
        <v>327</v>
      </c>
      <c r="I10" s="114"/>
      <c r="J10" s="114"/>
      <c r="K10" s="115"/>
      <c r="L10" s="304" t="s">
        <v>55</v>
      </c>
      <c r="M10" s="228" t="s">
        <v>327</v>
      </c>
      <c r="N10" s="114"/>
      <c r="O10" s="114"/>
      <c r="P10" s="115"/>
      <c r="Q10" s="176"/>
      <c r="R10" s="305" t="s">
        <v>55</v>
      </c>
      <c r="S10" s="228" t="s">
        <v>327</v>
      </c>
      <c r="T10" s="114"/>
      <c r="U10" s="114"/>
      <c r="V10" s="115"/>
      <c r="W10" s="176"/>
      <c r="X10" s="305" t="s">
        <v>55</v>
      </c>
      <c r="Y10" s="228" t="s">
        <v>327</v>
      </c>
      <c r="Z10" s="114"/>
      <c r="AA10" s="114"/>
      <c r="AB10" s="115"/>
      <c r="AC10" s="176"/>
    </row>
    <row r="11" spans="1:29" ht="15">
      <c r="A11" s="320" t="s">
        <v>56</v>
      </c>
      <c r="B11" s="597">
        <v>5032</v>
      </c>
      <c r="C11" s="114"/>
      <c r="D11" s="114"/>
      <c r="E11" s="115"/>
      <c r="F11" s="147"/>
      <c r="G11" s="320" t="str">
        <f aca="true" t="shared" si="0" ref="G11:G16">A11</f>
        <v>SBB Grades K-3</v>
      </c>
      <c r="H11" s="597">
        <f>$B$11</f>
        <v>5032</v>
      </c>
      <c r="I11" s="114"/>
      <c r="J11" s="114"/>
      <c r="K11" s="115"/>
      <c r="L11" s="320" t="str">
        <f aca="true" t="shared" si="1" ref="L11:L16">A11</f>
        <v>SBB Grades K-3</v>
      </c>
      <c r="M11" s="597">
        <f>$B$11</f>
        <v>5032</v>
      </c>
      <c r="N11" s="114"/>
      <c r="O11" s="114"/>
      <c r="P11" s="115"/>
      <c r="Q11" s="176"/>
      <c r="R11" s="331" t="str">
        <f aca="true" t="shared" si="2" ref="R11:R16">A11</f>
        <v>SBB Grades K-3</v>
      </c>
      <c r="S11" s="597">
        <f>$B$11</f>
        <v>5032</v>
      </c>
      <c r="T11" s="114"/>
      <c r="U11" s="114"/>
      <c r="V11" s="115"/>
      <c r="W11" s="176"/>
      <c r="X11" s="331" t="str">
        <f aca="true" t="shared" si="3" ref="X11:X16">A11</f>
        <v>SBB Grades K-3</v>
      </c>
      <c r="Y11" s="597">
        <f>$B$11</f>
        <v>5032</v>
      </c>
      <c r="Z11" s="114"/>
      <c r="AA11" s="114"/>
      <c r="AB11" s="115"/>
      <c r="AC11" s="176"/>
    </row>
    <row r="12" spans="1:29" ht="15">
      <c r="A12" s="321" t="s">
        <v>57</v>
      </c>
      <c r="B12" s="598">
        <v>1798</v>
      </c>
      <c r="C12" s="114"/>
      <c r="D12" s="114"/>
      <c r="E12" s="115"/>
      <c r="F12" s="147"/>
      <c r="G12" s="320" t="str">
        <f t="shared" si="0"/>
        <v>Non-SBB K-3</v>
      </c>
      <c r="H12" s="597">
        <f>$B$12</f>
        <v>1798</v>
      </c>
      <c r="I12" s="114"/>
      <c r="J12" s="114"/>
      <c r="K12" s="115"/>
      <c r="L12" s="320" t="str">
        <f t="shared" si="1"/>
        <v>Non-SBB K-3</v>
      </c>
      <c r="M12" s="597">
        <f>$B$12</f>
        <v>1798</v>
      </c>
      <c r="N12" s="114"/>
      <c r="O12" s="114"/>
      <c r="P12" s="115"/>
      <c r="Q12" s="176"/>
      <c r="R12" s="331" t="str">
        <f t="shared" si="2"/>
        <v>Non-SBB K-3</v>
      </c>
      <c r="S12" s="597">
        <f>$B$12</f>
        <v>1798</v>
      </c>
      <c r="T12" s="114"/>
      <c r="U12" s="114"/>
      <c r="V12" s="115"/>
      <c r="W12" s="176"/>
      <c r="X12" s="331" t="str">
        <f t="shared" si="3"/>
        <v>Non-SBB K-3</v>
      </c>
      <c r="Y12" s="597">
        <f>$B$12</f>
        <v>1798</v>
      </c>
      <c r="Z12" s="114"/>
      <c r="AA12" s="114"/>
      <c r="AB12" s="115"/>
      <c r="AC12" s="176"/>
    </row>
    <row r="13" spans="1:29" ht="15">
      <c r="A13" s="185" t="s">
        <v>207</v>
      </c>
      <c r="B13" s="693">
        <v>4703</v>
      </c>
      <c r="C13" s="114"/>
      <c r="D13" s="114"/>
      <c r="E13" s="115"/>
      <c r="F13" s="147"/>
      <c r="G13" s="691" t="str">
        <f t="shared" si="0"/>
        <v>SBB Grades 4-8 (for schools that do NOT have HS grades)</v>
      </c>
      <c r="H13" s="694">
        <f>$B$13</f>
        <v>4703</v>
      </c>
      <c r="I13" s="114"/>
      <c r="J13" s="114"/>
      <c r="K13" s="115"/>
      <c r="L13" s="691" t="str">
        <f t="shared" si="1"/>
        <v>SBB Grades 4-8 (for schools that do NOT have HS grades)</v>
      </c>
      <c r="M13" s="694">
        <f>$B$13</f>
        <v>4703</v>
      </c>
      <c r="N13" s="114"/>
      <c r="O13" s="114"/>
      <c r="P13" s="115"/>
      <c r="Q13" s="176"/>
      <c r="R13" s="695" t="str">
        <f t="shared" si="2"/>
        <v>SBB Grades 4-8 (for schools that do NOT have HS grades)</v>
      </c>
      <c r="S13" s="694">
        <f>$B$13</f>
        <v>4703</v>
      </c>
      <c r="T13" s="114"/>
      <c r="U13" s="114"/>
      <c r="V13" s="115"/>
      <c r="W13" s="176"/>
      <c r="X13" s="695" t="str">
        <f t="shared" si="3"/>
        <v>SBB Grades 4-8 (for schools that do NOT have HS grades)</v>
      </c>
      <c r="Y13" s="694">
        <f>$B$13</f>
        <v>4703</v>
      </c>
      <c r="Z13" s="114"/>
      <c r="AA13" s="114"/>
      <c r="AB13" s="115"/>
      <c r="AC13" s="176"/>
    </row>
    <row r="14" spans="1:29" ht="15">
      <c r="A14" s="185" t="s">
        <v>208</v>
      </c>
      <c r="B14" s="693">
        <v>1680</v>
      </c>
      <c r="C14" s="114"/>
      <c r="D14" s="114"/>
      <c r="E14" s="115"/>
      <c r="F14" s="147"/>
      <c r="G14" s="691" t="str">
        <f t="shared" si="0"/>
        <v>Non-SBB Grades 4-8 (for schools that do NOT have HS grades)</v>
      </c>
      <c r="H14" s="694">
        <f>$B$14</f>
        <v>1680</v>
      </c>
      <c r="I14" s="114"/>
      <c r="J14" s="114"/>
      <c r="K14" s="115"/>
      <c r="L14" s="691" t="str">
        <f t="shared" si="1"/>
        <v>Non-SBB Grades 4-8 (for schools that do NOT have HS grades)</v>
      </c>
      <c r="M14" s="694">
        <f>$B$14</f>
        <v>1680</v>
      </c>
      <c r="N14" s="114"/>
      <c r="O14" s="114"/>
      <c r="P14" s="115"/>
      <c r="Q14" s="176"/>
      <c r="R14" s="695" t="str">
        <f t="shared" si="2"/>
        <v>Non-SBB Grades 4-8 (for schools that do NOT have HS grades)</v>
      </c>
      <c r="S14" s="694">
        <f>$B$14</f>
        <v>1680</v>
      </c>
      <c r="T14" s="114"/>
      <c r="U14" s="114"/>
      <c r="V14" s="115"/>
      <c r="W14" s="176"/>
      <c r="X14" s="695" t="str">
        <f t="shared" si="3"/>
        <v>Non-SBB Grades 4-8 (for schools that do NOT have HS grades)</v>
      </c>
      <c r="Y14" s="694">
        <f>$B$14</f>
        <v>1680</v>
      </c>
      <c r="Z14" s="114"/>
      <c r="AA14" s="114"/>
      <c r="AB14" s="115"/>
      <c r="AC14" s="176"/>
    </row>
    <row r="15" spans="1:29" ht="15">
      <c r="A15" s="321" t="s">
        <v>58</v>
      </c>
      <c r="B15" s="598">
        <v>5831</v>
      </c>
      <c r="C15" s="114"/>
      <c r="D15" s="114"/>
      <c r="E15" s="115"/>
      <c r="F15" s="147"/>
      <c r="G15" s="320" t="str">
        <f t="shared" si="0"/>
        <v>SBB High School (Grades 9-12 or 6-12)</v>
      </c>
      <c r="H15" s="598">
        <f>$B$15</f>
        <v>5831</v>
      </c>
      <c r="I15" s="114"/>
      <c r="J15" s="114"/>
      <c r="K15" s="115"/>
      <c r="L15" s="320" t="str">
        <f t="shared" si="1"/>
        <v>SBB High School (Grades 9-12 or 6-12)</v>
      </c>
      <c r="M15" s="598">
        <f>$B$15</f>
        <v>5831</v>
      </c>
      <c r="N15" s="114"/>
      <c r="O15" s="114"/>
      <c r="P15" s="115"/>
      <c r="Q15" s="176"/>
      <c r="R15" s="331" t="str">
        <f t="shared" si="2"/>
        <v>SBB High School (Grades 9-12 or 6-12)</v>
      </c>
      <c r="S15" s="598">
        <f>$B$15</f>
        <v>5831</v>
      </c>
      <c r="T15" s="114"/>
      <c r="U15" s="114"/>
      <c r="V15" s="115"/>
      <c r="W15" s="176"/>
      <c r="X15" s="331" t="str">
        <f t="shared" si="3"/>
        <v>SBB High School (Grades 9-12 or 6-12)</v>
      </c>
      <c r="Y15" s="598">
        <f>$B$15</f>
        <v>5831</v>
      </c>
      <c r="Z15" s="114"/>
      <c r="AA15" s="114"/>
      <c r="AB15" s="115"/>
      <c r="AC15" s="176"/>
    </row>
    <row r="16" spans="1:29" ht="15">
      <c r="A16" s="690" t="s">
        <v>59</v>
      </c>
      <c r="B16" s="598">
        <v>2083</v>
      </c>
      <c r="C16" s="114"/>
      <c r="D16" s="114"/>
      <c r="E16" s="115"/>
      <c r="F16" s="147"/>
      <c r="G16" s="320" t="str">
        <f t="shared" si="0"/>
        <v>Non-SBB High School (Grades 9-12 or 6-12)</v>
      </c>
      <c r="H16" s="598">
        <f>$B$16</f>
        <v>2083</v>
      </c>
      <c r="I16" s="114"/>
      <c r="J16" s="114"/>
      <c r="K16" s="115"/>
      <c r="L16" s="320" t="str">
        <f t="shared" si="1"/>
        <v>Non-SBB High School (Grades 9-12 or 6-12)</v>
      </c>
      <c r="M16" s="598">
        <f>$B$16</f>
        <v>2083</v>
      </c>
      <c r="N16" s="114"/>
      <c r="O16" s="114"/>
      <c r="P16" s="115"/>
      <c r="Q16" s="176"/>
      <c r="R16" s="331" t="str">
        <f t="shared" si="2"/>
        <v>Non-SBB High School (Grades 9-12 or 6-12)</v>
      </c>
      <c r="S16" s="598">
        <f>$B$16</f>
        <v>2083</v>
      </c>
      <c r="T16" s="114"/>
      <c r="U16" s="114"/>
      <c r="V16" s="115"/>
      <c r="W16" s="176"/>
      <c r="X16" s="331" t="str">
        <f t="shared" si="3"/>
        <v>Non-SBB High School (Grades 9-12 or 6-12)</v>
      </c>
      <c r="Y16" s="598">
        <f>B16</f>
        <v>2083</v>
      </c>
      <c r="Z16" s="114"/>
      <c r="AA16" s="114"/>
      <c r="AB16" s="115"/>
      <c r="AC16" s="176"/>
    </row>
    <row r="17" spans="1:29" ht="15">
      <c r="A17" s="692"/>
      <c r="B17" s="689"/>
      <c r="C17" s="114"/>
      <c r="D17" s="114"/>
      <c r="E17" s="115"/>
      <c r="F17" s="147"/>
      <c r="G17" s="692"/>
      <c r="H17" s="689"/>
      <c r="I17" s="114"/>
      <c r="J17" s="114"/>
      <c r="K17" s="115"/>
      <c r="L17" s="339"/>
      <c r="M17" s="330"/>
      <c r="N17" s="114"/>
      <c r="O17" s="114"/>
      <c r="P17" s="115"/>
      <c r="Q17" s="176"/>
      <c r="R17" s="111"/>
      <c r="S17" s="330"/>
      <c r="T17" s="114"/>
      <c r="U17" s="114"/>
      <c r="V17" s="115"/>
      <c r="W17" s="176"/>
      <c r="X17" s="111"/>
      <c r="Y17" s="330"/>
      <c r="Z17" s="114"/>
      <c r="AA17" s="114"/>
      <c r="AB17" s="115"/>
      <c r="AC17" s="176"/>
    </row>
    <row r="18" spans="1:29" ht="15">
      <c r="A18" s="339"/>
      <c r="B18" s="689"/>
      <c r="C18" s="114"/>
      <c r="D18" s="114"/>
      <c r="E18" s="115"/>
      <c r="F18" s="147"/>
      <c r="G18" s="339"/>
      <c r="H18" s="689"/>
      <c r="I18" s="114"/>
      <c r="J18" s="114"/>
      <c r="K18" s="115"/>
      <c r="L18" s="339"/>
      <c r="M18" s="330"/>
      <c r="N18" s="114"/>
      <c r="O18" s="114"/>
      <c r="P18" s="115"/>
      <c r="Q18" s="176"/>
      <c r="R18" s="111"/>
      <c r="S18" s="330"/>
      <c r="T18" s="114"/>
      <c r="U18" s="114"/>
      <c r="V18" s="115"/>
      <c r="W18" s="176"/>
      <c r="X18" s="111"/>
      <c r="Y18" s="330"/>
      <c r="Z18" s="114"/>
      <c r="AA18" s="114"/>
      <c r="AB18" s="115"/>
      <c r="AC18" s="176"/>
    </row>
    <row r="19" spans="1:29" ht="15">
      <c r="A19" s="186"/>
      <c r="B19" s="114"/>
      <c r="C19" s="114"/>
      <c r="D19" s="114"/>
      <c r="E19" s="115"/>
      <c r="F19" s="147"/>
      <c r="G19" s="113"/>
      <c r="H19" s="114"/>
      <c r="I19" s="114"/>
      <c r="J19" s="114"/>
      <c r="K19" s="115"/>
      <c r="L19" s="186"/>
      <c r="M19" s="114"/>
      <c r="N19" s="114"/>
      <c r="O19" s="114"/>
      <c r="P19" s="115"/>
      <c r="Q19" s="176"/>
      <c r="R19" s="113"/>
      <c r="S19" s="114"/>
      <c r="T19" s="114"/>
      <c r="U19" s="114"/>
      <c r="V19" s="115"/>
      <c r="W19" s="176"/>
      <c r="X19" s="113"/>
      <c r="Y19" s="114"/>
      <c r="Z19" s="114"/>
      <c r="AA19" s="114"/>
      <c r="AB19" s="115"/>
      <c r="AC19" s="176"/>
    </row>
    <row r="20" spans="1:29" ht="16.5" thickBot="1">
      <c r="A20" s="187"/>
      <c r="B20" s="118"/>
      <c r="C20" s="118"/>
      <c r="D20" s="118"/>
      <c r="E20" s="115"/>
      <c r="F20" s="147"/>
      <c r="G20" s="117"/>
      <c r="H20" s="118"/>
      <c r="I20" s="118"/>
      <c r="J20" s="118"/>
      <c r="K20" s="115"/>
      <c r="L20" s="187"/>
      <c r="M20" s="118"/>
      <c r="N20" s="118"/>
      <c r="O20" s="118"/>
      <c r="P20" s="115"/>
      <c r="Q20" s="176"/>
      <c r="R20" s="117"/>
      <c r="S20" s="118"/>
      <c r="T20" s="118"/>
      <c r="U20" s="118"/>
      <c r="V20" s="115"/>
      <c r="W20" s="176"/>
      <c r="X20" s="117"/>
      <c r="Y20" s="118"/>
      <c r="Z20" s="118"/>
      <c r="AA20" s="118"/>
      <c r="AB20" s="115"/>
      <c r="AC20" s="176"/>
    </row>
    <row r="21" spans="1:29" ht="15.75" customHeight="1">
      <c r="A21" s="1006">
        <f>A7</f>
        <v>2019</v>
      </c>
      <c r="B21" s="995"/>
      <c r="C21" s="995"/>
      <c r="D21" s="995"/>
      <c r="E21" s="995"/>
      <c r="F21" s="172"/>
      <c r="G21" s="1004">
        <f>G7</f>
        <v>2020</v>
      </c>
      <c r="H21" s="1004"/>
      <c r="I21" s="1004"/>
      <c r="J21" s="1004"/>
      <c r="K21" s="1004"/>
      <c r="L21" s="995">
        <f>L7</f>
        <v>2021</v>
      </c>
      <c r="M21" s="995"/>
      <c r="N21" s="995"/>
      <c r="O21" s="995"/>
      <c r="P21" s="995"/>
      <c r="Q21" s="176"/>
      <c r="R21" s="995">
        <f>R7</f>
        <v>2022</v>
      </c>
      <c r="S21" s="995"/>
      <c r="T21" s="995"/>
      <c r="U21" s="995"/>
      <c r="V21" s="995"/>
      <c r="W21" s="176"/>
      <c r="X21" s="995">
        <f>X7</f>
        <v>2023</v>
      </c>
      <c r="Y21" s="995"/>
      <c r="Z21" s="995"/>
      <c r="AA21" s="995"/>
      <c r="AB21" s="995"/>
      <c r="AC21" s="176"/>
    </row>
    <row r="22" spans="1:29" ht="13.5" thickBot="1">
      <c r="A22" s="1007"/>
      <c r="B22" s="996"/>
      <c r="C22" s="996"/>
      <c r="D22" s="996"/>
      <c r="E22" s="996"/>
      <c r="F22" s="170"/>
      <c r="G22" s="1005"/>
      <c r="H22" s="1005"/>
      <c r="I22" s="1005"/>
      <c r="J22" s="1005"/>
      <c r="K22" s="1005"/>
      <c r="L22" s="996"/>
      <c r="M22" s="996"/>
      <c r="N22" s="996"/>
      <c r="O22" s="996"/>
      <c r="P22" s="996"/>
      <c r="Q22" s="170"/>
      <c r="R22" s="996"/>
      <c r="S22" s="996"/>
      <c r="T22" s="996"/>
      <c r="U22" s="996"/>
      <c r="V22" s="996"/>
      <c r="W22" s="170"/>
      <c r="X22" s="996"/>
      <c r="Y22" s="996"/>
      <c r="Z22" s="996"/>
      <c r="AA22" s="996"/>
      <c r="AB22" s="996"/>
      <c r="AC22" s="170"/>
    </row>
    <row r="23" spans="1:29" ht="16.5" thickBot="1">
      <c r="A23" s="974" t="s">
        <v>60</v>
      </c>
      <c r="B23" s="975"/>
      <c r="C23" s="975"/>
      <c r="D23" s="975"/>
      <c r="E23" s="975"/>
      <c r="F23" s="173"/>
      <c r="G23" s="975" t="s">
        <v>60</v>
      </c>
      <c r="H23" s="975"/>
      <c r="I23" s="975"/>
      <c r="J23" s="975"/>
      <c r="K23" s="975"/>
      <c r="L23" s="975" t="s">
        <v>60</v>
      </c>
      <c r="M23" s="975"/>
      <c r="N23" s="975"/>
      <c r="O23" s="975"/>
      <c r="P23" s="975"/>
      <c r="Q23" s="173"/>
      <c r="R23" s="975" t="s">
        <v>60</v>
      </c>
      <c r="S23" s="975"/>
      <c r="T23" s="975"/>
      <c r="U23" s="975"/>
      <c r="V23" s="975"/>
      <c r="W23" s="173"/>
      <c r="X23" s="975" t="s">
        <v>60</v>
      </c>
      <c r="Y23" s="975"/>
      <c r="Z23" s="975"/>
      <c r="AA23" s="975"/>
      <c r="AB23" s="975"/>
      <c r="AC23" s="173"/>
    </row>
    <row r="24" spans="1:29" ht="16.5" thickBot="1">
      <c r="A24" s="120"/>
      <c r="B24" s="121"/>
      <c r="C24" s="121"/>
      <c r="D24" s="119"/>
      <c r="E24" s="119"/>
      <c r="F24" s="173"/>
      <c r="G24" s="119"/>
      <c r="H24" s="121"/>
      <c r="I24" s="121"/>
      <c r="J24" s="119"/>
      <c r="K24" s="119"/>
      <c r="L24" s="733"/>
      <c r="M24" s="143"/>
      <c r="N24" s="121"/>
      <c r="O24" s="119"/>
      <c r="P24" s="119"/>
      <c r="Q24" s="173"/>
      <c r="R24" s="119"/>
      <c r="S24" s="121"/>
      <c r="T24" s="121"/>
      <c r="U24" s="119"/>
      <c r="V24" s="119"/>
      <c r="W24" s="173"/>
      <c r="X24" s="119"/>
      <c r="Y24" s="121"/>
      <c r="Z24" s="121"/>
      <c r="AA24" s="119"/>
      <c r="AB24" s="119"/>
      <c r="AC24" s="173"/>
    </row>
    <row r="25" spans="1:29" ht="45.75" thickBot="1">
      <c r="A25" s="400" t="s">
        <v>61</v>
      </c>
      <c r="B25" s="404" t="s">
        <v>62</v>
      </c>
      <c r="C25" s="405" t="s">
        <v>63</v>
      </c>
      <c r="D25" s="400" t="s">
        <v>64</v>
      </c>
      <c r="E25" s="97"/>
      <c r="F25" s="174"/>
      <c r="G25" s="406" t="s">
        <v>61</v>
      </c>
      <c r="H25" s="404" t="s">
        <v>62</v>
      </c>
      <c r="I25" s="405" t="s">
        <v>63</v>
      </c>
      <c r="J25" s="400" t="s">
        <v>64</v>
      </c>
      <c r="K25" s="97"/>
      <c r="L25" s="400" t="s">
        <v>61</v>
      </c>
      <c r="M25" s="404" t="s">
        <v>62</v>
      </c>
      <c r="N25" s="405" t="s">
        <v>63</v>
      </c>
      <c r="O25" s="400" t="s">
        <v>64</v>
      </c>
      <c r="P25" s="97"/>
      <c r="Q25" s="174"/>
      <c r="R25" s="406" t="s">
        <v>61</v>
      </c>
      <c r="S25" s="404" t="s">
        <v>62</v>
      </c>
      <c r="T25" s="405" t="s">
        <v>63</v>
      </c>
      <c r="U25" s="400" t="s">
        <v>64</v>
      </c>
      <c r="V25" s="97"/>
      <c r="W25" s="174"/>
      <c r="X25" s="406" t="s">
        <v>61</v>
      </c>
      <c r="Y25" s="404" t="s">
        <v>62</v>
      </c>
      <c r="Z25" s="405" t="s">
        <v>63</v>
      </c>
      <c r="AA25" s="400" t="s">
        <v>64</v>
      </c>
      <c r="AB25" s="97"/>
      <c r="AC25" s="174"/>
    </row>
    <row r="26" spans="1:29" ht="12.75">
      <c r="A26" s="401" t="s">
        <v>65</v>
      </c>
      <c r="B26" s="123">
        <v>56</v>
      </c>
      <c r="C26" s="123"/>
      <c r="D26" s="379">
        <f>B26+C26</f>
        <v>56</v>
      </c>
      <c r="E26" s="97"/>
      <c r="F26" s="175"/>
      <c r="G26" s="407" t="s">
        <v>65</v>
      </c>
      <c r="H26" s="123">
        <v>56</v>
      </c>
      <c r="I26" s="123"/>
      <c r="J26" s="379">
        <f>H26+I26</f>
        <v>56</v>
      </c>
      <c r="K26" s="97"/>
      <c r="L26" s="401" t="s">
        <v>65</v>
      </c>
      <c r="M26" s="123">
        <v>56</v>
      </c>
      <c r="N26" s="123"/>
      <c r="O26" s="379">
        <f>M26+N26</f>
        <v>56</v>
      </c>
      <c r="P26" s="97"/>
      <c r="Q26" s="175"/>
      <c r="R26" s="407" t="s">
        <v>65</v>
      </c>
      <c r="S26" s="123">
        <v>56</v>
      </c>
      <c r="T26" s="123"/>
      <c r="U26" s="379">
        <f>S26+T26</f>
        <v>56</v>
      </c>
      <c r="V26" s="97"/>
      <c r="W26" s="175"/>
      <c r="X26" s="407" t="s">
        <v>65</v>
      </c>
      <c r="Y26" s="123">
        <v>56</v>
      </c>
      <c r="Z26" s="123"/>
      <c r="AA26" s="379">
        <f>Y26+Z26</f>
        <v>56</v>
      </c>
      <c r="AB26" s="97"/>
      <c r="AC26" s="175"/>
    </row>
    <row r="27" spans="1:29" ht="12.75">
      <c r="A27" s="378">
        <v>1</v>
      </c>
      <c r="B27" s="125">
        <v>56</v>
      </c>
      <c r="C27" s="125"/>
      <c r="D27" s="380">
        <f>B27+C27</f>
        <v>56</v>
      </c>
      <c r="E27" s="97"/>
      <c r="F27" s="176"/>
      <c r="G27" s="408">
        <v>1</v>
      </c>
      <c r="H27" s="123">
        <v>56</v>
      </c>
      <c r="I27" s="125"/>
      <c r="J27" s="380">
        <f>H27+I27</f>
        <v>56</v>
      </c>
      <c r="K27" s="97"/>
      <c r="L27" s="378">
        <v>1</v>
      </c>
      <c r="M27" s="123">
        <v>56</v>
      </c>
      <c r="N27" s="125"/>
      <c r="O27" s="380">
        <f>M27+N27</f>
        <v>56</v>
      </c>
      <c r="P27" s="97"/>
      <c r="Q27" s="176"/>
      <c r="R27" s="408">
        <v>1</v>
      </c>
      <c r="S27" s="123">
        <v>56</v>
      </c>
      <c r="T27" s="125"/>
      <c r="U27" s="380">
        <f>S27+T27</f>
        <v>56</v>
      </c>
      <c r="V27" s="97"/>
      <c r="W27" s="176"/>
      <c r="X27" s="408">
        <v>1</v>
      </c>
      <c r="Y27" s="123">
        <v>56</v>
      </c>
      <c r="Z27" s="125"/>
      <c r="AA27" s="380">
        <f>Y27+Z27</f>
        <v>56</v>
      </c>
      <c r="AB27" s="97"/>
      <c r="AC27" s="176"/>
    </row>
    <row r="28" spans="1:29" ht="12.75">
      <c r="A28" s="378">
        <v>2</v>
      </c>
      <c r="B28" s="125">
        <v>28</v>
      </c>
      <c r="C28" s="125"/>
      <c r="D28" s="380">
        <f>B28+C28</f>
        <v>28</v>
      </c>
      <c r="E28" s="97"/>
      <c r="F28" s="176"/>
      <c r="G28" s="408">
        <v>2</v>
      </c>
      <c r="H28" s="123">
        <v>56</v>
      </c>
      <c r="I28" s="125"/>
      <c r="J28" s="380">
        <f>H28+I28</f>
        <v>56</v>
      </c>
      <c r="K28" s="97"/>
      <c r="L28" s="378">
        <v>2</v>
      </c>
      <c r="M28" s="123">
        <v>56</v>
      </c>
      <c r="N28" s="125"/>
      <c r="O28" s="380">
        <f>M28+N28</f>
        <v>56</v>
      </c>
      <c r="P28" s="97"/>
      <c r="Q28" s="176"/>
      <c r="R28" s="408">
        <v>2</v>
      </c>
      <c r="S28" s="123">
        <v>56</v>
      </c>
      <c r="T28" s="125"/>
      <c r="U28" s="380">
        <f>S28+T28</f>
        <v>56</v>
      </c>
      <c r="V28" s="97"/>
      <c r="W28" s="176"/>
      <c r="X28" s="408">
        <v>2</v>
      </c>
      <c r="Y28" s="123">
        <v>56</v>
      </c>
      <c r="Z28" s="125"/>
      <c r="AA28" s="380">
        <f>Y28+Z28</f>
        <v>56</v>
      </c>
      <c r="AB28" s="97"/>
      <c r="AC28" s="176"/>
    </row>
    <row r="29" spans="1:29" ht="13.5" thickBot="1">
      <c r="A29" s="378">
        <v>3</v>
      </c>
      <c r="B29" s="125">
        <v>28</v>
      </c>
      <c r="C29" s="125"/>
      <c r="D29" s="381">
        <f>B29+C29</f>
        <v>28</v>
      </c>
      <c r="E29" s="97"/>
      <c r="F29" s="176"/>
      <c r="G29" s="408">
        <v>3</v>
      </c>
      <c r="H29" s="123">
        <v>36</v>
      </c>
      <c r="I29" s="125"/>
      <c r="J29" s="381">
        <f>H29+I29</f>
        <v>36</v>
      </c>
      <c r="K29" s="97"/>
      <c r="L29" s="378">
        <v>3</v>
      </c>
      <c r="M29" s="123">
        <v>56</v>
      </c>
      <c r="N29" s="125"/>
      <c r="O29" s="381">
        <f>M29+N29</f>
        <v>56</v>
      </c>
      <c r="P29" s="97"/>
      <c r="Q29" s="176"/>
      <c r="R29" s="408">
        <v>3</v>
      </c>
      <c r="S29" s="123">
        <v>56</v>
      </c>
      <c r="T29" s="125"/>
      <c r="U29" s="381">
        <f>S29+T29</f>
        <v>56</v>
      </c>
      <c r="V29" s="97"/>
      <c r="W29" s="176"/>
      <c r="X29" s="408">
        <v>3</v>
      </c>
      <c r="Y29" s="123">
        <v>56</v>
      </c>
      <c r="Z29" s="125"/>
      <c r="AA29" s="381">
        <f>Y29+Z29</f>
        <v>56</v>
      </c>
      <c r="AB29" s="97"/>
      <c r="AC29" s="176"/>
    </row>
    <row r="30" spans="1:29" ht="13.5" thickBot="1">
      <c r="A30" s="402" t="s">
        <v>66</v>
      </c>
      <c r="B30" s="383">
        <f>SUM(B26:B29)</f>
        <v>168</v>
      </c>
      <c r="C30" s="384">
        <f>SUM(C26:C29)</f>
        <v>0</v>
      </c>
      <c r="D30" s="382">
        <f>B30+C30</f>
        <v>168</v>
      </c>
      <c r="E30" s="97"/>
      <c r="F30" s="176"/>
      <c r="G30" s="409" t="s">
        <v>66</v>
      </c>
      <c r="H30" s="383">
        <f>SUM(H26:H29)</f>
        <v>204</v>
      </c>
      <c r="I30" s="384">
        <f>SUM(I26:I29)</f>
        <v>0</v>
      </c>
      <c r="J30" s="382">
        <f>H30+I30</f>
        <v>204</v>
      </c>
      <c r="K30" s="97"/>
      <c r="L30" s="402" t="s">
        <v>66</v>
      </c>
      <c r="M30" s="383">
        <f>SUM(M26:M29)</f>
        <v>224</v>
      </c>
      <c r="N30" s="384">
        <f>SUM(N26:N29)</f>
        <v>0</v>
      </c>
      <c r="O30" s="382">
        <f>M30+N30</f>
        <v>224</v>
      </c>
      <c r="P30" s="97"/>
      <c r="Q30" s="176"/>
      <c r="R30" s="409" t="s">
        <v>66</v>
      </c>
      <c r="S30" s="383">
        <f>SUM(S26:S29)</f>
        <v>224</v>
      </c>
      <c r="T30" s="384">
        <f>SUM(T26:T29)</f>
        <v>0</v>
      </c>
      <c r="U30" s="382">
        <f>S30+T30</f>
        <v>224</v>
      </c>
      <c r="V30" s="97"/>
      <c r="W30" s="176"/>
      <c r="X30" s="409" t="s">
        <v>66</v>
      </c>
      <c r="Y30" s="383">
        <f>SUM(Y26:Y29)</f>
        <v>224</v>
      </c>
      <c r="Z30" s="384">
        <f>SUM(Z26:Z29)</f>
        <v>0</v>
      </c>
      <c r="AA30" s="382">
        <f>Y30+Z30</f>
        <v>224</v>
      </c>
      <c r="AB30" s="97"/>
      <c r="AC30" s="176"/>
    </row>
    <row r="31" spans="1:29" ht="13.5" thickBot="1">
      <c r="A31" s="403" t="s">
        <v>67</v>
      </c>
      <c r="B31" s="385">
        <v>1</v>
      </c>
      <c r="C31" s="385">
        <v>0.4</v>
      </c>
      <c r="D31" s="88"/>
      <c r="E31" s="97"/>
      <c r="F31" s="176"/>
      <c r="G31" s="410" t="s">
        <v>67</v>
      </c>
      <c r="H31" s="385">
        <v>1</v>
      </c>
      <c r="I31" s="385">
        <v>0.4</v>
      </c>
      <c r="J31" s="88"/>
      <c r="K31" s="97"/>
      <c r="L31" s="403" t="s">
        <v>67</v>
      </c>
      <c r="M31" s="385">
        <v>1</v>
      </c>
      <c r="N31" s="385">
        <v>0.4</v>
      </c>
      <c r="O31" s="88"/>
      <c r="P31" s="97"/>
      <c r="Q31" s="176"/>
      <c r="R31" s="410" t="s">
        <v>67</v>
      </c>
      <c r="S31" s="385">
        <v>1</v>
      </c>
      <c r="T31" s="385">
        <v>0.4</v>
      </c>
      <c r="U31" s="88"/>
      <c r="V31" s="97"/>
      <c r="W31" s="176"/>
      <c r="X31" s="410" t="s">
        <v>67</v>
      </c>
      <c r="Y31" s="385">
        <v>1</v>
      </c>
      <c r="Z31" s="385">
        <v>0.4</v>
      </c>
      <c r="AA31" s="88"/>
      <c r="AB31" s="97"/>
      <c r="AC31" s="176"/>
    </row>
    <row r="32" spans="1:29" ht="13.5" thickBot="1">
      <c r="A32" s="372" t="s">
        <v>68</v>
      </c>
      <c r="B32" s="386">
        <f>B30*B31</f>
        <v>168</v>
      </c>
      <c r="C32" s="386">
        <f>C30*C31</f>
        <v>0</v>
      </c>
      <c r="D32" s="382">
        <f>B32+C32</f>
        <v>168</v>
      </c>
      <c r="E32" s="97"/>
      <c r="F32" s="176"/>
      <c r="G32" s="411" t="s">
        <v>68</v>
      </c>
      <c r="H32" s="386">
        <f>H30*H31</f>
        <v>204</v>
      </c>
      <c r="I32" s="386">
        <f>I30*I31</f>
        <v>0</v>
      </c>
      <c r="J32" s="382">
        <f>H32+I32</f>
        <v>204</v>
      </c>
      <c r="K32" s="97"/>
      <c r="L32" s="372" t="s">
        <v>68</v>
      </c>
      <c r="M32" s="386">
        <f>M30*M31</f>
        <v>224</v>
      </c>
      <c r="N32" s="386">
        <f>N30*N31</f>
        <v>0</v>
      </c>
      <c r="O32" s="382">
        <f>M32+N32</f>
        <v>224</v>
      </c>
      <c r="P32" s="97"/>
      <c r="Q32" s="176"/>
      <c r="R32" s="411" t="s">
        <v>68</v>
      </c>
      <c r="S32" s="386">
        <f>S30*S31</f>
        <v>224</v>
      </c>
      <c r="T32" s="386">
        <f>T30*T31</f>
        <v>0</v>
      </c>
      <c r="U32" s="382">
        <f>S32+T32</f>
        <v>224</v>
      </c>
      <c r="V32" s="97"/>
      <c r="W32" s="176"/>
      <c r="X32" s="411" t="s">
        <v>68</v>
      </c>
      <c r="Y32" s="386">
        <f>Y30*Y31</f>
        <v>224</v>
      </c>
      <c r="Z32" s="386">
        <f>Z30*Z31</f>
        <v>0</v>
      </c>
      <c r="AA32" s="382">
        <f>Y32+Z32</f>
        <v>224</v>
      </c>
      <c r="AB32" s="97"/>
      <c r="AC32" s="176"/>
    </row>
    <row r="33" spans="1:29" ht="12.75">
      <c r="A33" s="126"/>
      <c r="B33" s="127"/>
      <c r="C33" s="97"/>
      <c r="D33" s="127"/>
      <c r="E33" s="97"/>
      <c r="F33" s="176"/>
      <c r="G33" s="127"/>
      <c r="H33" s="127"/>
      <c r="I33" s="97"/>
      <c r="J33" s="127"/>
      <c r="K33" s="97"/>
      <c r="L33" s="126"/>
      <c r="M33" s="127"/>
      <c r="N33" s="97"/>
      <c r="O33" s="127"/>
      <c r="P33" s="97"/>
      <c r="Q33" s="176"/>
      <c r="R33" s="127"/>
      <c r="S33" s="127"/>
      <c r="T33" s="97"/>
      <c r="U33" s="127"/>
      <c r="V33" s="97"/>
      <c r="W33" s="176"/>
      <c r="X33" s="127"/>
      <c r="Y33" s="127"/>
      <c r="Z33" s="97"/>
      <c r="AA33" s="127"/>
      <c r="AB33" s="97"/>
      <c r="AC33" s="176"/>
    </row>
    <row r="34" spans="1:29" ht="13.5" thickBot="1">
      <c r="A34" s="126"/>
      <c r="B34" s="127"/>
      <c r="C34" s="97"/>
      <c r="D34" s="127"/>
      <c r="E34" s="97"/>
      <c r="F34" s="176"/>
      <c r="G34" s="127"/>
      <c r="H34" s="127"/>
      <c r="I34" s="97"/>
      <c r="J34" s="127"/>
      <c r="K34" s="97"/>
      <c r="L34" s="126" t="s">
        <v>251</v>
      </c>
      <c r="M34" s="127"/>
      <c r="N34" s="97"/>
      <c r="O34" s="127"/>
      <c r="P34" s="97"/>
      <c r="Q34" s="176"/>
      <c r="R34" s="127"/>
      <c r="S34" s="127"/>
      <c r="T34" s="97"/>
      <c r="U34" s="127"/>
      <c r="V34" s="97"/>
      <c r="W34" s="176"/>
      <c r="X34" s="127"/>
      <c r="Y34" s="127"/>
      <c r="Z34" s="97"/>
      <c r="AA34" s="127"/>
      <c r="AB34" s="97"/>
      <c r="AC34" s="176"/>
    </row>
    <row r="35" spans="1:29" ht="13.5" thickBot="1">
      <c r="A35" s="972" t="s">
        <v>69</v>
      </c>
      <c r="B35" s="973"/>
      <c r="C35" s="97"/>
      <c r="D35" s="127"/>
      <c r="E35" s="97"/>
      <c r="F35" s="176"/>
      <c r="G35" s="986" t="s">
        <v>69</v>
      </c>
      <c r="H35" s="973"/>
      <c r="I35" s="97"/>
      <c r="J35" s="127"/>
      <c r="K35" s="97"/>
      <c r="L35" s="972" t="s">
        <v>69</v>
      </c>
      <c r="M35" s="973"/>
      <c r="N35" s="97"/>
      <c r="O35" s="127"/>
      <c r="P35" s="97"/>
      <c r="Q35" s="176"/>
      <c r="R35" s="986" t="s">
        <v>69</v>
      </c>
      <c r="S35" s="973"/>
      <c r="T35" s="97"/>
      <c r="U35" s="127"/>
      <c r="V35" s="97"/>
      <c r="W35" s="176"/>
      <c r="X35" s="986" t="s">
        <v>69</v>
      </c>
      <c r="Y35" s="973"/>
      <c r="Z35" s="97"/>
      <c r="AA35" s="127"/>
      <c r="AB35" s="97"/>
      <c r="AC35" s="176"/>
    </row>
    <row r="36" spans="1:29" ht="12.75">
      <c r="A36" s="412" t="s">
        <v>216</v>
      </c>
      <c r="B36" s="387">
        <f>D32</f>
        <v>168</v>
      </c>
      <c r="C36" s="97"/>
      <c r="D36" s="127"/>
      <c r="E36" s="97"/>
      <c r="F36" s="176"/>
      <c r="G36" s="416" t="s">
        <v>216</v>
      </c>
      <c r="H36" s="387">
        <f>J32</f>
        <v>204</v>
      </c>
      <c r="I36" s="97"/>
      <c r="J36" s="127"/>
      <c r="K36" s="97"/>
      <c r="L36" s="412" t="s">
        <v>216</v>
      </c>
      <c r="M36" s="387">
        <f>O32</f>
        <v>224</v>
      </c>
      <c r="N36" s="97"/>
      <c r="O36" s="127"/>
      <c r="P36" s="97"/>
      <c r="Q36" s="176"/>
      <c r="R36" s="416" t="s">
        <v>216</v>
      </c>
      <c r="S36" s="387">
        <f>U32</f>
        <v>224</v>
      </c>
      <c r="T36" s="97"/>
      <c r="U36" s="127"/>
      <c r="V36" s="97"/>
      <c r="W36" s="176"/>
      <c r="X36" s="416" t="s">
        <v>216</v>
      </c>
      <c r="Y36" s="387">
        <f>AA32</f>
        <v>224</v>
      </c>
      <c r="Z36" s="97"/>
      <c r="AA36" s="127"/>
      <c r="AB36" s="97"/>
      <c r="AC36" s="176"/>
    </row>
    <row r="37" spans="1:29" ht="13.5" thickBot="1">
      <c r="A37" s="413" t="s">
        <v>70</v>
      </c>
      <c r="B37" s="388">
        <f>B11</f>
        <v>5032</v>
      </c>
      <c r="C37" s="97"/>
      <c r="D37" s="127"/>
      <c r="E37" s="97"/>
      <c r="F37" s="176"/>
      <c r="G37" s="417" t="s">
        <v>70</v>
      </c>
      <c r="H37" s="388">
        <f>H11</f>
        <v>5032</v>
      </c>
      <c r="I37" s="97"/>
      <c r="J37" s="127"/>
      <c r="K37" s="97"/>
      <c r="L37" s="413" t="s">
        <v>70</v>
      </c>
      <c r="M37" s="388">
        <f>M11</f>
        <v>5032</v>
      </c>
      <c r="N37" s="97"/>
      <c r="O37" s="127"/>
      <c r="P37" s="97"/>
      <c r="Q37" s="176"/>
      <c r="R37" s="417" t="s">
        <v>70</v>
      </c>
      <c r="S37" s="388">
        <f>S11</f>
        <v>5032</v>
      </c>
      <c r="T37" s="97"/>
      <c r="U37" s="127"/>
      <c r="V37" s="97"/>
      <c r="W37" s="176"/>
      <c r="X37" s="417" t="s">
        <v>70</v>
      </c>
      <c r="Y37" s="388">
        <f>Y11</f>
        <v>5032</v>
      </c>
      <c r="Z37" s="97"/>
      <c r="AA37" s="127"/>
      <c r="AB37" s="97"/>
      <c r="AC37" s="176"/>
    </row>
    <row r="38" spans="1:29" ht="15.75" thickBot="1">
      <c r="A38" s="382" t="s">
        <v>71</v>
      </c>
      <c r="B38" s="389">
        <f>B36*B37</f>
        <v>845376</v>
      </c>
      <c r="C38" s="97"/>
      <c r="D38" s="127"/>
      <c r="E38" s="97"/>
      <c r="F38" s="176"/>
      <c r="G38" s="418" t="s">
        <v>71</v>
      </c>
      <c r="H38" s="389">
        <f>H36*H37</f>
        <v>1026528</v>
      </c>
      <c r="I38" s="97"/>
      <c r="J38" s="127"/>
      <c r="K38" s="97"/>
      <c r="L38" s="382" t="s">
        <v>71</v>
      </c>
      <c r="M38" s="389">
        <f>M36*M37</f>
        <v>1127168</v>
      </c>
      <c r="N38" s="97"/>
      <c r="O38" s="127"/>
      <c r="P38" s="97"/>
      <c r="Q38" s="176"/>
      <c r="R38" s="418" t="s">
        <v>71</v>
      </c>
      <c r="S38" s="389">
        <f>S36*S37</f>
        <v>1127168</v>
      </c>
      <c r="T38" s="97"/>
      <c r="U38" s="127"/>
      <c r="V38" s="97"/>
      <c r="W38" s="176"/>
      <c r="X38" s="418" t="s">
        <v>71</v>
      </c>
      <c r="Y38" s="389">
        <f>Y36*Y37</f>
        <v>1127168</v>
      </c>
      <c r="Z38" s="97"/>
      <c r="AA38" s="127"/>
      <c r="AB38" s="97"/>
      <c r="AC38" s="176"/>
    </row>
    <row r="39" spans="1:29" ht="15">
      <c r="A39" s="128"/>
      <c r="B39" s="129"/>
      <c r="C39" s="97"/>
      <c r="D39" s="97"/>
      <c r="E39" s="127"/>
      <c r="F39" s="176"/>
      <c r="G39" s="7"/>
      <c r="H39" s="129"/>
      <c r="I39" s="97"/>
      <c r="J39" s="97"/>
      <c r="K39" s="127"/>
      <c r="L39" s="128"/>
      <c r="M39" s="129"/>
      <c r="N39" s="97"/>
      <c r="O39" s="97"/>
      <c r="P39" s="127"/>
      <c r="Q39" s="176"/>
      <c r="R39" s="7"/>
      <c r="S39" s="129"/>
      <c r="T39" s="97"/>
      <c r="U39" s="97"/>
      <c r="V39" s="127"/>
      <c r="W39" s="176"/>
      <c r="X39" s="7"/>
      <c r="Y39" s="129"/>
      <c r="Z39" s="97"/>
      <c r="AA39" s="97"/>
      <c r="AB39" s="127"/>
      <c r="AC39" s="176"/>
    </row>
    <row r="40" spans="1:29" ht="15.75" thickBot="1">
      <c r="A40" s="128"/>
      <c r="B40" s="129"/>
      <c r="C40" s="97"/>
      <c r="D40" s="97"/>
      <c r="E40" s="127"/>
      <c r="F40" s="176"/>
      <c r="G40" s="7"/>
      <c r="H40" s="129"/>
      <c r="I40" s="97"/>
      <c r="J40" s="97"/>
      <c r="K40" s="127"/>
      <c r="L40" s="128"/>
      <c r="M40" s="129"/>
      <c r="N40" s="97"/>
      <c r="O40" s="97"/>
      <c r="P40" s="127"/>
      <c r="Q40" s="176"/>
      <c r="R40" s="7"/>
      <c r="S40" s="129"/>
      <c r="T40" s="97"/>
      <c r="U40" s="97"/>
      <c r="V40" s="127"/>
      <c r="W40" s="176"/>
      <c r="X40" s="7"/>
      <c r="Y40" s="129"/>
      <c r="Z40" s="97"/>
      <c r="AA40" s="97"/>
      <c r="AB40" s="127"/>
      <c r="AC40" s="176"/>
    </row>
    <row r="41" spans="1:29" ht="13.5" thickBot="1">
      <c r="A41" s="972" t="s">
        <v>72</v>
      </c>
      <c r="B41" s="973"/>
      <c r="C41" s="97"/>
      <c r="D41" s="97"/>
      <c r="E41" s="127"/>
      <c r="F41" s="176"/>
      <c r="G41" s="986" t="s">
        <v>72</v>
      </c>
      <c r="H41" s="973"/>
      <c r="I41" s="97"/>
      <c r="J41" s="97"/>
      <c r="K41" s="127"/>
      <c r="L41" s="972" t="s">
        <v>72</v>
      </c>
      <c r="M41" s="973"/>
      <c r="N41" s="97"/>
      <c r="O41" s="97"/>
      <c r="P41" s="127"/>
      <c r="Q41" s="176"/>
      <c r="R41" s="986" t="s">
        <v>72</v>
      </c>
      <c r="S41" s="973"/>
      <c r="T41" s="97"/>
      <c r="U41" s="97"/>
      <c r="V41" s="127"/>
      <c r="W41" s="176"/>
      <c r="X41" s="986" t="s">
        <v>72</v>
      </c>
      <c r="Y41" s="973"/>
      <c r="Z41" s="97"/>
      <c r="AA41" s="97"/>
      <c r="AB41" s="127"/>
      <c r="AC41" s="176"/>
    </row>
    <row r="42" spans="1:29" ht="12.75">
      <c r="A42" s="412" t="s">
        <v>73</v>
      </c>
      <c r="B42" s="387">
        <f>D30</f>
        <v>168</v>
      </c>
      <c r="C42" s="97"/>
      <c r="D42" s="97"/>
      <c r="E42" s="127"/>
      <c r="F42" s="176"/>
      <c r="G42" s="416" t="s">
        <v>73</v>
      </c>
      <c r="H42" s="387">
        <f>J30</f>
        <v>204</v>
      </c>
      <c r="I42" s="97"/>
      <c r="J42" s="97"/>
      <c r="K42" s="127"/>
      <c r="L42" s="412" t="s">
        <v>73</v>
      </c>
      <c r="M42" s="387">
        <f>O30</f>
        <v>224</v>
      </c>
      <c r="N42" s="97"/>
      <c r="O42" s="97"/>
      <c r="P42" s="127"/>
      <c r="Q42" s="176"/>
      <c r="R42" s="416" t="s">
        <v>73</v>
      </c>
      <c r="S42" s="387">
        <f>U30</f>
        <v>224</v>
      </c>
      <c r="T42" s="97"/>
      <c r="U42" s="97"/>
      <c r="V42" s="127"/>
      <c r="W42" s="176"/>
      <c r="X42" s="416" t="s">
        <v>73</v>
      </c>
      <c r="Y42" s="387">
        <f>AA30</f>
        <v>224</v>
      </c>
      <c r="Z42" s="97"/>
      <c r="AA42" s="97"/>
      <c r="AB42" s="127"/>
      <c r="AC42" s="176"/>
    </row>
    <row r="43" spans="1:29" ht="13.5" thickBot="1">
      <c r="A43" s="413" t="s">
        <v>74</v>
      </c>
      <c r="B43" s="388">
        <f>B12</f>
        <v>1798</v>
      </c>
      <c r="C43" s="97"/>
      <c r="D43" s="97"/>
      <c r="E43" s="97"/>
      <c r="F43" s="176"/>
      <c r="G43" s="417" t="s">
        <v>74</v>
      </c>
      <c r="H43" s="388">
        <f>H12</f>
        <v>1798</v>
      </c>
      <c r="I43" s="97"/>
      <c r="J43" s="97"/>
      <c r="K43" s="97"/>
      <c r="L43" s="413" t="s">
        <v>74</v>
      </c>
      <c r="M43" s="388">
        <f>M12</f>
        <v>1798</v>
      </c>
      <c r="N43" s="97"/>
      <c r="O43" s="97"/>
      <c r="P43" s="97"/>
      <c r="Q43" s="176"/>
      <c r="R43" s="417" t="s">
        <v>74</v>
      </c>
      <c r="S43" s="388">
        <f>S12</f>
        <v>1798</v>
      </c>
      <c r="T43" s="97"/>
      <c r="U43" s="97"/>
      <c r="V43" s="97"/>
      <c r="W43" s="176"/>
      <c r="X43" s="417" t="s">
        <v>74</v>
      </c>
      <c r="Y43" s="388">
        <f>Y12</f>
        <v>1798</v>
      </c>
      <c r="Z43" s="97"/>
      <c r="AA43" s="97"/>
      <c r="AB43" s="97"/>
      <c r="AC43" s="176"/>
    </row>
    <row r="44" spans="1:29" ht="15.75" thickBot="1">
      <c r="A44" s="382" t="s">
        <v>75</v>
      </c>
      <c r="B44" s="389">
        <f>B42*B43</f>
        <v>302064</v>
      </c>
      <c r="C44" s="97"/>
      <c r="D44" s="97"/>
      <c r="E44" s="97"/>
      <c r="F44" s="176"/>
      <c r="G44" s="418" t="s">
        <v>75</v>
      </c>
      <c r="H44" s="389">
        <f>H42*H43</f>
        <v>366792</v>
      </c>
      <c r="I44" s="97"/>
      <c r="J44" s="97"/>
      <c r="K44" s="97"/>
      <c r="L44" s="382" t="s">
        <v>75</v>
      </c>
      <c r="M44" s="389">
        <f>M42*M43</f>
        <v>402752</v>
      </c>
      <c r="N44" s="97"/>
      <c r="O44" s="97"/>
      <c r="P44" s="97"/>
      <c r="Q44" s="176"/>
      <c r="R44" s="418" t="s">
        <v>75</v>
      </c>
      <c r="S44" s="389">
        <f>S42*S43</f>
        <v>402752</v>
      </c>
      <c r="T44" s="97"/>
      <c r="U44" s="97"/>
      <c r="V44" s="97"/>
      <c r="W44" s="176"/>
      <c r="X44" s="418" t="s">
        <v>75</v>
      </c>
      <c r="Y44" s="389">
        <f>Y42*Y43</f>
        <v>402752</v>
      </c>
      <c r="Z44" s="97"/>
      <c r="AA44" s="97"/>
      <c r="AB44" s="97"/>
      <c r="AC44" s="176"/>
    </row>
    <row r="45" spans="1:29" ht="12.75">
      <c r="A45" s="130"/>
      <c r="B45" s="131"/>
      <c r="C45" s="132"/>
      <c r="D45" s="124"/>
      <c r="E45" s="136"/>
      <c r="F45" s="176"/>
      <c r="G45" s="131"/>
      <c r="H45" s="131"/>
      <c r="I45" s="132"/>
      <c r="J45" s="124"/>
      <c r="K45" s="136"/>
      <c r="L45" s="130"/>
      <c r="M45" s="131"/>
      <c r="N45" s="132"/>
      <c r="O45" s="124"/>
      <c r="P45" s="136"/>
      <c r="Q45" s="176"/>
      <c r="R45" s="131"/>
      <c r="S45" s="131"/>
      <c r="T45" s="132"/>
      <c r="U45" s="124"/>
      <c r="V45" s="136"/>
      <c r="W45" s="176"/>
      <c r="X45" s="131"/>
      <c r="Y45" s="131"/>
      <c r="Z45" s="132"/>
      <c r="AA45" s="124"/>
      <c r="AB45" s="136"/>
      <c r="AC45" s="176"/>
    </row>
    <row r="46" spans="1:29" ht="13.5" thickBot="1">
      <c r="A46" s="130"/>
      <c r="B46" s="131"/>
      <c r="C46" s="132"/>
      <c r="D46" s="124"/>
      <c r="E46" s="136"/>
      <c r="F46" s="176"/>
      <c r="G46" s="131"/>
      <c r="H46" s="131"/>
      <c r="I46" s="132"/>
      <c r="J46" s="124"/>
      <c r="K46" s="136"/>
      <c r="L46" s="130"/>
      <c r="M46" s="131"/>
      <c r="N46" s="132"/>
      <c r="O46" s="124"/>
      <c r="P46" s="136"/>
      <c r="Q46" s="176"/>
      <c r="R46" s="131"/>
      <c r="S46" s="131"/>
      <c r="T46" s="132"/>
      <c r="U46" s="124"/>
      <c r="V46" s="136"/>
      <c r="W46" s="176"/>
      <c r="X46" s="131"/>
      <c r="Y46" s="131"/>
      <c r="Z46" s="132"/>
      <c r="AA46" s="124"/>
      <c r="AB46" s="136"/>
      <c r="AC46" s="176"/>
    </row>
    <row r="47" spans="1:29" ht="13.5" thickBot="1">
      <c r="A47" s="414" t="s">
        <v>76</v>
      </c>
      <c r="B47" s="411"/>
      <c r="C47" s="132"/>
      <c r="D47" s="124"/>
      <c r="E47" s="136"/>
      <c r="F47" s="176"/>
      <c r="G47" s="419" t="s">
        <v>76</v>
      </c>
      <c r="H47" s="411"/>
      <c r="I47" s="132"/>
      <c r="J47" s="124"/>
      <c r="K47" s="136"/>
      <c r="L47" s="731" t="s">
        <v>76</v>
      </c>
      <c r="M47" s="732"/>
      <c r="N47" s="132"/>
      <c r="O47" s="124"/>
      <c r="P47" s="136"/>
      <c r="Q47" s="176"/>
      <c r="R47" s="419" t="s">
        <v>76</v>
      </c>
      <c r="S47" s="411"/>
      <c r="T47" s="132"/>
      <c r="U47" s="124"/>
      <c r="V47" s="136"/>
      <c r="W47" s="176"/>
      <c r="X47" s="419" t="s">
        <v>76</v>
      </c>
      <c r="Y47" s="411"/>
      <c r="Z47" s="132"/>
      <c r="AA47" s="124"/>
      <c r="AB47" s="136"/>
      <c r="AC47" s="176"/>
    </row>
    <row r="48" spans="1:29" ht="12.75">
      <c r="A48" s="415" t="s">
        <v>71</v>
      </c>
      <c r="B48" s="390">
        <f>B38</f>
        <v>845376</v>
      </c>
      <c r="C48" s="132"/>
      <c r="D48" s="124"/>
      <c r="E48" s="136"/>
      <c r="F48" s="176"/>
      <c r="G48" s="420" t="s">
        <v>71</v>
      </c>
      <c r="H48" s="390">
        <f>H38</f>
        <v>1026528</v>
      </c>
      <c r="I48" s="132"/>
      <c r="J48" s="124"/>
      <c r="K48" s="136"/>
      <c r="L48" s="415" t="s">
        <v>71</v>
      </c>
      <c r="M48" s="390">
        <f>M38</f>
        <v>1127168</v>
      </c>
      <c r="N48" s="132"/>
      <c r="O48" s="124"/>
      <c r="P48" s="136"/>
      <c r="Q48" s="176"/>
      <c r="R48" s="420" t="s">
        <v>71</v>
      </c>
      <c r="S48" s="390">
        <f>S38</f>
        <v>1127168</v>
      </c>
      <c r="T48" s="132"/>
      <c r="U48" s="124"/>
      <c r="V48" s="136"/>
      <c r="W48" s="176"/>
      <c r="X48" s="420" t="s">
        <v>71</v>
      </c>
      <c r="Y48" s="390">
        <f>Y38</f>
        <v>1127168</v>
      </c>
      <c r="Z48" s="132"/>
      <c r="AA48" s="124"/>
      <c r="AB48" s="136"/>
      <c r="AC48" s="176"/>
    </row>
    <row r="49" spans="1:29" ht="13.5" thickBot="1">
      <c r="A49" s="415" t="s">
        <v>75</v>
      </c>
      <c r="B49" s="388">
        <f>B44</f>
        <v>302064</v>
      </c>
      <c r="C49" s="132"/>
      <c r="D49" s="124"/>
      <c r="E49" s="136"/>
      <c r="F49" s="176"/>
      <c r="G49" s="420" t="s">
        <v>75</v>
      </c>
      <c r="H49" s="388">
        <f>H44</f>
        <v>366792</v>
      </c>
      <c r="I49" s="132"/>
      <c r="J49" s="124"/>
      <c r="K49" s="136"/>
      <c r="L49" s="415" t="s">
        <v>75</v>
      </c>
      <c r="M49" s="388">
        <f>M44</f>
        <v>402752</v>
      </c>
      <c r="N49" s="132"/>
      <c r="O49" s="124"/>
      <c r="P49" s="136"/>
      <c r="Q49" s="176"/>
      <c r="R49" s="420" t="s">
        <v>75</v>
      </c>
      <c r="S49" s="388">
        <f>S44</f>
        <v>402752</v>
      </c>
      <c r="T49" s="132"/>
      <c r="U49" s="124"/>
      <c r="V49" s="136"/>
      <c r="W49" s="176"/>
      <c r="X49" s="420" t="s">
        <v>75</v>
      </c>
      <c r="Y49" s="388">
        <f>Y44</f>
        <v>402752</v>
      </c>
      <c r="Z49" s="132"/>
      <c r="AA49" s="124"/>
      <c r="AB49" s="136"/>
      <c r="AC49" s="176"/>
    </row>
    <row r="50" spans="1:29" ht="15.75" thickBot="1">
      <c r="A50" s="382" t="s">
        <v>77</v>
      </c>
      <c r="B50" s="389">
        <f>B48+B49</f>
        <v>1147440</v>
      </c>
      <c r="C50" s="132"/>
      <c r="D50" s="124"/>
      <c r="E50" s="136"/>
      <c r="F50" s="176"/>
      <c r="G50" s="418" t="s">
        <v>77</v>
      </c>
      <c r="H50" s="389">
        <f>H48+H49</f>
        <v>1393320</v>
      </c>
      <c r="I50" s="132"/>
      <c r="J50" s="124"/>
      <c r="K50" s="136"/>
      <c r="L50" s="382" t="s">
        <v>77</v>
      </c>
      <c r="M50" s="389">
        <f>M48+M49</f>
        <v>1529920</v>
      </c>
      <c r="N50" s="132"/>
      <c r="O50" s="124"/>
      <c r="P50" s="136"/>
      <c r="Q50" s="176"/>
      <c r="R50" s="418" t="s">
        <v>77</v>
      </c>
      <c r="S50" s="389">
        <f>S48+S49</f>
        <v>1529920</v>
      </c>
      <c r="T50" s="132"/>
      <c r="U50" s="124"/>
      <c r="V50" s="136"/>
      <c r="W50" s="176"/>
      <c r="X50" s="418" t="s">
        <v>77</v>
      </c>
      <c r="Y50" s="389">
        <f>Y48+Y49</f>
        <v>1529920</v>
      </c>
      <c r="Z50" s="132"/>
      <c r="AA50" s="124"/>
      <c r="AB50" s="136"/>
      <c r="AC50" s="176"/>
    </row>
    <row r="51" spans="1:29" ht="12.75">
      <c r="A51" s="130"/>
      <c r="B51" s="131"/>
      <c r="C51" s="132"/>
      <c r="D51" s="124"/>
      <c r="E51" s="136"/>
      <c r="F51" s="176"/>
      <c r="G51" s="131"/>
      <c r="H51" s="131"/>
      <c r="I51" s="132"/>
      <c r="J51" s="124"/>
      <c r="K51" s="136"/>
      <c r="L51" s="130"/>
      <c r="M51" s="131"/>
      <c r="N51" s="132"/>
      <c r="O51" s="124"/>
      <c r="P51" s="136"/>
      <c r="Q51" s="176"/>
      <c r="R51" s="131"/>
      <c r="S51" s="131"/>
      <c r="T51" s="132"/>
      <c r="U51" s="124"/>
      <c r="V51" s="136"/>
      <c r="W51" s="176"/>
      <c r="X51" s="131"/>
      <c r="Y51" s="131"/>
      <c r="Z51" s="132"/>
      <c r="AA51" s="124"/>
      <c r="AB51" s="136"/>
      <c r="AC51" s="176"/>
    </row>
    <row r="52" spans="1:29" ht="13.5" thickBot="1">
      <c r="A52" s="133"/>
      <c r="B52" s="134"/>
      <c r="C52" s="135"/>
      <c r="D52" s="135"/>
      <c r="E52" s="171"/>
      <c r="F52" s="176"/>
      <c r="G52" s="134"/>
      <c r="H52" s="134"/>
      <c r="I52" s="135"/>
      <c r="J52" s="135"/>
      <c r="K52" s="171"/>
      <c r="L52" s="133"/>
      <c r="M52" s="134"/>
      <c r="N52" s="135"/>
      <c r="O52" s="135"/>
      <c r="P52" s="171"/>
      <c r="Q52" s="176"/>
      <c r="R52" s="134"/>
      <c r="S52" s="134"/>
      <c r="T52" s="135"/>
      <c r="U52" s="135"/>
      <c r="V52" s="171"/>
      <c r="W52" s="176"/>
      <c r="X52" s="134"/>
      <c r="Y52" s="134"/>
      <c r="Z52" s="135"/>
      <c r="AA52" s="135"/>
      <c r="AB52" s="171"/>
      <c r="AC52" s="176"/>
    </row>
    <row r="53" spans="1:29" ht="12.75">
      <c r="A53" s="188"/>
      <c r="B53" s="116"/>
      <c r="C53" s="116"/>
      <c r="D53" s="116"/>
      <c r="E53" s="136"/>
      <c r="F53" s="176"/>
      <c r="G53" s="116"/>
      <c r="H53" s="116"/>
      <c r="I53" s="116"/>
      <c r="J53" s="116"/>
      <c r="K53" s="136"/>
      <c r="L53" s="188"/>
      <c r="M53" s="116"/>
      <c r="N53" s="116"/>
      <c r="O53" s="116"/>
      <c r="P53" s="136"/>
      <c r="Q53" s="176"/>
      <c r="R53" s="116"/>
      <c r="S53" s="116"/>
      <c r="T53" s="116"/>
      <c r="U53" s="116"/>
      <c r="V53" s="136"/>
      <c r="W53" s="176"/>
      <c r="X53" s="116"/>
      <c r="Y53" s="116"/>
      <c r="Z53" s="116"/>
      <c r="AA53" s="116"/>
      <c r="AB53" s="136"/>
      <c r="AC53" s="176"/>
    </row>
    <row r="54" spans="1:29" ht="12.75">
      <c r="A54" s="188"/>
      <c r="B54" s="116"/>
      <c r="C54" s="116"/>
      <c r="D54" s="116"/>
      <c r="E54" s="115"/>
      <c r="F54" s="176"/>
      <c r="G54" s="116"/>
      <c r="H54" s="116"/>
      <c r="I54" s="116"/>
      <c r="J54" s="116"/>
      <c r="K54" s="115"/>
      <c r="L54" s="188"/>
      <c r="M54" s="116"/>
      <c r="N54" s="116"/>
      <c r="O54" s="116"/>
      <c r="P54" s="115"/>
      <c r="Q54" s="176"/>
      <c r="R54" s="116"/>
      <c r="S54" s="116"/>
      <c r="T54" s="116"/>
      <c r="U54" s="116"/>
      <c r="V54" s="115"/>
      <c r="W54" s="176"/>
      <c r="X54" s="116"/>
      <c r="Y54" s="116"/>
      <c r="Z54" s="116"/>
      <c r="AA54" s="116"/>
      <c r="AB54" s="115"/>
      <c r="AC54" s="176"/>
    </row>
    <row r="55" spans="1:29" ht="12.75">
      <c r="A55" s="188"/>
      <c r="B55" s="116"/>
      <c r="C55" s="116"/>
      <c r="D55" s="116"/>
      <c r="E55" s="115"/>
      <c r="F55" s="176"/>
      <c r="G55" s="116"/>
      <c r="H55" s="116"/>
      <c r="I55" s="116"/>
      <c r="J55" s="116"/>
      <c r="K55" s="115"/>
      <c r="L55" s="188"/>
      <c r="M55" s="116"/>
      <c r="N55" s="116"/>
      <c r="O55" s="116"/>
      <c r="P55" s="115"/>
      <c r="Q55" s="176"/>
      <c r="R55" s="116"/>
      <c r="S55" s="116"/>
      <c r="T55" s="116"/>
      <c r="U55" s="116"/>
      <c r="V55" s="115"/>
      <c r="W55" s="176"/>
      <c r="X55" s="116"/>
      <c r="Y55" s="116"/>
      <c r="Z55" s="116"/>
      <c r="AA55" s="116"/>
      <c r="AB55" s="115"/>
      <c r="AC55" s="176"/>
    </row>
    <row r="56" spans="1:29" ht="13.5" thickBot="1">
      <c r="A56" s="188"/>
      <c r="B56" s="116"/>
      <c r="C56" s="116"/>
      <c r="D56" s="116"/>
      <c r="E56" s="115"/>
      <c r="F56" s="176"/>
      <c r="G56" s="116"/>
      <c r="H56" s="116"/>
      <c r="I56" s="116"/>
      <c r="J56" s="116"/>
      <c r="K56" s="115"/>
      <c r="L56" s="188"/>
      <c r="M56" s="116"/>
      <c r="N56" s="116"/>
      <c r="O56" s="116"/>
      <c r="P56" s="115"/>
      <c r="Q56" s="176"/>
      <c r="R56" s="116"/>
      <c r="S56" s="116"/>
      <c r="T56" s="116"/>
      <c r="U56" s="116"/>
      <c r="V56" s="115"/>
      <c r="W56" s="176"/>
      <c r="X56" s="116"/>
      <c r="Y56" s="116"/>
      <c r="Z56" s="116"/>
      <c r="AA56" s="116"/>
      <c r="AB56" s="115"/>
      <c r="AC56" s="176"/>
    </row>
    <row r="57" spans="1:29" ht="16.5" thickBot="1">
      <c r="A57" s="974" t="s">
        <v>78</v>
      </c>
      <c r="B57" s="975"/>
      <c r="C57" s="975"/>
      <c r="D57" s="975"/>
      <c r="E57" s="975"/>
      <c r="F57" s="469"/>
      <c r="G57" s="975" t="s">
        <v>78</v>
      </c>
      <c r="H57" s="975"/>
      <c r="I57" s="975"/>
      <c r="J57" s="975"/>
      <c r="K57" s="975"/>
      <c r="L57" s="974" t="s">
        <v>78</v>
      </c>
      <c r="M57" s="975"/>
      <c r="N57" s="975"/>
      <c r="O57" s="975"/>
      <c r="P57" s="975"/>
      <c r="Q57" s="175"/>
      <c r="R57" s="975" t="s">
        <v>78</v>
      </c>
      <c r="S57" s="975"/>
      <c r="T57" s="975"/>
      <c r="U57" s="975"/>
      <c r="V57" s="975"/>
      <c r="W57" s="175"/>
      <c r="X57" s="975" t="s">
        <v>78</v>
      </c>
      <c r="Y57" s="975"/>
      <c r="Z57" s="975"/>
      <c r="AA57" s="975"/>
      <c r="AB57" s="975"/>
      <c r="AC57" s="175"/>
    </row>
    <row r="58" spans="1:29" ht="36" customHeight="1" thickBot="1">
      <c r="A58" s="969" t="s">
        <v>79</v>
      </c>
      <c r="B58" s="970"/>
      <c r="C58" s="970"/>
      <c r="D58" s="970"/>
      <c r="E58" s="970"/>
      <c r="F58" s="175"/>
      <c r="G58" s="970" t="s">
        <v>79</v>
      </c>
      <c r="H58" s="970"/>
      <c r="I58" s="970"/>
      <c r="J58" s="970"/>
      <c r="K58" s="970"/>
      <c r="L58" s="969" t="s">
        <v>250</v>
      </c>
      <c r="M58" s="970"/>
      <c r="N58" s="970"/>
      <c r="O58" s="970"/>
      <c r="P58" s="970"/>
      <c r="Q58" s="175"/>
      <c r="R58" s="970" t="s">
        <v>250</v>
      </c>
      <c r="S58" s="970"/>
      <c r="T58" s="970"/>
      <c r="U58" s="970"/>
      <c r="V58" s="970"/>
      <c r="W58" s="175"/>
      <c r="X58" s="970" t="s">
        <v>250</v>
      </c>
      <c r="Y58" s="970"/>
      <c r="Z58" s="970"/>
      <c r="AA58" s="970"/>
      <c r="AB58" s="970"/>
      <c r="AC58" s="175"/>
    </row>
    <row r="59" spans="1:29" ht="16.5" thickBot="1">
      <c r="A59" s="120"/>
      <c r="B59" s="121"/>
      <c r="C59" s="121"/>
      <c r="D59" s="119"/>
      <c r="E59" s="119"/>
      <c r="F59" s="176"/>
      <c r="G59" s="119"/>
      <c r="H59" s="121"/>
      <c r="I59" s="121"/>
      <c r="J59" s="119"/>
      <c r="K59" s="119"/>
      <c r="L59" s="733"/>
      <c r="M59" s="143"/>
      <c r="N59" s="121"/>
      <c r="O59" s="119"/>
      <c r="P59" s="119"/>
      <c r="Q59" s="176"/>
      <c r="R59" s="119"/>
      <c r="S59" s="121"/>
      <c r="T59" s="121"/>
      <c r="U59" s="119"/>
      <c r="V59" s="119"/>
      <c r="W59" s="176"/>
      <c r="X59" s="119"/>
      <c r="Y59" s="121"/>
      <c r="Z59" s="121"/>
      <c r="AA59" s="119"/>
      <c r="AB59" s="119"/>
      <c r="AC59" s="176"/>
    </row>
    <row r="60" spans="1:29" ht="26.25" thickBot="1">
      <c r="A60" s="372" t="s">
        <v>61</v>
      </c>
      <c r="B60" s="422" t="s">
        <v>62</v>
      </c>
      <c r="C60" s="423" t="s">
        <v>63</v>
      </c>
      <c r="D60" s="372" t="s">
        <v>64</v>
      </c>
      <c r="E60" s="88"/>
      <c r="F60" s="176"/>
      <c r="G60" s="411" t="s">
        <v>61</v>
      </c>
      <c r="H60" s="422" t="s">
        <v>62</v>
      </c>
      <c r="I60" s="423" t="s">
        <v>63</v>
      </c>
      <c r="J60" s="372" t="s">
        <v>64</v>
      </c>
      <c r="K60" s="88"/>
      <c r="L60" s="372" t="s">
        <v>61</v>
      </c>
      <c r="M60" s="734" t="s">
        <v>62</v>
      </c>
      <c r="N60" s="735" t="s">
        <v>63</v>
      </c>
      <c r="O60" s="372" t="s">
        <v>64</v>
      </c>
      <c r="P60" s="88"/>
      <c r="Q60" s="176"/>
      <c r="R60" s="411" t="s">
        <v>61</v>
      </c>
      <c r="S60" s="422" t="s">
        <v>62</v>
      </c>
      <c r="T60" s="423" t="s">
        <v>63</v>
      </c>
      <c r="U60" s="372" t="s">
        <v>64</v>
      </c>
      <c r="V60" s="88"/>
      <c r="W60" s="176"/>
      <c r="X60" s="411" t="s">
        <v>61</v>
      </c>
      <c r="Y60" s="422" t="s">
        <v>62</v>
      </c>
      <c r="Z60" s="423" t="s">
        <v>63</v>
      </c>
      <c r="AA60" s="372" t="s">
        <v>64</v>
      </c>
      <c r="AB60" s="88"/>
      <c r="AC60" s="176"/>
    </row>
    <row r="61" spans="1:29" ht="12.75">
      <c r="A61" s="401">
        <v>4</v>
      </c>
      <c r="B61" s="123">
        <v>28</v>
      </c>
      <c r="C61" s="123"/>
      <c r="D61" s="379">
        <f>B61+C61</f>
        <v>28</v>
      </c>
      <c r="E61" s="88"/>
      <c r="F61" s="176"/>
      <c r="G61" s="407">
        <v>4</v>
      </c>
      <c r="H61" s="123">
        <v>36</v>
      </c>
      <c r="I61" s="123"/>
      <c r="J61" s="379">
        <f>H61+I61</f>
        <v>36</v>
      </c>
      <c r="K61" s="88"/>
      <c r="L61" s="401">
        <v>4</v>
      </c>
      <c r="M61" s="123">
        <v>45</v>
      </c>
      <c r="N61" s="123"/>
      <c r="O61" s="379">
        <f>M61+N61</f>
        <v>45</v>
      </c>
      <c r="P61" s="88"/>
      <c r="Q61" s="176"/>
      <c r="R61" s="407">
        <v>4</v>
      </c>
      <c r="S61" s="123">
        <v>56</v>
      </c>
      <c r="T61" s="123"/>
      <c r="U61" s="379">
        <f>S61+T61</f>
        <v>56</v>
      </c>
      <c r="V61" s="88"/>
      <c r="W61" s="176"/>
      <c r="X61" s="407">
        <v>4</v>
      </c>
      <c r="Y61" s="123">
        <v>56</v>
      </c>
      <c r="Z61" s="123"/>
      <c r="AA61" s="379">
        <f>Y61+Z61</f>
        <v>56</v>
      </c>
      <c r="AB61" s="88"/>
      <c r="AC61" s="176"/>
    </row>
    <row r="62" spans="1:29" ht="12.75">
      <c r="A62" s="378">
        <v>5</v>
      </c>
      <c r="B62" s="123">
        <v>28</v>
      </c>
      <c r="C62" s="125"/>
      <c r="D62" s="380">
        <f>B62+C62</f>
        <v>28</v>
      </c>
      <c r="E62" s="88"/>
      <c r="F62" s="176"/>
      <c r="G62" s="408">
        <v>5</v>
      </c>
      <c r="H62" s="123">
        <v>36</v>
      </c>
      <c r="I62" s="125"/>
      <c r="J62" s="380">
        <f>H62+I62</f>
        <v>36</v>
      </c>
      <c r="K62" s="88"/>
      <c r="L62" s="378">
        <v>5</v>
      </c>
      <c r="M62" s="123">
        <v>45</v>
      </c>
      <c r="N62" s="125"/>
      <c r="O62" s="380">
        <f>M62+N62</f>
        <v>45</v>
      </c>
      <c r="P62" s="88"/>
      <c r="Q62" s="176"/>
      <c r="R62" s="408">
        <v>5</v>
      </c>
      <c r="S62" s="123">
        <v>56</v>
      </c>
      <c r="T62" s="123"/>
      <c r="U62" s="380">
        <f>S62+T62</f>
        <v>56</v>
      </c>
      <c r="V62" s="88"/>
      <c r="W62" s="176"/>
      <c r="X62" s="408">
        <v>5</v>
      </c>
      <c r="Y62" s="123">
        <v>56</v>
      </c>
      <c r="Z62" s="123"/>
      <c r="AA62" s="380">
        <f>Y62+Z62</f>
        <v>56</v>
      </c>
      <c r="AB62" s="88"/>
      <c r="AC62" s="176"/>
    </row>
    <row r="63" spans="1:29" ht="12.75">
      <c r="A63" s="378">
        <v>6</v>
      </c>
      <c r="B63" s="123"/>
      <c r="C63" s="125"/>
      <c r="D63" s="380">
        <f>B63+C63</f>
        <v>0</v>
      </c>
      <c r="E63" s="88"/>
      <c r="F63" s="176"/>
      <c r="G63" s="408">
        <v>6</v>
      </c>
      <c r="H63" s="123">
        <v>36</v>
      </c>
      <c r="I63" s="125"/>
      <c r="J63" s="380">
        <f>H63+I63</f>
        <v>36</v>
      </c>
      <c r="K63" s="88"/>
      <c r="L63" s="378">
        <v>6</v>
      </c>
      <c r="M63" s="123">
        <v>45</v>
      </c>
      <c r="N63" s="125"/>
      <c r="O63" s="380">
        <f>M63+N63</f>
        <v>45</v>
      </c>
      <c r="P63" s="88"/>
      <c r="Q63" s="176"/>
      <c r="R63" s="408">
        <v>6</v>
      </c>
      <c r="S63" s="123">
        <v>56</v>
      </c>
      <c r="T63" s="123"/>
      <c r="U63" s="380">
        <f>S63+T63</f>
        <v>56</v>
      </c>
      <c r="V63" s="88"/>
      <c r="W63" s="176"/>
      <c r="X63" s="408">
        <v>6</v>
      </c>
      <c r="Y63" s="123">
        <v>56</v>
      </c>
      <c r="Z63" s="123"/>
      <c r="AA63" s="380">
        <f>Y63+Z63</f>
        <v>56</v>
      </c>
      <c r="AB63" s="88"/>
      <c r="AC63" s="176"/>
    </row>
    <row r="64" spans="1:29" ht="12.75">
      <c r="A64" s="378">
        <v>7</v>
      </c>
      <c r="B64" s="123"/>
      <c r="C64" s="125"/>
      <c r="D64" s="380">
        <f>B64+C64</f>
        <v>0</v>
      </c>
      <c r="E64" s="88"/>
      <c r="F64" s="176"/>
      <c r="G64" s="408">
        <v>7</v>
      </c>
      <c r="H64" s="123"/>
      <c r="I64" s="125"/>
      <c r="J64" s="380">
        <f>H64+I64</f>
        <v>0</v>
      </c>
      <c r="K64" s="88"/>
      <c r="L64" s="378">
        <v>7</v>
      </c>
      <c r="M64" s="123">
        <v>45</v>
      </c>
      <c r="N64" s="125"/>
      <c r="O64" s="380">
        <f>M64+N64</f>
        <v>45</v>
      </c>
      <c r="P64" s="88"/>
      <c r="Q64" s="176"/>
      <c r="R64" s="408">
        <v>7</v>
      </c>
      <c r="S64" s="123">
        <v>56</v>
      </c>
      <c r="T64" s="123"/>
      <c r="U64" s="380">
        <f>S64+T64</f>
        <v>56</v>
      </c>
      <c r="V64" s="88"/>
      <c r="W64" s="176"/>
      <c r="X64" s="408">
        <v>7</v>
      </c>
      <c r="Y64" s="123">
        <v>56</v>
      </c>
      <c r="Z64" s="123"/>
      <c r="AA64" s="380">
        <f>Y64+Z64</f>
        <v>56</v>
      </c>
      <c r="AB64" s="88"/>
      <c r="AC64" s="176"/>
    </row>
    <row r="65" spans="1:29" ht="13.5" thickBot="1">
      <c r="A65" s="421">
        <v>8</v>
      </c>
      <c r="B65" s="123"/>
      <c r="C65" s="125"/>
      <c r="D65" s="381">
        <f>B65+C65</f>
        <v>0</v>
      </c>
      <c r="E65" s="88"/>
      <c r="F65" s="176"/>
      <c r="G65" s="424">
        <v>8</v>
      </c>
      <c r="H65" s="123"/>
      <c r="I65" s="125"/>
      <c r="J65" s="381">
        <f>H65+I65</f>
        <v>0</v>
      </c>
      <c r="K65" s="88"/>
      <c r="L65" s="421">
        <v>8</v>
      </c>
      <c r="M65" s="123"/>
      <c r="N65" s="125"/>
      <c r="O65" s="381">
        <f>M65+N65</f>
        <v>0</v>
      </c>
      <c r="P65" s="88"/>
      <c r="Q65" s="176"/>
      <c r="R65" s="424">
        <v>8</v>
      </c>
      <c r="S65" s="123">
        <v>56</v>
      </c>
      <c r="T65" s="123"/>
      <c r="U65" s="381">
        <f>S65+T65</f>
        <v>56</v>
      </c>
      <c r="V65" s="88"/>
      <c r="W65" s="176"/>
      <c r="X65" s="424">
        <v>8</v>
      </c>
      <c r="Y65" s="123">
        <v>56</v>
      </c>
      <c r="Z65" s="123"/>
      <c r="AA65" s="381">
        <f>Y65+Z65</f>
        <v>56</v>
      </c>
      <c r="AB65" s="88"/>
      <c r="AC65" s="176"/>
    </row>
    <row r="66" spans="1:29" ht="13.5" thickBot="1">
      <c r="A66" s="402" t="s">
        <v>80</v>
      </c>
      <c r="B66" s="383">
        <f>SUM(B61:B65)</f>
        <v>56</v>
      </c>
      <c r="C66" s="384">
        <f>SUM(C61:C65)</f>
        <v>0</v>
      </c>
      <c r="D66" s="386">
        <f>SUM(D61:D65)</f>
        <v>56</v>
      </c>
      <c r="E66" s="88"/>
      <c r="F66" s="176"/>
      <c r="G66" s="409" t="s">
        <v>80</v>
      </c>
      <c r="H66" s="383">
        <f>SUM(H61:H65)</f>
        <v>108</v>
      </c>
      <c r="I66" s="384">
        <f>SUM(I61:I65)</f>
        <v>0</v>
      </c>
      <c r="J66" s="386">
        <f>SUM(J61:J65)</f>
        <v>108</v>
      </c>
      <c r="K66" s="88"/>
      <c r="L66" s="402" t="s">
        <v>80</v>
      </c>
      <c r="M66" s="383">
        <f>SUM(M61:M65)</f>
        <v>180</v>
      </c>
      <c r="N66" s="384">
        <f>SUM(N61:N65)</f>
        <v>0</v>
      </c>
      <c r="O66" s="386">
        <f>SUM(O61:O65)</f>
        <v>180</v>
      </c>
      <c r="P66" s="88"/>
      <c r="Q66" s="176"/>
      <c r="R66" s="409" t="s">
        <v>80</v>
      </c>
      <c r="S66" s="383">
        <f>SUM(S61:S65)</f>
        <v>280</v>
      </c>
      <c r="T66" s="384">
        <f>SUM(T61:T65)</f>
        <v>0</v>
      </c>
      <c r="U66" s="386">
        <f>SUM(U61:U65)</f>
        <v>280</v>
      </c>
      <c r="V66" s="88"/>
      <c r="W66" s="176"/>
      <c r="X66" s="409" t="s">
        <v>80</v>
      </c>
      <c r="Y66" s="383">
        <f>SUM(Y61:Y65)</f>
        <v>280</v>
      </c>
      <c r="Z66" s="384">
        <f>SUM(Z61:Z65)</f>
        <v>0</v>
      </c>
      <c r="AA66" s="386">
        <f>SUM(AA61:AA65)</f>
        <v>280</v>
      </c>
      <c r="AB66" s="88"/>
      <c r="AC66" s="176"/>
    </row>
    <row r="67" spans="1:29" ht="13.5" thickBot="1">
      <c r="A67" s="403" t="s">
        <v>67</v>
      </c>
      <c r="B67" s="385">
        <v>1</v>
      </c>
      <c r="C67" s="385">
        <v>0.4</v>
      </c>
      <c r="D67" s="88"/>
      <c r="E67" s="88"/>
      <c r="F67" s="176"/>
      <c r="G67" s="410" t="s">
        <v>67</v>
      </c>
      <c r="H67" s="385">
        <v>1</v>
      </c>
      <c r="I67" s="385">
        <v>0.4</v>
      </c>
      <c r="J67" s="88"/>
      <c r="K67" s="88"/>
      <c r="L67" s="403" t="s">
        <v>67</v>
      </c>
      <c r="M67" s="385">
        <v>1</v>
      </c>
      <c r="N67" s="385">
        <v>0.4</v>
      </c>
      <c r="O67" s="88"/>
      <c r="P67" s="88"/>
      <c r="Q67" s="176"/>
      <c r="R67" s="410" t="s">
        <v>67</v>
      </c>
      <c r="S67" s="385">
        <v>1</v>
      </c>
      <c r="T67" s="385">
        <v>0.4</v>
      </c>
      <c r="U67" s="88"/>
      <c r="V67" s="88"/>
      <c r="W67" s="176"/>
      <c r="X67" s="410" t="s">
        <v>67</v>
      </c>
      <c r="Y67" s="385">
        <v>1</v>
      </c>
      <c r="Z67" s="385">
        <v>0.4</v>
      </c>
      <c r="AA67" s="88"/>
      <c r="AB67" s="88"/>
      <c r="AC67" s="176"/>
    </row>
    <row r="68" spans="1:29" ht="13.5" thickBot="1">
      <c r="A68" s="372" t="s">
        <v>81</v>
      </c>
      <c r="B68" s="386">
        <f>B66*B67</f>
        <v>56</v>
      </c>
      <c r="C68" s="438">
        <f>C66*C67</f>
        <v>0</v>
      </c>
      <c r="D68" s="439">
        <f>B68+C68</f>
        <v>56</v>
      </c>
      <c r="E68" s="88"/>
      <c r="F68" s="176"/>
      <c r="G68" s="411" t="s">
        <v>81</v>
      </c>
      <c r="H68" s="386">
        <f>H66*H67</f>
        <v>108</v>
      </c>
      <c r="I68" s="438">
        <f>I66*I67</f>
        <v>0</v>
      </c>
      <c r="J68" s="439">
        <f>H68+I68</f>
        <v>108</v>
      </c>
      <c r="K68" s="88"/>
      <c r="L68" s="372" t="s">
        <v>81</v>
      </c>
      <c r="M68" s="386">
        <f>M66*M67</f>
        <v>180</v>
      </c>
      <c r="N68" s="438">
        <f>N66*N67</f>
        <v>0</v>
      </c>
      <c r="O68" s="439">
        <f>M68+N68</f>
        <v>180</v>
      </c>
      <c r="P68" s="88"/>
      <c r="Q68" s="176"/>
      <c r="R68" s="411" t="s">
        <v>81</v>
      </c>
      <c r="S68" s="386">
        <f>S66*S67</f>
        <v>280</v>
      </c>
      <c r="T68" s="438">
        <f>T66*T67</f>
        <v>0</v>
      </c>
      <c r="U68" s="439">
        <f>S68+T68</f>
        <v>280</v>
      </c>
      <c r="V68" s="88"/>
      <c r="W68" s="176"/>
      <c r="X68" s="411" t="s">
        <v>81</v>
      </c>
      <c r="Y68" s="386">
        <f>Y66*Y67</f>
        <v>280</v>
      </c>
      <c r="Z68" s="438">
        <f>Z66*Z67</f>
        <v>0</v>
      </c>
      <c r="AA68" s="439">
        <f>Y68+Z68</f>
        <v>280</v>
      </c>
      <c r="AB68" s="88"/>
      <c r="AC68" s="176"/>
    </row>
    <row r="69" spans="1:29" ht="12.75">
      <c r="A69" s="126"/>
      <c r="B69" s="127"/>
      <c r="C69" s="97"/>
      <c r="D69" s="127"/>
      <c r="E69" s="97"/>
      <c r="F69" s="176"/>
      <c r="G69" s="127"/>
      <c r="H69" s="127"/>
      <c r="I69" s="97"/>
      <c r="J69" s="127"/>
      <c r="K69" s="97"/>
      <c r="L69" s="126"/>
      <c r="M69" s="127"/>
      <c r="N69" s="97"/>
      <c r="O69" s="127"/>
      <c r="P69" s="97"/>
      <c r="Q69" s="176"/>
      <c r="R69" s="127"/>
      <c r="S69" s="127"/>
      <c r="T69" s="97"/>
      <c r="U69" s="127"/>
      <c r="V69" s="97"/>
      <c r="W69" s="176"/>
      <c r="X69" s="127"/>
      <c r="Y69" s="127"/>
      <c r="Z69" s="97"/>
      <c r="AA69" s="127"/>
      <c r="AB69" s="97"/>
      <c r="AC69" s="176"/>
    </row>
    <row r="70" spans="1:29" ht="13.5" thickBot="1">
      <c r="A70" s="126"/>
      <c r="B70" s="127"/>
      <c r="C70" s="97"/>
      <c r="D70" s="127"/>
      <c r="E70" s="97"/>
      <c r="F70" s="176"/>
      <c r="G70" s="127"/>
      <c r="H70" s="127"/>
      <c r="I70" s="97"/>
      <c r="J70" s="127"/>
      <c r="K70" s="97"/>
      <c r="L70" s="126"/>
      <c r="M70" s="127"/>
      <c r="N70" s="97"/>
      <c r="O70" s="127"/>
      <c r="P70" s="97"/>
      <c r="Q70" s="176"/>
      <c r="R70" s="127"/>
      <c r="S70" s="127"/>
      <c r="T70" s="97"/>
      <c r="U70" s="127"/>
      <c r="V70" s="97"/>
      <c r="W70" s="176"/>
      <c r="X70" s="127"/>
      <c r="Y70" s="127"/>
      <c r="Z70" s="97"/>
      <c r="AA70" s="127"/>
      <c r="AB70" s="97"/>
      <c r="AC70" s="176"/>
    </row>
    <row r="71" spans="1:29" ht="13.5" thickBot="1">
      <c r="A71" s="972" t="s">
        <v>82</v>
      </c>
      <c r="B71" s="973"/>
      <c r="C71" s="97"/>
      <c r="D71" s="127"/>
      <c r="E71" s="97"/>
      <c r="F71" s="176"/>
      <c r="G71" s="986" t="s">
        <v>82</v>
      </c>
      <c r="H71" s="973"/>
      <c r="I71" s="97"/>
      <c r="J71" s="127"/>
      <c r="K71" s="97"/>
      <c r="L71" s="972" t="s">
        <v>82</v>
      </c>
      <c r="M71" s="973"/>
      <c r="N71" s="97"/>
      <c r="O71" s="127"/>
      <c r="P71" s="97"/>
      <c r="Q71" s="176"/>
      <c r="R71" s="986" t="s">
        <v>82</v>
      </c>
      <c r="S71" s="973"/>
      <c r="T71" s="97"/>
      <c r="U71" s="127"/>
      <c r="V71" s="97"/>
      <c r="W71" s="176"/>
      <c r="X71" s="986" t="s">
        <v>82</v>
      </c>
      <c r="Y71" s="973"/>
      <c r="Z71" s="97"/>
      <c r="AA71" s="127"/>
      <c r="AB71" s="97"/>
      <c r="AC71" s="176"/>
    </row>
    <row r="72" spans="1:29" ht="12.75">
      <c r="A72" s="412" t="s">
        <v>215</v>
      </c>
      <c r="B72" s="440">
        <f>D68</f>
        <v>56</v>
      </c>
      <c r="C72" s="97"/>
      <c r="D72" s="127"/>
      <c r="E72" s="97"/>
      <c r="F72" s="176"/>
      <c r="G72" s="416" t="s">
        <v>215</v>
      </c>
      <c r="H72" s="441">
        <f>J68</f>
        <v>108</v>
      </c>
      <c r="I72" s="97"/>
      <c r="J72" s="127"/>
      <c r="K72" s="97"/>
      <c r="L72" s="412" t="s">
        <v>215</v>
      </c>
      <c r="M72" s="441">
        <f>O68</f>
        <v>180</v>
      </c>
      <c r="N72" s="97"/>
      <c r="O72" s="127"/>
      <c r="P72" s="97"/>
      <c r="Q72" s="176"/>
      <c r="R72" s="416" t="s">
        <v>215</v>
      </c>
      <c r="S72" s="441">
        <f>U68</f>
        <v>280</v>
      </c>
      <c r="T72" s="97"/>
      <c r="U72" s="127"/>
      <c r="V72" s="97"/>
      <c r="W72" s="176"/>
      <c r="X72" s="416" t="s">
        <v>215</v>
      </c>
      <c r="Y72" s="441">
        <f>AA68</f>
        <v>280</v>
      </c>
      <c r="Z72" s="97"/>
      <c r="AA72" s="127"/>
      <c r="AB72" s="97"/>
      <c r="AC72" s="176"/>
    </row>
    <row r="73" spans="1:29" ht="13.5" thickBot="1">
      <c r="A73" s="413" t="s">
        <v>83</v>
      </c>
      <c r="B73" s="388">
        <f>B13</f>
        <v>4703</v>
      </c>
      <c r="C73" s="97"/>
      <c r="D73" s="127"/>
      <c r="E73" s="97"/>
      <c r="F73" s="176"/>
      <c r="G73" s="417" t="s">
        <v>83</v>
      </c>
      <c r="H73" s="388">
        <f>H13</f>
        <v>4703</v>
      </c>
      <c r="I73" s="97"/>
      <c r="J73" s="127"/>
      <c r="K73" s="97"/>
      <c r="L73" s="413" t="s">
        <v>83</v>
      </c>
      <c r="M73" s="388">
        <f>M13</f>
        <v>4703</v>
      </c>
      <c r="N73" s="97"/>
      <c r="O73" s="127"/>
      <c r="P73" s="97"/>
      <c r="Q73" s="176"/>
      <c r="R73" s="417" t="s">
        <v>83</v>
      </c>
      <c r="S73" s="388">
        <f>S13</f>
        <v>4703</v>
      </c>
      <c r="T73" s="97"/>
      <c r="U73" s="127"/>
      <c r="V73" s="97"/>
      <c r="W73" s="176"/>
      <c r="X73" s="417" t="s">
        <v>83</v>
      </c>
      <c r="Y73" s="388">
        <f>Y13</f>
        <v>4703</v>
      </c>
      <c r="Z73" s="97"/>
      <c r="AA73" s="127"/>
      <c r="AB73" s="97"/>
      <c r="AC73" s="176"/>
    </row>
    <row r="74" spans="1:29" ht="15.75" thickBot="1">
      <c r="A74" s="382" t="s">
        <v>84</v>
      </c>
      <c r="B74" s="389">
        <f>B72*B73</f>
        <v>263368</v>
      </c>
      <c r="C74" s="97"/>
      <c r="D74" s="127"/>
      <c r="E74" s="97"/>
      <c r="F74" s="176"/>
      <c r="G74" s="418" t="s">
        <v>84</v>
      </c>
      <c r="H74" s="389">
        <f>H72*H73</f>
        <v>507924</v>
      </c>
      <c r="I74" s="97"/>
      <c r="J74" s="127"/>
      <c r="K74" s="97"/>
      <c r="L74" s="382" t="s">
        <v>84</v>
      </c>
      <c r="M74" s="389">
        <f>M72*M73</f>
        <v>846540</v>
      </c>
      <c r="N74" s="97"/>
      <c r="O74" s="127"/>
      <c r="P74" s="97"/>
      <c r="Q74" s="176"/>
      <c r="R74" s="418" t="s">
        <v>84</v>
      </c>
      <c r="S74" s="389">
        <f>S72*S73</f>
        <v>1316840</v>
      </c>
      <c r="T74" s="97"/>
      <c r="U74" s="127"/>
      <c r="V74" s="97"/>
      <c r="W74" s="176"/>
      <c r="X74" s="418" t="s">
        <v>84</v>
      </c>
      <c r="Y74" s="389">
        <f>Y72*Y73</f>
        <v>1316840</v>
      </c>
      <c r="Z74" s="97"/>
      <c r="AA74" s="127"/>
      <c r="AB74" s="97"/>
      <c r="AC74" s="176"/>
    </row>
    <row r="75" spans="1:29" ht="15">
      <c r="A75" s="139"/>
      <c r="B75" s="140"/>
      <c r="C75" s="97"/>
      <c r="D75" s="97"/>
      <c r="E75" s="127"/>
      <c r="F75" s="177"/>
      <c r="G75" s="168"/>
      <c r="H75" s="140"/>
      <c r="I75" s="97"/>
      <c r="J75" s="97"/>
      <c r="K75" s="127"/>
      <c r="L75" s="139"/>
      <c r="M75" s="140"/>
      <c r="N75" s="97"/>
      <c r="O75" s="97"/>
      <c r="P75" s="127"/>
      <c r="Q75" s="177"/>
      <c r="R75" s="168"/>
      <c r="S75" s="140"/>
      <c r="T75" s="97"/>
      <c r="U75" s="97"/>
      <c r="V75" s="127"/>
      <c r="W75" s="177"/>
      <c r="X75" s="168"/>
      <c r="Y75" s="140"/>
      <c r="Z75" s="97"/>
      <c r="AA75" s="97"/>
      <c r="AB75" s="127"/>
      <c r="AC75" s="177"/>
    </row>
    <row r="76" spans="1:29" ht="15.75" thickBot="1">
      <c r="A76" s="139"/>
      <c r="B76" s="140"/>
      <c r="C76" s="97"/>
      <c r="D76" s="97"/>
      <c r="E76" s="127"/>
      <c r="F76" s="177"/>
      <c r="G76" s="168"/>
      <c r="H76" s="140"/>
      <c r="I76" s="97"/>
      <c r="J76" s="97"/>
      <c r="K76" s="127"/>
      <c r="L76" s="139"/>
      <c r="M76" s="140"/>
      <c r="N76" s="97"/>
      <c r="O76" s="97"/>
      <c r="P76" s="127"/>
      <c r="Q76" s="177"/>
      <c r="R76" s="168"/>
      <c r="S76" s="140"/>
      <c r="T76" s="97"/>
      <c r="U76" s="97"/>
      <c r="V76" s="127"/>
      <c r="W76" s="177"/>
      <c r="X76" s="168"/>
      <c r="Y76" s="140"/>
      <c r="Z76" s="97"/>
      <c r="AA76" s="97"/>
      <c r="AB76" s="127"/>
      <c r="AC76" s="177"/>
    </row>
    <row r="77" spans="1:29" ht="13.5" thickBot="1">
      <c r="A77" s="972" t="s">
        <v>85</v>
      </c>
      <c r="B77" s="973"/>
      <c r="C77" s="97"/>
      <c r="D77" s="97"/>
      <c r="E77" s="127"/>
      <c r="F77" s="175"/>
      <c r="G77" s="986" t="s">
        <v>85</v>
      </c>
      <c r="H77" s="973"/>
      <c r="I77" s="97"/>
      <c r="J77" s="97"/>
      <c r="K77" s="127"/>
      <c r="L77" s="972" t="s">
        <v>85</v>
      </c>
      <c r="M77" s="973"/>
      <c r="N77" s="97"/>
      <c r="O77" s="97"/>
      <c r="P77" s="127"/>
      <c r="Q77" s="175"/>
      <c r="R77" s="986" t="s">
        <v>85</v>
      </c>
      <c r="S77" s="973"/>
      <c r="T77" s="97"/>
      <c r="U77" s="97"/>
      <c r="V77" s="127"/>
      <c r="W77" s="175"/>
      <c r="X77" s="986" t="s">
        <v>85</v>
      </c>
      <c r="Y77" s="973"/>
      <c r="Z77" s="97"/>
      <c r="AA77" s="97"/>
      <c r="AB77" s="127"/>
      <c r="AC77" s="175"/>
    </row>
    <row r="78" spans="1:29" ht="12.75">
      <c r="A78" s="412" t="s">
        <v>86</v>
      </c>
      <c r="B78" s="387">
        <f>D66</f>
        <v>56</v>
      </c>
      <c r="C78" s="97"/>
      <c r="D78" s="97"/>
      <c r="E78" s="127"/>
      <c r="F78" s="176"/>
      <c r="G78" s="416" t="s">
        <v>86</v>
      </c>
      <c r="H78" s="387">
        <f>J66</f>
        <v>108</v>
      </c>
      <c r="I78" s="97"/>
      <c r="J78" s="97"/>
      <c r="K78" s="127"/>
      <c r="L78" s="412" t="s">
        <v>86</v>
      </c>
      <c r="M78" s="387">
        <f>O66</f>
        <v>180</v>
      </c>
      <c r="N78" s="97"/>
      <c r="O78" s="97"/>
      <c r="P78" s="127"/>
      <c r="Q78" s="176"/>
      <c r="R78" s="416" t="s">
        <v>86</v>
      </c>
      <c r="S78" s="387">
        <f>U66</f>
        <v>280</v>
      </c>
      <c r="T78" s="97"/>
      <c r="U78" s="97"/>
      <c r="V78" s="127"/>
      <c r="W78" s="176"/>
      <c r="X78" s="416" t="s">
        <v>86</v>
      </c>
      <c r="Y78" s="387">
        <f>AA66</f>
        <v>280</v>
      </c>
      <c r="Z78" s="97"/>
      <c r="AA78" s="97"/>
      <c r="AB78" s="127"/>
      <c r="AC78" s="176"/>
    </row>
    <row r="79" spans="1:29" ht="13.5" thickBot="1">
      <c r="A79" s="413" t="s">
        <v>87</v>
      </c>
      <c r="B79" s="388">
        <f>B14</f>
        <v>1680</v>
      </c>
      <c r="C79" s="97"/>
      <c r="D79" s="97"/>
      <c r="E79" s="97"/>
      <c r="F79" s="176"/>
      <c r="G79" s="417" t="s">
        <v>87</v>
      </c>
      <c r="H79" s="388">
        <f>H14</f>
        <v>1680</v>
      </c>
      <c r="I79" s="97"/>
      <c r="J79" s="97"/>
      <c r="K79" s="97"/>
      <c r="L79" s="413" t="s">
        <v>87</v>
      </c>
      <c r="M79" s="388">
        <f>M14</f>
        <v>1680</v>
      </c>
      <c r="N79" s="97"/>
      <c r="O79" s="97"/>
      <c r="P79" s="97"/>
      <c r="Q79" s="176"/>
      <c r="R79" s="417" t="s">
        <v>87</v>
      </c>
      <c r="S79" s="388">
        <f>S14</f>
        <v>1680</v>
      </c>
      <c r="T79" s="97"/>
      <c r="U79" s="97"/>
      <c r="V79" s="97"/>
      <c r="W79" s="176"/>
      <c r="X79" s="417" t="s">
        <v>87</v>
      </c>
      <c r="Y79" s="388">
        <f>Y14</f>
        <v>1680</v>
      </c>
      <c r="Z79" s="97"/>
      <c r="AA79" s="97"/>
      <c r="AB79" s="97"/>
      <c r="AC79" s="176"/>
    </row>
    <row r="80" spans="1:29" ht="15.75" thickBot="1">
      <c r="A80" s="382" t="s">
        <v>88</v>
      </c>
      <c r="B80" s="389">
        <f>B78*B79</f>
        <v>94080</v>
      </c>
      <c r="C80" s="97"/>
      <c r="D80" s="97"/>
      <c r="E80" s="97"/>
      <c r="F80" s="176"/>
      <c r="G80" s="418" t="s">
        <v>88</v>
      </c>
      <c r="H80" s="389">
        <f>H78*H79</f>
        <v>181440</v>
      </c>
      <c r="I80" s="97"/>
      <c r="J80" s="97"/>
      <c r="K80" s="97"/>
      <c r="L80" s="382" t="s">
        <v>88</v>
      </c>
      <c r="M80" s="389">
        <f>M78*M79</f>
        <v>302400</v>
      </c>
      <c r="N80" s="97"/>
      <c r="O80" s="97"/>
      <c r="P80" s="97"/>
      <c r="Q80" s="176"/>
      <c r="R80" s="418" t="s">
        <v>88</v>
      </c>
      <c r="S80" s="389">
        <f>S78*S79</f>
        <v>470400</v>
      </c>
      <c r="T80" s="97"/>
      <c r="U80" s="97"/>
      <c r="V80" s="97"/>
      <c r="W80" s="176"/>
      <c r="X80" s="418" t="s">
        <v>88</v>
      </c>
      <c r="Y80" s="389">
        <f>Y78*Y79</f>
        <v>470400</v>
      </c>
      <c r="Z80" s="97"/>
      <c r="AA80" s="97"/>
      <c r="AB80" s="97"/>
      <c r="AC80" s="176"/>
    </row>
    <row r="81" spans="1:29" ht="12.75">
      <c r="A81" s="141"/>
      <c r="B81" s="132"/>
      <c r="C81" s="132"/>
      <c r="D81" s="124"/>
      <c r="E81" s="136"/>
      <c r="F81" s="176"/>
      <c r="G81" s="132"/>
      <c r="H81" s="132"/>
      <c r="I81" s="132"/>
      <c r="J81" s="124"/>
      <c r="K81" s="136"/>
      <c r="L81" s="141"/>
      <c r="M81" s="132"/>
      <c r="N81" s="132"/>
      <c r="O81" s="124"/>
      <c r="P81" s="136"/>
      <c r="Q81" s="176"/>
      <c r="R81" s="132"/>
      <c r="S81" s="132"/>
      <c r="T81" s="132"/>
      <c r="U81" s="124"/>
      <c r="V81" s="136"/>
      <c r="W81" s="176"/>
      <c r="X81" s="132"/>
      <c r="Y81" s="132"/>
      <c r="Z81" s="132"/>
      <c r="AA81" s="124"/>
      <c r="AB81" s="136"/>
      <c r="AC81" s="176"/>
    </row>
    <row r="82" spans="1:29" ht="13.5" thickBot="1">
      <c r="A82" s="141"/>
      <c r="B82" s="132"/>
      <c r="C82" s="132"/>
      <c r="D82" s="124"/>
      <c r="E82" s="136"/>
      <c r="F82" s="176"/>
      <c r="G82" s="132"/>
      <c r="H82" s="132"/>
      <c r="I82" s="132"/>
      <c r="J82" s="124"/>
      <c r="K82" s="136"/>
      <c r="L82" s="141"/>
      <c r="M82" s="132"/>
      <c r="N82" s="132"/>
      <c r="O82" s="124"/>
      <c r="P82" s="136"/>
      <c r="Q82" s="176"/>
      <c r="R82" s="132"/>
      <c r="S82" s="132"/>
      <c r="T82" s="132"/>
      <c r="U82" s="124"/>
      <c r="V82" s="136"/>
      <c r="W82" s="176"/>
      <c r="X82" s="132"/>
      <c r="Y82" s="132"/>
      <c r="Z82" s="132"/>
      <c r="AA82" s="124"/>
      <c r="AB82" s="136"/>
      <c r="AC82" s="176"/>
    </row>
    <row r="83" spans="1:29" ht="13.5" thickBot="1">
      <c r="A83" s="972" t="s">
        <v>89</v>
      </c>
      <c r="B83" s="973"/>
      <c r="C83" s="132"/>
      <c r="D83" s="124"/>
      <c r="E83" s="136"/>
      <c r="F83" s="176"/>
      <c r="G83" s="986" t="s">
        <v>89</v>
      </c>
      <c r="H83" s="973"/>
      <c r="I83" s="132"/>
      <c r="J83" s="124"/>
      <c r="K83" s="136"/>
      <c r="L83" s="972" t="s">
        <v>89</v>
      </c>
      <c r="M83" s="973"/>
      <c r="N83" s="132"/>
      <c r="O83" s="124"/>
      <c r="P83" s="136"/>
      <c r="Q83" s="176"/>
      <c r="R83" s="986" t="s">
        <v>89</v>
      </c>
      <c r="S83" s="973"/>
      <c r="T83" s="132"/>
      <c r="U83" s="124"/>
      <c r="V83" s="136"/>
      <c r="W83" s="176"/>
      <c r="X83" s="986" t="s">
        <v>89</v>
      </c>
      <c r="Y83" s="973"/>
      <c r="Z83" s="132"/>
      <c r="AA83" s="124"/>
      <c r="AB83" s="136"/>
      <c r="AC83" s="176"/>
    </row>
    <row r="84" spans="1:29" ht="12.75">
      <c r="A84" s="412" t="s">
        <v>84</v>
      </c>
      <c r="B84" s="391">
        <f>B74</f>
        <v>263368</v>
      </c>
      <c r="C84" s="132"/>
      <c r="D84" s="124"/>
      <c r="E84" s="136"/>
      <c r="F84" s="176"/>
      <c r="G84" s="416" t="s">
        <v>84</v>
      </c>
      <c r="H84" s="391">
        <f>H74</f>
        <v>507924</v>
      </c>
      <c r="I84" s="132"/>
      <c r="J84" s="124"/>
      <c r="K84" s="136"/>
      <c r="L84" s="412" t="s">
        <v>84</v>
      </c>
      <c r="M84" s="391">
        <f>M74</f>
        <v>846540</v>
      </c>
      <c r="N84" s="132"/>
      <c r="O84" s="124"/>
      <c r="P84" s="136"/>
      <c r="Q84" s="176"/>
      <c r="R84" s="416" t="s">
        <v>84</v>
      </c>
      <c r="S84" s="391">
        <f>S74</f>
        <v>1316840</v>
      </c>
      <c r="T84" s="132"/>
      <c r="U84" s="124"/>
      <c r="V84" s="136"/>
      <c r="W84" s="176"/>
      <c r="X84" s="416" t="s">
        <v>84</v>
      </c>
      <c r="Y84" s="391">
        <f>Y74</f>
        <v>1316840</v>
      </c>
      <c r="Z84" s="132"/>
      <c r="AA84" s="124"/>
      <c r="AB84" s="136"/>
      <c r="AC84" s="176"/>
    </row>
    <row r="85" spans="1:29" ht="13.5" thickBot="1">
      <c r="A85" s="412" t="s">
        <v>88</v>
      </c>
      <c r="B85" s="392">
        <f>B80</f>
        <v>94080</v>
      </c>
      <c r="C85" s="132"/>
      <c r="D85" s="124"/>
      <c r="E85" s="136"/>
      <c r="F85" s="176"/>
      <c r="G85" s="416" t="s">
        <v>88</v>
      </c>
      <c r="H85" s="392">
        <f>H80</f>
        <v>181440</v>
      </c>
      <c r="I85" s="132"/>
      <c r="J85" s="124"/>
      <c r="K85" s="136"/>
      <c r="L85" s="412" t="s">
        <v>88</v>
      </c>
      <c r="M85" s="392">
        <f>M80</f>
        <v>302400</v>
      </c>
      <c r="N85" s="132"/>
      <c r="O85" s="124"/>
      <c r="P85" s="136"/>
      <c r="Q85" s="176"/>
      <c r="R85" s="416" t="s">
        <v>88</v>
      </c>
      <c r="S85" s="392">
        <f>S80</f>
        <v>470400</v>
      </c>
      <c r="T85" s="132"/>
      <c r="U85" s="124"/>
      <c r="V85" s="136"/>
      <c r="W85" s="176"/>
      <c r="X85" s="416" t="s">
        <v>88</v>
      </c>
      <c r="Y85" s="392">
        <f>Y80</f>
        <v>470400</v>
      </c>
      <c r="Z85" s="132"/>
      <c r="AA85" s="124"/>
      <c r="AB85" s="136"/>
      <c r="AC85" s="176"/>
    </row>
    <row r="86" spans="1:29" ht="15.75" thickBot="1">
      <c r="A86" s="382" t="s">
        <v>90</v>
      </c>
      <c r="B86" s="389">
        <f>B84+B85</f>
        <v>357448</v>
      </c>
      <c r="C86" s="132"/>
      <c r="D86" s="124"/>
      <c r="E86" s="136"/>
      <c r="F86" s="176"/>
      <c r="G86" s="418" t="s">
        <v>90</v>
      </c>
      <c r="H86" s="389">
        <f>H84+H85</f>
        <v>689364</v>
      </c>
      <c r="I86" s="132"/>
      <c r="J86" s="124"/>
      <c r="K86" s="136"/>
      <c r="L86" s="382" t="s">
        <v>90</v>
      </c>
      <c r="M86" s="389">
        <f>M84+M85</f>
        <v>1148940</v>
      </c>
      <c r="N86" s="132"/>
      <c r="O86" s="124"/>
      <c r="P86" s="136"/>
      <c r="Q86" s="176"/>
      <c r="R86" s="418" t="s">
        <v>90</v>
      </c>
      <c r="S86" s="389">
        <f>S84+S85</f>
        <v>1787240</v>
      </c>
      <c r="T86" s="132"/>
      <c r="U86" s="124"/>
      <c r="V86" s="136"/>
      <c r="W86" s="176"/>
      <c r="X86" s="418" t="s">
        <v>90</v>
      </c>
      <c r="Y86" s="389">
        <f>Y84+Y85</f>
        <v>1787240</v>
      </c>
      <c r="Z86" s="132"/>
      <c r="AA86" s="124"/>
      <c r="AB86" s="136"/>
      <c r="AC86" s="176"/>
    </row>
    <row r="87" spans="1:29" ht="12.75">
      <c r="A87" s="141"/>
      <c r="B87" s="132"/>
      <c r="C87" s="132"/>
      <c r="D87" s="124"/>
      <c r="E87" s="136"/>
      <c r="F87" s="176"/>
      <c r="G87" s="132"/>
      <c r="H87" s="132"/>
      <c r="I87" s="132"/>
      <c r="J87" s="124"/>
      <c r="K87" s="136"/>
      <c r="L87" s="141"/>
      <c r="M87" s="132"/>
      <c r="N87" s="132"/>
      <c r="O87" s="124"/>
      <c r="P87" s="136"/>
      <c r="Q87" s="176"/>
      <c r="R87" s="132"/>
      <c r="S87" s="132"/>
      <c r="T87" s="132"/>
      <c r="U87" s="124"/>
      <c r="V87" s="136"/>
      <c r="W87" s="176"/>
      <c r="X87" s="132"/>
      <c r="Y87" s="132"/>
      <c r="Z87" s="132"/>
      <c r="AA87" s="124"/>
      <c r="AB87" s="136"/>
      <c r="AC87" s="176"/>
    </row>
    <row r="88" spans="1:29" ht="12.75">
      <c r="A88" s="141"/>
      <c r="B88" s="132"/>
      <c r="C88" s="132"/>
      <c r="D88" s="124"/>
      <c r="E88" s="136"/>
      <c r="F88" s="176"/>
      <c r="G88" s="132"/>
      <c r="H88" s="132"/>
      <c r="I88" s="132"/>
      <c r="J88" s="124"/>
      <c r="K88" s="136"/>
      <c r="L88" s="141"/>
      <c r="M88" s="132"/>
      <c r="N88" s="132"/>
      <c r="O88" s="124"/>
      <c r="P88" s="136"/>
      <c r="Q88" s="176"/>
      <c r="R88" s="132"/>
      <c r="S88" s="132"/>
      <c r="T88" s="132"/>
      <c r="U88" s="124"/>
      <c r="V88" s="136"/>
      <c r="W88" s="176"/>
      <c r="X88" s="132"/>
      <c r="Y88" s="132"/>
      <c r="Z88" s="132"/>
      <c r="AA88" s="124"/>
      <c r="AB88" s="136"/>
      <c r="AC88" s="176"/>
    </row>
    <row r="89" spans="1:29" ht="12.75">
      <c r="A89" s="141"/>
      <c r="B89" s="132"/>
      <c r="C89" s="132"/>
      <c r="D89" s="124"/>
      <c r="E89" s="136"/>
      <c r="F89" s="176"/>
      <c r="G89" s="132"/>
      <c r="H89" s="132"/>
      <c r="I89" s="132"/>
      <c r="J89" s="124"/>
      <c r="K89" s="136"/>
      <c r="L89" s="141"/>
      <c r="M89" s="132"/>
      <c r="N89" s="132"/>
      <c r="O89" s="124"/>
      <c r="P89" s="136"/>
      <c r="Q89" s="176"/>
      <c r="R89" s="132"/>
      <c r="S89" s="132"/>
      <c r="T89" s="132"/>
      <c r="U89" s="124"/>
      <c r="V89" s="136"/>
      <c r="W89" s="176"/>
      <c r="X89" s="132"/>
      <c r="Y89" s="132"/>
      <c r="Z89" s="132"/>
      <c r="AA89" s="124"/>
      <c r="AB89" s="136"/>
      <c r="AC89" s="176"/>
    </row>
    <row r="90" spans="1:29" ht="13.5" thickBot="1">
      <c r="A90" s="141"/>
      <c r="B90" s="132"/>
      <c r="C90" s="132"/>
      <c r="D90" s="124"/>
      <c r="E90" s="136"/>
      <c r="F90" s="176"/>
      <c r="G90" s="132"/>
      <c r="H90" s="132"/>
      <c r="I90" s="132"/>
      <c r="J90" s="124"/>
      <c r="K90" s="136"/>
      <c r="L90" s="327"/>
      <c r="M90" s="328"/>
      <c r="N90" s="132"/>
      <c r="O90" s="124"/>
      <c r="P90" s="136"/>
      <c r="Q90" s="176"/>
      <c r="R90" s="132"/>
      <c r="S90" s="132"/>
      <c r="T90" s="132"/>
      <c r="U90" s="124"/>
      <c r="V90" s="136"/>
      <c r="W90" s="176"/>
      <c r="X90" s="132"/>
      <c r="Y90" s="132"/>
      <c r="Z90" s="132"/>
      <c r="AA90" s="124"/>
      <c r="AB90" s="136"/>
      <c r="AC90" s="176"/>
    </row>
    <row r="91" spans="1:29" ht="16.5" customHeight="1" thickBot="1">
      <c r="A91" s="974" t="s">
        <v>206</v>
      </c>
      <c r="B91" s="975"/>
      <c r="C91" s="975"/>
      <c r="D91" s="975"/>
      <c r="E91" s="976"/>
      <c r="F91" s="470"/>
      <c r="G91" s="974" t="s">
        <v>206</v>
      </c>
      <c r="H91" s="975"/>
      <c r="I91" s="975"/>
      <c r="J91" s="975"/>
      <c r="K91" s="975"/>
      <c r="L91" s="974" t="s">
        <v>206</v>
      </c>
      <c r="M91" s="975"/>
      <c r="N91" s="975"/>
      <c r="O91" s="975"/>
      <c r="P91" s="976"/>
      <c r="Q91" s="176"/>
      <c r="R91" s="974" t="s">
        <v>206</v>
      </c>
      <c r="S91" s="975"/>
      <c r="T91" s="975"/>
      <c r="U91" s="975"/>
      <c r="V91" s="976"/>
      <c r="W91" s="176"/>
      <c r="X91" s="974" t="s">
        <v>206</v>
      </c>
      <c r="Y91" s="975"/>
      <c r="Z91" s="975"/>
      <c r="AA91" s="975"/>
      <c r="AB91" s="976"/>
      <c r="AC91" s="176"/>
    </row>
    <row r="92" spans="1:29" ht="34.5" customHeight="1" thickBot="1">
      <c r="A92" s="969" t="s">
        <v>315</v>
      </c>
      <c r="B92" s="970"/>
      <c r="C92" s="970"/>
      <c r="D92" s="970"/>
      <c r="E92" s="971"/>
      <c r="F92" s="471"/>
      <c r="G92" s="969" t="s">
        <v>315</v>
      </c>
      <c r="H92" s="970"/>
      <c r="I92" s="970"/>
      <c r="J92" s="970"/>
      <c r="K92" s="970"/>
      <c r="L92" s="969" t="s">
        <v>315</v>
      </c>
      <c r="M92" s="970"/>
      <c r="N92" s="970"/>
      <c r="O92" s="970"/>
      <c r="P92" s="971"/>
      <c r="Q92" s="176"/>
      <c r="R92" s="969" t="s">
        <v>315</v>
      </c>
      <c r="S92" s="970"/>
      <c r="T92" s="970"/>
      <c r="U92" s="970"/>
      <c r="V92" s="971"/>
      <c r="W92" s="176"/>
      <c r="X92" s="969" t="s">
        <v>315</v>
      </c>
      <c r="Y92" s="970"/>
      <c r="Z92" s="970"/>
      <c r="AA92" s="970"/>
      <c r="AB92" s="971"/>
      <c r="AC92" s="176"/>
    </row>
    <row r="93" spans="1:29" ht="16.5" thickBot="1">
      <c r="A93" s="120"/>
      <c r="B93" s="121"/>
      <c r="C93" s="121"/>
      <c r="D93" s="119"/>
      <c r="E93" s="335"/>
      <c r="F93" s="472"/>
      <c r="G93" s="120"/>
      <c r="H93" s="121"/>
      <c r="I93" s="121"/>
      <c r="J93" s="119"/>
      <c r="K93" s="119"/>
      <c r="L93" s="733"/>
      <c r="M93" s="143"/>
      <c r="N93" s="143"/>
      <c r="O93" s="884"/>
      <c r="P93" s="885"/>
      <c r="Q93" s="485"/>
      <c r="R93" s="120"/>
      <c r="S93" s="121"/>
      <c r="T93" s="121"/>
      <c r="U93" s="119"/>
      <c r="V93" s="119"/>
      <c r="W93" s="176"/>
      <c r="X93" s="120"/>
      <c r="Y93" s="121"/>
      <c r="Z93" s="121"/>
      <c r="AA93" s="119"/>
      <c r="AB93" s="119"/>
      <c r="AC93" s="176"/>
    </row>
    <row r="94" spans="1:29" ht="26.25" thickBot="1">
      <c r="A94" s="372" t="s">
        <v>61</v>
      </c>
      <c r="B94" s="681" t="s">
        <v>338</v>
      </c>
      <c r="C94" s="423" t="s">
        <v>93</v>
      </c>
      <c r="D94" s="372" t="s">
        <v>63</v>
      </c>
      <c r="E94" s="414" t="s">
        <v>28</v>
      </c>
      <c r="F94" s="473"/>
      <c r="G94" s="372" t="s">
        <v>61</v>
      </c>
      <c r="H94" s="422" t="str">
        <f>B94</f>
        <v>Gen Ed and  LRE1Students</v>
      </c>
      <c r="I94" s="437" t="s">
        <v>93</v>
      </c>
      <c r="J94" s="372" t="s">
        <v>239</v>
      </c>
      <c r="K94" s="414" t="s">
        <v>28</v>
      </c>
      <c r="L94" s="372" t="s">
        <v>61</v>
      </c>
      <c r="M94" s="734" t="str">
        <f>B94</f>
        <v>Gen Ed and  LRE1Students</v>
      </c>
      <c r="N94" s="735" t="str">
        <f>C94</f>
        <v>LRE2 Students</v>
      </c>
      <c r="O94" s="372" t="str">
        <f>D94</f>
        <v>LRE3 Students</v>
      </c>
      <c r="P94" s="372" t="str">
        <f>K94</f>
        <v>Total Enrollment</v>
      </c>
      <c r="Q94" s="485"/>
      <c r="R94" s="372" t="s">
        <v>61</v>
      </c>
      <c r="S94" s="681" t="str">
        <f>H94</f>
        <v>Gen Ed and  LRE1Students</v>
      </c>
      <c r="T94" s="682" t="s">
        <v>93</v>
      </c>
      <c r="U94" s="372" t="s">
        <v>63</v>
      </c>
      <c r="V94" s="372" t="str">
        <f>K94</f>
        <v>Total Enrollment</v>
      </c>
      <c r="W94" s="176"/>
      <c r="X94" s="372" t="s">
        <v>61</v>
      </c>
      <c r="Y94" s="422" t="str">
        <f>B94</f>
        <v>Gen Ed and  LRE1Students</v>
      </c>
      <c r="Z94" s="681" t="str">
        <f>C94</f>
        <v>LRE2 Students</v>
      </c>
      <c r="AA94" s="435" t="str">
        <f>D94</f>
        <v>LRE3 Students</v>
      </c>
      <c r="AB94" s="435" t="str">
        <f>E94</f>
        <v>Total Enrollment</v>
      </c>
      <c r="AC94" s="176"/>
    </row>
    <row r="95" spans="1:29" ht="12.75">
      <c r="A95" s="378">
        <v>6</v>
      </c>
      <c r="B95" s="123"/>
      <c r="C95" s="125"/>
      <c r="D95" s="599"/>
      <c r="E95" s="393">
        <f>SUM(B95:D95)</f>
        <v>0</v>
      </c>
      <c r="F95" s="474"/>
      <c r="G95" s="378">
        <v>6</v>
      </c>
      <c r="H95" s="123"/>
      <c r="I95" s="125"/>
      <c r="J95" s="601"/>
      <c r="K95" s="393">
        <f>SUM(H95:J95)</f>
        <v>0</v>
      </c>
      <c r="L95" s="378">
        <v>6</v>
      </c>
      <c r="M95" s="717"/>
      <c r="N95" s="717"/>
      <c r="O95" s="717"/>
      <c r="P95" s="875">
        <f>SUM(M95:O95)</f>
        <v>0</v>
      </c>
      <c r="Q95" s="485"/>
      <c r="R95" s="378">
        <v>6</v>
      </c>
      <c r="S95" s="717"/>
      <c r="T95" s="717"/>
      <c r="U95" s="717"/>
      <c r="V95" s="453">
        <f>SUM(S95:U95)</f>
        <v>0</v>
      </c>
      <c r="W95" s="176"/>
      <c r="X95" s="378">
        <v>6</v>
      </c>
      <c r="Y95" s="717"/>
      <c r="Z95" s="717"/>
      <c r="AA95" s="717"/>
      <c r="AB95" s="453">
        <f>SUM(Y95:AA95)</f>
        <v>0</v>
      </c>
      <c r="AC95" s="176"/>
    </row>
    <row r="96" spans="1:29" ht="12.75">
      <c r="A96" s="378">
        <v>7</v>
      </c>
      <c r="B96" s="123"/>
      <c r="C96" s="125"/>
      <c r="D96" s="599"/>
      <c r="E96" s="393">
        <f>SUM(B96:D96)</f>
        <v>0</v>
      </c>
      <c r="F96" s="474"/>
      <c r="G96" s="378">
        <v>7</v>
      </c>
      <c r="H96" s="123"/>
      <c r="I96" s="125"/>
      <c r="J96" s="601"/>
      <c r="K96" s="393">
        <f>SUM(H96:J96)</f>
        <v>0</v>
      </c>
      <c r="L96" s="378">
        <v>7</v>
      </c>
      <c r="M96" s="717"/>
      <c r="N96" s="717"/>
      <c r="O96" s="717"/>
      <c r="P96" s="886">
        <f>SUM(M96:O96)</f>
        <v>0</v>
      </c>
      <c r="Q96" s="485"/>
      <c r="R96" s="378">
        <v>7</v>
      </c>
      <c r="S96" s="717"/>
      <c r="T96" s="717"/>
      <c r="U96" s="717"/>
      <c r="V96" s="453">
        <f>SUM(S96:U96)</f>
        <v>0</v>
      </c>
      <c r="W96" s="176"/>
      <c r="X96" s="378">
        <v>7</v>
      </c>
      <c r="Y96" s="717"/>
      <c r="Z96" s="717"/>
      <c r="AA96" s="717"/>
      <c r="AB96" s="453">
        <f>SUM(Y96:AA96)</f>
        <v>0</v>
      </c>
      <c r="AC96" s="176"/>
    </row>
    <row r="97" spans="1:29" ht="13.5" thickBot="1">
      <c r="A97" s="421">
        <v>8</v>
      </c>
      <c r="B97" s="123"/>
      <c r="C97" s="426"/>
      <c r="D97" s="600"/>
      <c r="E97" s="425">
        <f>SUM(B97:D97)</f>
        <v>0</v>
      </c>
      <c r="F97" s="475"/>
      <c r="G97" s="421">
        <v>8</v>
      </c>
      <c r="H97" s="123"/>
      <c r="I97" s="125"/>
      <c r="J97" s="602"/>
      <c r="K97" s="425">
        <f>SUM(H97:J97)</f>
        <v>0</v>
      </c>
      <c r="L97" s="421">
        <v>8</v>
      </c>
      <c r="M97" s="717"/>
      <c r="N97" s="717"/>
      <c r="O97" s="718"/>
      <c r="P97" s="887">
        <f>SUM(M97:O97)</f>
        <v>0</v>
      </c>
      <c r="Q97" s="485"/>
      <c r="R97" s="421">
        <v>8</v>
      </c>
      <c r="S97" s="717"/>
      <c r="T97" s="717"/>
      <c r="U97" s="717"/>
      <c r="V97" s="453">
        <f>SUM(S97:U97)</f>
        <v>0</v>
      </c>
      <c r="W97" s="176"/>
      <c r="X97" s="421">
        <v>8</v>
      </c>
      <c r="Y97" s="717"/>
      <c r="Z97" s="717"/>
      <c r="AA97" s="717"/>
      <c r="AB97" s="453">
        <f>SUM(Y97:AA97)</f>
        <v>0</v>
      </c>
      <c r="AC97" s="176"/>
    </row>
    <row r="98" spans="1:29" ht="13.5" thickBot="1">
      <c r="A98" s="402" t="s">
        <v>221</v>
      </c>
      <c r="B98" s="384">
        <f>SUM(B95:B97)</f>
        <v>0</v>
      </c>
      <c r="C98" s="386">
        <f>SUM(C95:C97)</f>
        <v>0</v>
      </c>
      <c r="D98" s="386">
        <f>SUM(D95:D97)</f>
        <v>0</v>
      </c>
      <c r="E98" s="382">
        <f>SUM(E95:E97)</f>
        <v>0</v>
      </c>
      <c r="F98" s="473"/>
      <c r="G98" s="402" t="s">
        <v>221</v>
      </c>
      <c r="H98" s="383">
        <f>SUM(H95:H97)</f>
        <v>0</v>
      </c>
      <c r="I98" s="384">
        <f>SUM(I95:I97)</f>
        <v>0</v>
      </c>
      <c r="J98" s="386">
        <f>SUM(J95:J97)</f>
        <v>0</v>
      </c>
      <c r="K98" s="394">
        <f>SUM(K95:K97)</f>
        <v>0</v>
      </c>
      <c r="L98" s="402" t="s">
        <v>221</v>
      </c>
      <c r="M98" s="383">
        <f>SUM(M95:M97)</f>
        <v>0</v>
      </c>
      <c r="N98" s="384">
        <f>SUM(N95:N97)</f>
        <v>0</v>
      </c>
      <c r="O98" s="384">
        <f>SUM(O95:O97)</f>
        <v>0</v>
      </c>
      <c r="P98" s="386">
        <f>SUM(P95:P97)</f>
        <v>0</v>
      </c>
      <c r="Q98" s="485"/>
      <c r="R98" s="402" t="s">
        <v>221</v>
      </c>
      <c r="S98" s="383">
        <f>SUM(S95:S97)</f>
        <v>0</v>
      </c>
      <c r="T98" s="384">
        <f>SUM(T95:T97)</f>
        <v>0</v>
      </c>
      <c r="U98" s="384">
        <f>SUM(U95:U97)</f>
        <v>0</v>
      </c>
      <c r="V98" s="384">
        <f>SUM(V95:V97)</f>
        <v>0</v>
      </c>
      <c r="W98" s="176"/>
      <c r="X98" s="402" t="s">
        <v>221</v>
      </c>
      <c r="Y98" s="383">
        <f>SUM(Y95:Y97)</f>
        <v>0</v>
      </c>
      <c r="Z98" s="384">
        <f>SUM(Z95:Z97)</f>
        <v>0</v>
      </c>
      <c r="AA98" s="386">
        <f>SUM(AA95:AA97)</f>
        <v>0</v>
      </c>
      <c r="AB98" s="386">
        <f>SUM(AB95:AB97)</f>
        <v>0</v>
      </c>
      <c r="AC98" s="176"/>
    </row>
    <row r="99" spans="1:29" ht="13.5" thickBot="1">
      <c r="A99" s="403" t="s">
        <v>67</v>
      </c>
      <c r="B99" s="385">
        <v>1</v>
      </c>
      <c r="C99" s="442">
        <v>0.7</v>
      </c>
      <c r="D99" s="443">
        <v>0.4</v>
      </c>
      <c r="E99" s="138"/>
      <c r="F99" s="473"/>
      <c r="G99" s="403" t="s">
        <v>67</v>
      </c>
      <c r="H99" s="385">
        <v>1</v>
      </c>
      <c r="I99" s="442">
        <v>0.7</v>
      </c>
      <c r="J99" s="443">
        <v>0.4</v>
      </c>
      <c r="K99" s="88"/>
      <c r="L99" s="403" t="s">
        <v>67</v>
      </c>
      <c r="M99" s="385">
        <v>1</v>
      </c>
      <c r="N99" s="385">
        <v>0.7</v>
      </c>
      <c r="O99" s="385">
        <v>0.4</v>
      </c>
      <c r="P99" s="138"/>
      <c r="Q99" s="485"/>
      <c r="R99" s="403" t="s">
        <v>67</v>
      </c>
      <c r="S99" s="385">
        <v>1</v>
      </c>
      <c r="T99" s="385">
        <v>0.7</v>
      </c>
      <c r="U99" s="385">
        <v>0.4</v>
      </c>
      <c r="V99" s="688"/>
      <c r="W99" s="176"/>
      <c r="X99" s="403" t="s">
        <v>67</v>
      </c>
      <c r="Y99" s="385">
        <v>1</v>
      </c>
      <c r="Z99" s="385">
        <v>0.7</v>
      </c>
      <c r="AA99" s="385">
        <v>0.4</v>
      </c>
      <c r="AB99" s="88"/>
      <c r="AC99" s="176"/>
    </row>
    <row r="100" spans="1:29" ht="13.5" thickBot="1">
      <c r="A100" s="372" t="s">
        <v>217</v>
      </c>
      <c r="B100" s="386">
        <f>B98*B99</f>
        <v>0</v>
      </c>
      <c r="C100" s="386">
        <f>C98*C99</f>
        <v>0</v>
      </c>
      <c r="D100" s="386">
        <f>D98*D99</f>
        <v>0</v>
      </c>
      <c r="E100" s="382">
        <f>SUM(B100:D100)</f>
        <v>0</v>
      </c>
      <c r="F100" s="473"/>
      <c r="G100" s="372" t="s">
        <v>217</v>
      </c>
      <c r="H100" s="386">
        <f>H98*H99</f>
        <v>0</v>
      </c>
      <c r="I100" s="386">
        <f>I98*I99</f>
        <v>0</v>
      </c>
      <c r="J100" s="386">
        <f>J98*J99</f>
        <v>0</v>
      </c>
      <c r="K100" s="394">
        <f>SUM(H100:J100)</f>
        <v>0</v>
      </c>
      <c r="L100" s="372" t="s">
        <v>217</v>
      </c>
      <c r="M100" s="386">
        <f>M98*M99</f>
        <v>0</v>
      </c>
      <c r="N100" s="386">
        <f>N98*N99</f>
        <v>0</v>
      </c>
      <c r="O100" s="382">
        <f>O98*O99</f>
        <v>0</v>
      </c>
      <c r="P100" s="687">
        <f>SUM(M100:O100)</f>
        <v>0</v>
      </c>
      <c r="Q100" s="485"/>
      <c r="R100" s="372" t="s">
        <v>217</v>
      </c>
      <c r="S100" s="386">
        <f>S98*S99</f>
        <v>0</v>
      </c>
      <c r="T100" s="386">
        <f>T98*T99</f>
        <v>0</v>
      </c>
      <c r="U100" s="382">
        <f>U98*U99</f>
        <v>0</v>
      </c>
      <c r="V100" s="687">
        <f>SUM(S100:U100)</f>
        <v>0</v>
      </c>
      <c r="W100" s="176"/>
      <c r="X100" s="372" t="s">
        <v>217</v>
      </c>
      <c r="Y100" s="386">
        <f>Y98*Y99</f>
        <v>0</v>
      </c>
      <c r="Z100" s="386">
        <f>Z98*Z99</f>
        <v>0</v>
      </c>
      <c r="AA100" s="382">
        <f>AA98*AA99</f>
        <v>0</v>
      </c>
      <c r="AB100" s="687">
        <f>SUM(Y100:AA100)</f>
        <v>0</v>
      </c>
      <c r="AC100" s="176"/>
    </row>
    <row r="101" spans="1:29" ht="12.75">
      <c r="A101" s="126"/>
      <c r="B101" s="127"/>
      <c r="C101" s="97"/>
      <c r="D101" s="127"/>
      <c r="E101" s="122"/>
      <c r="F101" s="476"/>
      <c r="G101" s="126"/>
      <c r="H101" s="127"/>
      <c r="I101" s="97"/>
      <c r="J101" s="127"/>
      <c r="K101" s="97"/>
      <c r="L101" s="126"/>
      <c r="M101" s="127"/>
      <c r="N101" s="97"/>
      <c r="O101" s="127"/>
      <c r="P101" s="122"/>
      <c r="Q101" s="485"/>
      <c r="R101" s="126"/>
      <c r="S101" s="127"/>
      <c r="T101" s="97"/>
      <c r="U101" s="127"/>
      <c r="V101" s="97"/>
      <c r="W101" s="176"/>
      <c r="X101" s="126"/>
      <c r="Y101" s="127"/>
      <c r="Z101" s="97"/>
      <c r="AA101" s="127"/>
      <c r="AB101" s="97"/>
      <c r="AC101" s="176"/>
    </row>
    <row r="102" spans="1:29" ht="13.5" thickBot="1">
      <c r="A102" s="126"/>
      <c r="B102" s="127"/>
      <c r="C102" s="97"/>
      <c r="D102" s="127"/>
      <c r="E102" s="122"/>
      <c r="F102" s="476"/>
      <c r="G102" s="126"/>
      <c r="H102" s="127"/>
      <c r="I102" s="97"/>
      <c r="J102" s="127"/>
      <c r="K102" s="97"/>
      <c r="L102" s="126"/>
      <c r="M102" s="127"/>
      <c r="N102" s="97"/>
      <c r="O102" s="127"/>
      <c r="P102" s="122"/>
      <c r="Q102" s="485"/>
      <c r="R102" s="126"/>
      <c r="S102" s="127"/>
      <c r="T102" s="97"/>
      <c r="U102" s="127"/>
      <c r="V102" s="97"/>
      <c r="W102" s="176"/>
      <c r="X102" s="126"/>
      <c r="Y102" s="127"/>
      <c r="Z102" s="97"/>
      <c r="AA102" s="127"/>
      <c r="AB102" s="97"/>
      <c r="AC102" s="176"/>
    </row>
    <row r="103" spans="1:29" ht="13.5" thickBot="1">
      <c r="A103" s="972" t="s">
        <v>222</v>
      </c>
      <c r="B103" s="973"/>
      <c r="C103" s="97"/>
      <c r="D103" s="127"/>
      <c r="E103" s="122"/>
      <c r="F103" s="716"/>
      <c r="G103" s="972" t="s">
        <v>222</v>
      </c>
      <c r="H103" s="973"/>
      <c r="I103" s="97"/>
      <c r="J103" s="127"/>
      <c r="K103" s="97"/>
      <c r="L103" s="972" t="s">
        <v>222</v>
      </c>
      <c r="M103" s="973"/>
      <c r="N103" s="97"/>
      <c r="O103" s="127"/>
      <c r="P103" s="122"/>
      <c r="Q103" s="485"/>
      <c r="R103" s="972" t="s">
        <v>222</v>
      </c>
      <c r="S103" s="973"/>
      <c r="T103" s="97"/>
      <c r="U103" s="127"/>
      <c r="V103" s="97"/>
      <c r="W103" s="176"/>
      <c r="X103" s="972" t="s">
        <v>222</v>
      </c>
      <c r="Y103" s="973"/>
      <c r="Z103" s="97"/>
      <c r="AA103" s="127"/>
      <c r="AB103" s="97"/>
      <c r="AC103" s="176"/>
    </row>
    <row r="104" spans="1:29" ht="12.75">
      <c r="A104" s="412" t="s">
        <v>218</v>
      </c>
      <c r="B104" s="387">
        <f>E100</f>
        <v>0</v>
      </c>
      <c r="C104" s="97"/>
      <c r="D104" s="127"/>
      <c r="E104" s="122"/>
      <c r="F104" s="477"/>
      <c r="G104" s="412" t="s">
        <v>218</v>
      </c>
      <c r="H104" s="387">
        <f>K100</f>
        <v>0</v>
      </c>
      <c r="I104" s="97"/>
      <c r="J104" s="127"/>
      <c r="K104" s="97"/>
      <c r="L104" s="412" t="s">
        <v>218</v>
      </c>
      <c r="M104" s="387">
        <f>P100</f>
        <v>0</v>
      </c>
      <c r="N104" s="97"/>
      <c r="O104" s="127"/>
      <c r="P104" s="122"/>
      <c r="Q104" s="485"/>
      <c r="R104" s="412" t="s">
        <v>218</v>
      </c>
      <c r="S104" s="387">
        <f>V100</f>
        <v>0</v>
      </c>
      <c r="T104" s="97"/>
      <c r="U104" s="127"/>
      <c r="V104" s="97"/>
      <c r="W104" s="176"/>
      <c r="X104" s="412" t="s">
        <v>218</v>
      </c>
      <c r="Y104" s="387">
        <f>AB100</f>
        <v>0</v>
      </c>
      <c r="Z104" s="97"/>
      <c r="AA104" s="127"/>
      <c r="AB104" s="97"/>
      <c r="AC104" s="176"/>
    </row>
    <row r="105" spans="1:29" ht="13.5" thickBot="1">
      <c r="A105" s="413" t="s">
        <v>209</v>
      </c>
      <c r="B105" s="388">
        <f>B15</f>
        <v>5831</v>
      </c>
      <c r="C105" s="97"/>
      <c r="D105" s="127"/>
      <c r="E105" s="122"/>
      <c r="F105" s="478"/>
      <c r="G105" s="413" t="s">
        <v>209</v>
      </c>
      <c r="H105" s="388">
        <f>H15</f>
        <v>5831</v>
      </c>
      <c r="I105" s="97"/>
      <c r="J105" s="127"/>
      <c r="K105" s="97"/>
      <c r="L105" s="413" t="s">
        <v>209</v>
      </c>
      <c r="M105" s="388">
        <f>M15</f>
        <v>5831</v>
      </c>
      <c r="N105" s="97"/>
      <c r="O105" s="127"/>
      <c r="P105" s="122"/>
      <c r="Q105" s="485"/>
      <c r="R105" s="413" t="s">
        <v>209</v>
      </c>
      <c r="S105" s="388">
        <f>S15</f>
        <v>5831</v>
      </c>
      <c r="T105" s="97"/>
      <c r="U105" s="127"/>
      <c r="V105" s="97"/>
      <c r="W105" s="176"/>
      <c r="X105" s="413" t="s">
        <v>209</v>
      </c>
      <c r="Y105" s="388">
        <f>Y15</f>
        <v>5831</v>
      </c>
      <c r="Z105" s="97"/>
      <c r="AA105" s="127"/>
      <c r="AB105" s="97"/>
      <c r="AC105" s="176"/>
    </row>
    <row r="106" spans="1:29" ht="15.75" thickBot="1">
      <c r="A106" s="382" t="s">
        <v>210</v>
      </c>
      <c r="B106" s="389">
        <f>B104*B105</f>
        <v>0</v>
      </c>
      <c r="C106" s="97"/>
      <c r="D106" s="127"/>
      <c r="E106" s="122"/>
      <c r="F106" s="479"/>
      <c r="G106" s="382" t="s">
        <v>210</v>
      </c>
      <c r="H106" s="389">
        <f>H104*H105</f>
        <v>0</v>
      </c>
      <c r="I106" s="97"/>
      <c r="J106" s="127"/>
      <c r="K106" s="97"/>
      <c r="L106" s="382" t="s">
        <v>210</v>
      </c>
      <c r="M106" s="389">
        <f>M104*M105</f>
        <v>0</v>
      </c>
      <c r="N106" s="97"/>
      <c r="O106" s="127"/>
      <c r="P106" s="122"/>
      <c r="Q106" s="485"/>
      <c r="R106" s="382" t="s">
        <v>210</v>
      </c>
      <c r="S106" s="389">
        <f>S104*S105</f>
        <v>0</v>
      </c>
      <c r="T106" s="97"/>
      <c r="U106" s="127"/>
      <c r="V106" s="97"/>
      <c r="W106" s="176"/>
      <c r="X106" s="382" t="s">
        <v>210</v>
      </c>
      <c r="Y106" s="389">
        <f>Y104*Y105</f>
        <v>0</v>
      </c>
      <c r="Z106" s="97"/>
      <c r="AA106" s="127"/>
      <c r="AB106" s="97"/>
      <c r="AC106" s="176"/>
    </row>
    <row r="107" spans="1:29" ht="15">
      <c r="A107" s="139"/>
      <c r="B107" s="140"/>
      <c r="C107" s="97"/>
      <c r="D107" s="97"/>
      <c r="E107" s="334"/>
      <c r="F107" s="480"/>
      <c r="G107" s="139"/>
      <c r="H107" s="140"/>
      <c r="I107" s="97"/>
      <c r="J107" s="97"/>
      <c r="K107" s="127"/>
      <c r="L107" s="139"/>
      <c r="M107" s="140"/>
      <c r="N107" s="97"/>
      <c r="O107" s="97"/>
      <c r="P107" s="334"/>
      <c r="Q107" s="485"/>
      <c r="R107" s="139"/>
      <c r="S107" s="140"/>
      <c r="T107" s="97"/>
      <c r="U107" s="97"/>
      <c r="V107" s="127"/>
      <c r="W107" s="176"/>
      <c r="X107" s="139"/>
      <c r="Y107" s="140"/>
      <c r="Z107" s="97"/>
      <c r="AA107" s="97"/>
      <c r="AB107" s="127"/>
      <c r="AC107" s="176"/>
    </row>
    <row r="108" spans="1:29" ht="15.75" thickBot="1">
      <c r="A108" s="139"/>
      <c r="B108" s="140"/>
      <c r="C108" s="97"/>
      <c r="D108" s="97"/>
      <c r="E108" s="334"/>
      <c r="F108" s="480"/>
      <c r="G108" s="139"/>
      <c r="H108" s="140"/>
      <c r="I108" s="97"/>
      <c r="J108" s="97"/>
      <c r="K108" s="127"/>
      <c r="L108" s="139"/>
      <c r="M108" s="140"/>
      <c r="N108" s="97"/>
      <c r="O108" s="97"/>
      <c r="P108" s="334"/>
      <c r="Q108" s="485"/>
      <c r="R108" s="139"/>
      <c r="S108" s="140"/>
      <c r="T108" s="97"/>
      <c r="U108" s="97"/>
      <c r="V108" s="127"/>
      <c r="W108" s="176"/>
      <c r="X108" s="139"/>
      <c r="Y108" s="140"/>
      <c r="Z108" s="97"/>
      <c r="AA108" s="97"/>
      <c r="AB108" s="127"/>
      <c r="AC108" s="176"/>
    </row>
    <row r="109" spans="1:29" ht="13.5" thickBot="1">
      <c r="A109" s="972" t="s">
        <v>223</v>
      </c>
      <c r="B109" s="973"/>
      <c r="C109" s="97"/>
      <c r="D109" s="97"/>
      <c r="E109" s="334"/>
      <c r="F109" s="716"/>
      <c r="G109" s="972" t="s">
        <v>223</v>
      </c>
      <c r="H109" s="973"/>
      <c r="I109" s="97"/>
      <c r="J109" s="97"/>
      <c r="K109" s="127"/>
      <c r="L109" s="972" t="s">
        <v>223</v>
      </c>
      <c r="M109" s="973"/>
      <c r="N109" s="97"/>
      <c r="O109" s="97"/>
      <c r="P109" s="334"/>
      <c r="Q109" s="485"/>
      <c r="R109" s="972" t="s">
        <v>223</v>
      </c>
      <c r="S109" s="973"/>
      <c r="T109" s="97"/>
      <c r="U109" s="97"/>
      <c r="V109" s="127"/>
      <c r="W109" s="176"/>
      <c r="X109" s="972" t="s">
        <v>223</v>
      </c>
      <c r="Y109" s="973"/>
      <c r="Z109" s="97"/>
      <c r="AA109" s="97"/>
      <c r="AB109" s="127"/>
      <c r="AC109" s="176"/>
    </row>
    <row r="110" spans="1:29" ht="12.75">
      <c r="A110" s="412" t="s">
        <v>214</v>
      </c>
      <c r="B110" s="387">
        <f>E98</f>
        <v>0</v>
      </c>
      <c r="C110" s="97"/>
      <c r="D110" s="97"/>
      <c r="E110" s="334"/>
      <c r="F110" s="477"/>
      <c r="G110" s="412" t="s">
        <v>214</v>
      </c>
      <c r="H110" s="387">
        <f>K98</f>
        <v>0</v>
      </c>
      <c r="I110" s="97"/>
      <c r="J110" s="97"/>
      <c r="K110" s="127"/>
      <c r="L110" s="412" t="s">
        <v>214</v>
      </c>
      <c r="M110" s="387">
        <f>P98</f>
        <v>0</v>
      </c>
      <c r="N110" s="97"/>
      <c r="O110" s="97"/>
      <c r="P110" s="334"/>
      <c r="Q110" s="485"/>
      <c r="R110" s="412" t="s">
        <v>214</v>
      </c>
      <c r="S110" s="387">
        <f>V98</f>
        <v>0</v>
      </c>
      <c r="T110" s="97"/>
      <c r="U110" s="97"/>
      <c r="V110" s="127"/>
      <c r="W110" s="176"/>
      <c r="X110" s="412" t="s">
        <v>214</v>
      </c>
      <c r="Y110" s="387">
        <f>AB98</f>
        <v>0</v>
      </c>
      <c r="Z110" s="97"/>
      <c r="AA110" s="97"/>
      <c r="AB110" s="127"/>
      <c r="AC110" s="176"/>
    </row>
    <row r="111" spans="1:29" ht="13.5" thickBot="1">
      <c r="A111" s="413" t="s">
        <v>211</v>
      </c>
      <c r="B111" s="388">
        <f>B16</f>
        <v>2083</v>
      </c>
      <c r="C111" s="97"/>
      <c r="D111" s="97"/>
      <c r="E111" s="122"/>
      <c r="F111" s="478"/>
      <c r="G111" s="413" t="s">
        <v>211</v>
      </c>
      <c r="H111" s="388">
        <f>H16</f>
        <v>2083</v>
      </c>
      <c r="I111" s="97"/>
      <c r="J111" s="97"/>
      <c r="K111" s="97"/>
      <c r="L111" s="413" t="s">
        <v>211</v>
      </c>
      <c r="M111" s="388">
        <f>M16</f>
        <v>2083</v>
      </c>
      <c r="N111" s="97"/>
      <c r="O111" s="97"/>
      <c r="P111" s="122"/>
      <c r="Q111" s="485"/>
      <c r="R111" s="413" t="s">
        <v>211</v>
      </c>
      <c r="S111" s="388">
        <f>S16</f>
        <v>2083</v>
      </c>
      <c r="T111" s="97"/>
      <c r="U111" s="97"/>
      <c r="V111" s="97"/>
      <c r="W111" s="176"/>
      <c r="X111" s="413" t="s">
        <v>211</v>
      </c>
      <c r="Y111" s="388">
        <f>Y16</f>
        <v>2083</v>
      </c>
      <c r="Z111" s="97"/>
      <c r="AA111" s="97"/>
      <c r="AB111" s="97"/>
      <c r="AC111" s="176"/>
    </row>
    <row r="112" spans="1:29" ht="15.75" thickBot="1">
      <c r="A112" s="382" t="s">
        <v>212</v>
      </c>
      <c r="B112" s="389">
        <f>B110*B111</f>
        <v>0</v>
      </c>
      <c r="C112" s="97"/>
      <c r="D112" s="97"/>
      <c r="E112" s="122"/>
      <c r="F112" s="479"/>
      <c r="G112" s="382" t="s">
        <v>212</v>
      </c>
      <c r="H112" s="389">
        <f>H110*H111</f>
        <v>0</v>
      </c>
      <c r="I112" s="97"/>
      <c r="J112" s="97"/>
      <c r="K112" s="97"/>
      <c r="L112" s="382" t="s">
        <v>212</v>
      </c>
      <c r="M112" s="389">
        <f>M110*M111</f>
        <v>0</v>
      </c>
      <c r="N112" s="97"/>
      <c r="O112" s="97"/>
      <c r="P112" s="122"/>
      <c r="Q112" s="485"/>
      <c r="R112" s="382" t="s">
        <v>212</v>
      </c>
      <c r="S112" s="389">
        <f>S110*S111</f>
        <v>0</v>
      </c>
      <c r="T112" s="97"/>
      <c r="U112" s="97"/>
      <c r="V112" s="97"/>
      <c r="W112" s="176"/>
      <c r="X112" s="382" t="s">
        <v>212</v>
      </c>
      <c r="Y112" s="389">
        <f>Y110*Y111</f>
        <v>0</v>
      </c>
      <c r="Z112" s="97"/>
      <c r="AA112" s="97"/>
      <c r="AB112" s="97"/>
      <c r="AC112" s="176"/>
    </row>
    <row r="113" spans="1:29" ht="12.75">
      <c r="A113" s="141"/>
      <c r="B113" s="132"/>
      <c r="C113" s="132"/>
      <c r="D113" s="124"/>
      <c r="E113" s="336"/>
      <c r="F113" s="481"/>
      <c r="G113" s="141"/>
      <c r="H113" s="132"/>
      <c r="I113" s="132"/>
      <c r="J113" s="124"/>
      <c r="K113" s="136"/>
      <c r="L113" s="141"/>
      <c r="M113" s="132"/>
      <c r="N113" s="132"/>
      <c r="O113" s="124"/>
      <c r="P113" s="336"/>
      <c r="Q113" s="485"/>
      <c r="R113" s="141"/>
      <c r="S113" s="132"/>
      <c r="T113" s="132"/>
      <c r="U113" s="124"/>
      <c r="V113" s="136"/>
      <c r="W113" s="176"/>
      <c r="X113" s="141"/>
      <c r="Y113" s="132"/>
      <c r="Z113" s="132"/>
      <c r="AA113" s="124"/>
      <c r="AB113" s="136"/>
      <c r="AC113" s="176"/>
    </row>
    <row r="114" spans="1:29" ht="13.5" thickBot="1">
      <c r="A114" s="141"/>
      <c r="B114" s="132"/>
      <c r="C114" s="132"/>
      <c r="D114" s="124"/>
      <c r="E114" s="336"/>
      <c r="F114" s="481"/>
      <c r="G114" s="141"/>
      <c r="H114" s="132"/>
      <c r="I114" s="132"/>
      <c r="J114" s="124"/>
      <c r="K114" s="136"/>
      <c r="L114" s="141"/>
      <c r="M114" s="132"/>
      <c r="N114" s="132"/>
      <c r="O114" s="124"/>
      <c r="P114" s="336"/>
      <c r="Q114" s="485"/>
      <c r="R114" s="141"/>
      <c r="S114" s="132"/>
      <c r="T114" s="132"/>
      <c r="U114" s="124"/>
      <c r="V114" s="136"/>
      <c r="W114" s="176"/>
      <c r="X114" s="141"/>
      <c r="Y114" s="132"/>
      <c r="Z114" s="132"/>
      <c r="AA114" s="124"/>
      <c r="AB114" s="136"/>
      <c r="AC114" s="176"/>
    </row>
    <row r="115" spans="1:29" ht="13.5" thickBot="1">
      <c r="A115" s="972" t="s">
        <v>213</v>
      </c>
      <c r="B115" s="973"/>
      <c r="C115" s="132"/>
      <c r="D115" s="124"/>
      <c r="E115" s="336"/>
      <c r="F115" s="716"/>
      <c r="G115" s="972" t="s">
        <v>213</v>
      </c>
      <c r="H115" s="973"/>
      <c r="I115" s="132"/>
      <c r="J115" s="124"/>
      <c r="K115" s="136"/>
      <c r="L115" s="972" t="s">
        <v>213</v>
      </c>
      <c r="M115" s="973"/>
      <c r="N115" s="132"/>
      <c r="O115" s="124"/>
      <c r="P115" s="336"/>
      <c r="Q115" s="485"/>
      <c r="R115" s="972" t="s">
        <v>213</v>
      </c>
      <c r="S115" s="973"/>
      <c r="T115" s="132"/>
      <c r="U115" s="124"/>
      <c r="V115" s="136"/>
      <c r="W115" s="176"/>
      <c r="X115" s="972" t="s">
        <v>213</v>
      </c>
      <c r="Y115" s="973"/>
      <c r="Z115" s="132"/>
      <c r="AA115" s="124"/>
      <c r="AB115" s="136"/>
      <c r="AC115" s="176"/>
    </row>
    <row r="116" spans="1:29" ht="12.75">
      <c r="A116" s="412" t="s">
        <v>210</v>
      </c>
      <c r="B116" s="391">
        <f>B106</f>
        <v>0</v>
      </c>
      <c r="C116" s="132"/>
      <c r="D116" s="124"/>
      <c r="E116" s="336"/>
      <c r="F116" s="477"/>
      <c r="G116" s="412" t="s">
        <v>210</v>
      </c>
      <c r="H116" s="391">
        <f>H106</f>
        <v>0</v>
      </c>
      <c r="I116" s="132"/>
      <c r="J116" s="124"/>
      <c r="K116" s="136"/>
      <c r="L116" s="412" t="s">
        <v>210</v>
      </c>
      <c r="M116" s="391">
        <f>M106</f>
        <v>0</v>
      </c>
      <c r="N116" s="132"/>
      <c r="O116" s="124"/>
      <c r="P116" s="336"/>
      <c r="Q116" s="485"/>
      <c r="R116" s="412" t="s">
        <v>210</v>
      </c>
      <c r="S116" s="391">
        <f>S106</f>
        <v>0</v>
      </c>
      <c r="T116" s="132"/>
      <c r="U116" s="124"/>
      <c r="V116" s="136"/>
      <c r="W116" s="176"/>
      <c r="X116" s="412" t="s">
        <v>210</v>
      </c>
      <c r="Y116" s="391">
        <f>Y106</f>
        <v>0</v>
      </c>
      <c r="Z116" s="132"/>
      <c r="AA116" s="124"/>
      <c r="AB116" s="136"/>
      <c r="AC116" s="176"/>
    </row>
    <row r="117" spans="1:29" ht="13.5" thickBot="1">
      <c r="A117" s="412" t="s">
        <v>212</v>
      </c>
      <c r="B117" s="392">
        <f>B112</f>
        <v>0</v>
      </c>
      <c r="C117" s="132"/>
      <c r="D117" s="124"/>
      <c r="E117" s="336"/>
      <c r="F117" s="477"/>
      <c r="G117" s="412" t="s">
        <v>212</v>
      </c>
      <c r="H117" s="392">
        <f>H112</f>
        <v>0</v>
      </c>
      <c r="I117" s="132"/>
      <c r="J117" s="124"/>
      <c r="K117" s="136"/>
      <c r="L117" s="412" t="s">
        <v>212</v>
      </c>
      <c r="M117" s="392">
        <f>M112</f>
        <v>0</v>
      </c>
      <c r="N117" s="132"/>
      <c r="O117" s="124"/>
      <c r="P117" s="336"/>
      <c r="Q117" s="485"/>
      <c r="R117" s="412" t="s">
        <v>212</v>
      </c>
      <c r="S117" s="392">
        <f>S112</f>
        <v>0</v>
      </c>
      <c r="T117" s="132"/>
      <c r="U117" s="124"/>
      <c r="V117" s="136"/>
      <c r="W117" s="176"/>
      <c r="X117" s="412" t="s">
        <v>212</v>
      </c>
      <c r="Y117" s="392">
        <f>Y112</f>
        <v>0</v>
      </c>
      <c r="Z117" s="132"/>
      <c r="AA117" s="124"/>
      <c r="AB117" s="136"/>
      <c r="AC117" s="176"/>
    </row>
    <row r="118" spans="1:29" ht="15.75" thickBot="1">
      <c r="A118" s="382" t="s">
        <v>219</v>
      </c>
      <c r="B118" s="389">
        <f>B116+B117</f>
        <v>0</v>
      </c>
      <c r="C118" s="328"/>
      <c r="D118" s="135"/>
      <c r="E118" s="337"/>
      <c r="F118" s="482"/>
      <c r="G118" s="382" t="s">
        <v>219</v>
      </c>
      <c r="H118" s="389">
        <f>H116+H117</f>
        <v>0</v>
      </c>
      <c r="I118" s="132"/>
      <c r="J118" s="124"/>
      <c r="K118" s="136"/>
      <c r="L118" s="382" t="s">
        <v>219</v>
      </c>
      <c r="M118" s="389">
        <f>M116+M117</f>
        <v>0</v>
      </c>
      <c r="N118" s="132"/>
      <c r="O118" s="124"/>
      <c r="P118" s="336"/>
      <c r="Q118" s="485"/>
      <c r="R118" s="382" t="s">
        <v>219</v>
      </c>
      <c r="S118" s="389">
        <f>S116+S117</f>
        <v>0</v>
      </c>
      <c r="T118" s="132"/>
      <c r="U118" s="124"/>
      <c r="V118" s="136"/>
      <c r="W118" s="176"/>
      <c r="X118" s="382" t="s">
        <v>219</v>
      </c>
      <c r="Y118" s="389">
        <f>Y116+Y117</f>
        <v>0</v>
      </c>
      <c r="Z118" s="132"/>
      <c r="AA118" s="124"/>
      <c r="AB118" s="136"/>
      <c r="AC118" s="176"/>
    </row>
    <row r="119" spans="1:29" ht="13.5" thickBot="1">
      <c r="A119" s="322"/>
      <c r="B119" s="323"/>
      <c r="C119" s="324"/>
      <c r="D119" s="324"/>
      <c r="E119" s="325"/>
      <c r="F119" s="172"/>
      <c r="G119" s="132"/>
      <c r="H119" s="136"/>
      <c r="I119" s="132"/>
      <c r="J119" s="132"/>
      <c r="K119" s="115"/>
      <c r="L119" s="141"/>
      <c r="M119" s="136"/>
      <c r="N119" s="132"/>
      <c r="O119" s="132"/>
      <c r="P119" s="326"/>
      <c r="Q119" s="485"/>
      <c r="R119" s="132"/>
      <c r="S119" s="136"/>
      <c r="T119" s="132"/>
      <c r="U119" s="132"/>
      <c r="V119" s="115"/>
      <c r="W119" s="176"/>
      <c r="X119" s="132"/>
      <c r="Y119" s="136"/>
      <c r="Z119" s="132"/>
      <c r="AA119" s="132"/>
      <c r="AB119" s="115"/>
      <c r="AC119" s="176"/>
    </row>
    <row r="120" spans="1:29" ht="12.75">
      <c r="A120" s="141"/>
      <c r="B120" s="136"/>
      <c r="C120" s="132"/>
      <c r="D120" s="132"/>
      <c r="E120" s="326"/>
      <c r="F120" s="176"/>
      <c r="G120" s="322"/>
      <c r="H120" s="323"/>
      <c r="I120" s="324"/>
      <c r="J120" s="324"/>
      <c r="K120" s="325"/>
      <c r="L120" s="141"/>
      <c r="M120" s="136"/>
      <c r="N120" s="132"/>
      <c r="O120" s="132"/>
      <c r="P120" s="326"/>
      <c r="Q120" s="485"/>
      <c r="R120" s="132"/>
      <c r="S120" s="136"/>
      <c r="T120" s="132"/>
      <c r="U120" s="132"/>
      <c r="V120" s="115"/>
      <c r="W120" s="176"/>
      <c r="X120" s="132"/>
      <c r="Y120" s="136"/>
      <c r="Z120" s="132"/>
      <c r="AA120" s="132"/>
      <c r="AB120" s="115"/>
      <c r="AC120" s="176"/>
    </row>
    <row r="121" spans="1:29" ht="12.75">
      <c r="A121" s="141"/>
      <c r="B121" s="136"/>
      <c r="C121" s="132"/>
      <c r="D121" s="132"/>
      <c r="E121" s="326"/>
      <c r="F121" s="176"/>
      <c r="G121" s="141"/>
      <c r="H121" s="136"/>
      <c r="I121" s="132"/>
      <c r="J121" s="132"/>
      <c r="K121" s="326"/>
      <c r="L121" s="141"/>
      <c r="M121" s="136"/>
      <c r="N121" s="132"/>
      <c r="O121" s="132"/>
      <c r="P121" s="326"/>
      <c r="Q121" s="485"/>
      <c r="R121" s="132"/>
      <c r="S121" s="136"/>
      <c r="T121" s="132"/>
      <c r="U121" s="132"/>
      <c r="V121" s="115"/>
      <c r="W121" s="176"/>
      <c r="X121" s="132"/>
      <c r="Y121" s="136"/>
      <c r="Z121" s="132"/>
      <c r="AA121" s="132"/>
      <c r="AB121" s="115"/>
      <c r="AC121" s="176"/>
    </row>
    <row r="122" spans="1:29" ht="32.25" customHeight="1" thickBot="1">
      <c r="A122" s="327"/>
      <c r="B122" s="171"/>
      <c r="C122" s="328"/>
      <c r="D122" s="328"/>
      <c r="E122" s="329"/>
      <c r="F122" s="176"/>
      <c r="G122" s="141"/>
      <c r="H122" s="136"/>
      <c r="I122" s="132"/>
      <c r="J122" s="132"/>
      <c r="K122" s="326"/>
      <c r="L122" s="141"/>
      <c r="M122" s="136"/>
      <c r="N122" s="132"/>
      <c r="O122" s="132"/>
      <c r="P122" s="326"/>
      <c r="Q122" s="485"/>
      <c r="R122" s="132"/>
      <c r="S122" s="136"/>
      <c r="T122" s="132"/>
      <c r="U122" s="132"/>
      <c r="V122" s="115"/>
      <c r="W122" s="176"/>
      <c r="X122" s="132"/>
      <c r="Y122" s="136"/>
      <c r="Z122" s="132"/>
      <c r="AA122" s="132"/>
      <c r="AB122" s="115"/>
      <c r="AC122" s="176"/>
    </row>
    <row r="123" spans="1:29" ht="16.5" thickBot="1">
      <c r="A123" s="974" t="s">
        <v>91</v>
      </c>
      <c r="B123" s="975"/>
      <c r="C123" s="975"/>
      <c r="D123" s="975"/>
      <c r="E123" s="976"/>
      <c r="F123" s="176"/>
      <c r="G123" s="974" t="s">
        <v>91</v>
      </c>
      <c r="H123" s="975"/>
      <c r="I123" s="975"/>
      <c r="J123" s="975"/>
      <c r="K123" s="976"/>
      <c r="L123" s="974" t="s">
        <v>91</v>
      </c>
      <c r="M123" s="975"/>
      <c r="N123" s="975"/>
      <c r="O123" s="975"/>
      <c r="P123" s="976"/>
      <c r="Q123" s="485"/>
      <c r="R123" s="974" t="s">
        <v>91</v>
      </c>
      <c r="S123" s="975"/>
      <c r="T123" s="975"/>
      <c r="U123" s="975"/>
      <c r="V123" s="976"/>
      <c r="W123" s="176"/>
      <c r="X123" s="975" t="s">
        <v>91</v>
      </c>
      <c r="Y123" s="975"/>
      <c r="Z123" s="975"/>
      <c r="AA123" s="975"/>
      <c r="AB123" s="975"/>
      <c r="AC123" s="176"/>
    </row>
    <row r="124" spans="1:29" ht="16.5" thickBot="1">
      <c r="A124" s="142"/>
      <c r="B124" s="143"/>
      <c r="C124" s="143"/>
      <c r="D124" s="143"/>
      <c r="E124" s="874"/>
      <c r="F124" s="176"/>
      <c r="G124" s="142"/>
      <c r="H124" s="143"/>
      <c r="I124" s="143"/>
      <c r="J124" s="143"/>
      <c r="K124" s="874"/>
      <c r="L124" s="142"/>
      <c r="M124" s="143"/>
      <c r="N124" s="143"/>
      <c r="O124" s="143"/>
      <c r="P124" s="874"/>
      <c r="Q124" s="485"/>
      <c r="R124" s="142"/>
      <c r="S124" s="143"/>
      <c r="T124" s="143"/>
      <c r="U124" s="143"/>
      <c r="V124" s="874"/>
      <c r="W124" s="176"/>
      <c r="X124" s="142"/>
      <c r="Y124" s="143"/>
      <c r="Z124" s="143"/>
      <c r="AA124" s="143"/>
      <c r="AB124" s="874"/>
      <c r="AC124" s="176"/>
    </row>
    <row r="125" spans="1:29" ht="26.25" thickBot="1">
      <c r="A125" s="372" t="s">
        <v>61</v>
      </c>
      <c r="B125" s="734" t="s">
        <v>92</v>
      </c>
      <c r="C125" s="735" t="s">
        <v>93</v>
      </c>
      <c r="D125" s="372" t="s">
        <v>63</v>
      </c>
      <c r="E125" s="372" t="s">
        <v>28</v>
      </c>
      <c r="F125" s="176"/>
      <c r="G125" s="372" t="s">
        <v>61</v>
      </c>
      <c r="H125" s="734" t="s">
        <v>92</v>
      </c>
      <c r="I125" s="735" t="s">
        <v>93</v>
      </c>
      <c r="J125" s="372" t="s">
        <v>63</v>
      </c>
      <c r="K125" s="372" t="s">
        <v>28</v>
      </c>
      <c r="L125" s="372" t="s">
        <v>61</v>
      </c>
      <c r="M125" s="734" t="s">
        <v>92</v>
      </c>
      <c r="N125" s="735" t="s">
        <v>93</v>
      </c>
      <c r="O125" s="372" t="s">
        <v>63</v>
      </c>
      <c r="P125" s="372" t="s">
        <v>28</v>
      </c>
      <c r="Q125" s="485"/>
      <c r="R125" s="372" t="s">
        <v>61</v>
      </c>
      <c r="S125" s="734" t="s">
        <v>92</v>
      </c>
      <c r="T125" s="735" t="s">
        <v>93</v>
      </c>
      <c r="U125" s="372" t="s">
        <v>63</v>
      </c>
      <c r="V125" s="372" t="s">
        <v>28</v>
      </c>
      <c r="W125" s="176"/>
      <c r="X125" s="372" t="s">
        <v>61</v>
      </c>
      <c r="Y125" s="734" t="s">
        <v>92</v>
      </c>
      <c r="Z125" s="735" t="s">
        <v>93</v>
      </c>
      <c r="AA125" s="372" t="s">
        <v>63</v>
      </c>
      <c r="AB125" s="372" t="s">
        <v>28</v>
      </c>
      <c r="AC125" s="176"/>
    </row>
    <row r="126" spans="1:29" ht="12.75">
      <c r="A126" s="378">
        <v>9</v>
      </c>
      <c r="B126" s="123"/>
      <c r="C126" s="123"/>
      <c r="D126" s="144"/>
      <c r="E126" s="875">
        <f>SUM(B126:D126)</f>
        <v>0</v>
      </c>
      <c r="F126" s="176"/>
      <c r="G126" s="378">
        <v>9</v>
      </c>
      <c r="H126" s="123"/>
      <c r="I126" s="123"/>
      <c r="J126" s="144"/>
      <c r="K126" s="875">
        <f>SUM(H126:J126)</f>
        <v>0</v>
      </c>
      <c r="L126" s="378">
        <v>9</v>
      </c>
      <c r="M126" s="123"/>
      <c r="N126" s="123"/>
      <c r="O126" s="144"/>
      <c r="P126" s="875">
        <f>SUM(M126:O126)</f>
        <v>0</v>
      </c>
      <c r="Q126" s="485"/>
      <c r="R126" s="378">
        <v>9</v>
      </c>
      <c r="S126" s="123"/>
      <c r="T126" s="123"/>
      <c r="U126" s="144"/>
      <c r="V126" s="875">
        <f>SUM(S126:U126)</f>
        <v>0</v>
      </c>
      <c r="W126" s="176"/>
      <c r="X126" s="378">
        <v>9</v>
      </c>
      <c r="Y126" s="340"/>
      <c r="Z126" s="340"/>
      <c r="AA126" s="341"/>
      <c r="AB126" s="875">
        <f>SUM(Y126:AA126)</f>
        <v>0</v>
      </c>
      <c r="AC126" s="176"/>
    </row>
    <row r="127" spans="1:29" ht="12.75">
      <c r="A127" s="421">
        <v>10</v>
      </c>
      <c r="B127" s="123"/>
      <c r="C127" s="123"/>
      <c r="D127" s="144"/>
      <c r="E127" s="875">
        <f>SUM(B127:D127)</f>
        <v>0</v>
      </c>
      <c r="F127" s="176"/>
      <c r="G127" s="421">
        <v>10</v>
      </c>
      <c r="H127" s="123"/>
      <c r="I127" s="123"/>
      <c r="J127" s="144"/>
      <c r="K127" s="875">
        <f>SUM(H127:J127)</f>
        <v>0</v>
      </c>
      <c r="L127" s="421">
        <v>10</v>
      </c>
      <c r="M127" s="123"/>
      <c r="N127" s="123"/>
      <c r="O127" s="144"/>
      <c r="P127" s="875">
        <f>SUM(M127:O127)</f>
        <v>0</v>
      </c>
      <c r="Q127" s="485"/>
      <c r="R127" s="421">
        <v>10</v>
      </c>
      <c r="S127" s="123"/>
      <c r="T127" s="123"/>
      <c r="U127" s="144"/>
      <c r="V127" s="875">
        <f>SUM(S127:U127)</f>
        <v>0</v>
      </c>
      <c r="W127" s="176"/>
      <c r="X127" s="421">
        <v>10</v>
      </c>
      <c r="Y127" s="340"/>
      <c r="Z127" s="340"/>
      <c r="AA127" s="341"/>
      <c r="AB127" s="875">
        <f>SUM(Y127:AA127)</f>
        <v>0</v>
      </c>
      <c r="AC127" s="176"/>
    </row>
    <row r="128" spans="1:29" ht="12.75">
      <c r="A128" s="421">
        <v>11</v>
      </c>
      <c r="B128" s="123"/>
      <c r="C128" s="123"/>
      <c r="D128" s="144"/>
      <c r="E128" s="875">
        <f>SUM(B128:D128)</f>
        <v>0</v>
      </c>
      <c r="F128" s="176"/>
      <c r="G128" s="421">
        <v>11</v>
      </c>
      <c r="H128" s="123"/>
      <c r="I128" s="123"/>
      <c r="J128" s="144"/>
      <c r="K128" s="875">
        <f>SUM(H128:J128)</f>
        <v>0</v>
      </c>
      <c r="L128" s="421">
        <v>11</v>
      </c>
      <c r="M128" s="123"/>
      <c r="N128" s="123"/>
      <c r="O128" s="144"/>
      <c r="P128" s="875">
        <f>SUM(M128:O128)</f>
        <v>0</v>
      </c>
      <c r="Q128" s="485"/>
      <c r="R128" s="421">
        <v>11</v>
      </c>
      <c r="S128" s="123"/>
      <c r="T128" s="123"/>
      <c r="U128" s="144"/>
      <c r="V128" s="875">
        <f>SUM(S128:U128)</f>
        <v>0</v>
      </c>
      <c r="W128" s="176"/>
      <c r="X128" s="421">
        <v>11</v>
      </c>
      <c r="Y128" s="340"/>
      <c r="Z128" s="340"/>
      <c r="AA128" s="341"/>
      <c r="AB128" s="875">
        <f>SUM(Y128:AA128)</f>
        <v>0</v>
      </c>
      <c r="AC128" s="176"/>
    </row>
    <row r="129" spans="1:29" ht="12.75">
      <c r="A129" s="421">
        <v>12</v>
      </c>
      <c r="B129" s="123"/>
      <c r="C129" s="123"/>
      <c r="D129" s="144"/>
      <c r="E129" s="875">
        <f>SUM(B129:D129)</f>
        <v>0</v>
      </c>
      <c r="F129" s="176"/>
      <c r="G129" s="421">
        <v>12</v>
      </c>
      <c r="H129" s="123"/>
      <c r="I129" s="123"/>
      <c r="J129" s="144"/>
      <c r="K129" s="875">
        <f>SUM(H129:J129)</f>
        <v>0</v>
      </c>
      <c r="L129" s="421">
        <v>12</v>
      </c>
      <c r="M129" s="123"/>
      <c r="N129" s="123"/>
      <c r="O129" s="144"/>
      <c r="P129" s="875">
        <f>SUM(M129:O129)</f>
        <v>0</v>
      </c>
      <c r="Q129" s="485"/>
      <c r="R129" s="421">
        <v>12</v>
      </c>
      <c r="S129" s="719"/>
      <c r="T129" s="123"/>
      <c r="U129" s="144"/>
      <c r="V129" s="875">
        <f>SUM(S129:U129)</f>
        <v>0</v>
      </c>
      <c r="W129" s="176"/>
      <c r="X129" s="421">
        <v>12</v>
      </c>
      <c r="Y129" s="340"/>
      <c r="Z129" s="340"/>
      <c r="AA129" s="341"/>
      <c r="AB129" s="875">
        <f>SUM(Y129:AA129)</f>
        <v>0</v>
      </c>
      <c r="AC129" s="176"/>
    </row>
    <row r="130" spans="1:29" ht="12.75">
      <c r="A130" s="402" t="s">
        <v>94</v>
      </c>
      <c r="B130" s="383">
        <f>SUM(B126:B129)</f>
        <v>0</v>
      </c>
      <c r="C130" s="383">
        <f>SUM(C126:C129)</f>
        <v>0</v>
      </c>
      <c r="D130" s="383">
        <f>SUM(D126:D129)</f>
        <v>0</v>
      </c>
      <c r="E130" s="876">
        <f>SUM(E126:E129)</f>
        <v>0</v>
      </c>
      <c r="F130" s="176"/>
      <c r="G130" s="402" t="s">
        <v>94</v>
      </c>
      <c r="H130" s="383">
        <f>SUM(H126:H129)</f>
        <v>0</v>
      </c>
      <c r="I130" s="383">
        <f>SUM(I126:I129)</f>
        <v>0</v>
      </c>
      <c r="J130" s="383">
        <f>SUM(J126:J129)</f>
        <v>0</v>
      </c>
      <c r="K130" s="876">
        <f>SUM(K126:K129)</f>
        <v>0</v>
      </c>
      <c r="L130" s="402" t="s">
        <v>94</v>
      </c>
      <c r="M130" s="383">
        <f>SUM(M126:M129)</f>
        <v>0</v>
      </c>
      <c r="N130" s="383">
        <f>SUM(N126:N129)</f>
        <v>0</v>
      </c>
      <c r="O130" s="383">
        <f>SUM(O126:O129)</f>
        <v>0</v>
      </c>
      <c r="P130" s="876">
        <f>SUM(P126:P129)</f>
        <v>0</v>
      </c>
      <c r="Q130" s="485"/>
      <c r="R130" s="402" t="s">
        <v>94</v>
      </c>
      <c r="S130" s="383">
        <f>SUM(S126:S129)</f>
        <v>0</v>
      </c>
      <c r="T130" s="383">
        <f>SUM(T126:T129)</f>
        <v>0</v>
      </c>
      <c r="U130" s="383">
        <f>SUM(U126:U129)</f>
        <v>0</v>
      </c>
      <c r="V130" s="876">
        <f>SUM(V126:V129)</f>
        <v>0</v>
      </c>
      <c r="W130" s="176"/>
      <c r="X130" s="402" t="s">
        <v>94</v>
      </c>
      <c r="Y130" s="383">
        <f>SUM(Y126:Y129)</f>
        <v>0</v>
      </c>
      <c r="Z130" s="383">
        <f>SUM(Z126:Z129)</f>
        <v>0</v>
      </c>
      <c r="AA130" s="383">
        <f>SUM(AA126:AA129)</f>
        <v>0</v>
      </c>
      <c r="AB130" s="876">
        <f>SUM(AB126:AB129)</f>
        <v>0</v>
      </c>
      <c r="AC130" s="176"/>
    </row>
    <row r="131" spans="1:29" ht="13.5" thickBot="1">
      <c r="A131" s="403" t="s">
        <v>67</v>
      </c>
      <c r="B131" s="385">
        <v>1</v>
      </c>
      <c r="C131" s="385">
        <v>0.7</v>
      </c>
      <c r="D131" s="385">
        <v>0.4</v>
      </c>
      <c r="E131" s="138"/>
      <c r="F131" s="176"/>
      <c r="G131" s="403" t="s">
        <v>67</v>
      </c>
      <c r="H131" s="385">
        <v>1</v>
      </c>
      <c r="I131" s="385">
        <v>0.7</v>
      </c>
      <c r="J131" s="385">
        <v>0.4</v>
      </c>
      <c r="K131" s="138"/>
      <c r="L131" s="403" t="s">
        <v>67</v>
      </c>
      <c r="M131" s="385">
        <v>1</v>
      </c>
      <c r="N131" s="385">
        <v>0.7</v>
      </c>
      <c r="O131" s="385">
        <v>0.4</v>
      </c>
      <c r="P131" s="138"/>
      <c r="Q131" s="485"/>
      <c r="R131" s="403" t="s">
        <v>67</v>
      </c>
      <c r="S131" s="385">
        <v>1</v>
      </c>
      <c r="T131" s="385">
        <v>0.7</v>
      </c>
      <c r="U131" s="385">
        <v>0.4</v>
      </c>
      <c r="V131" s="138"/>
      <c r="W131" s="176"/>
      <c r="X131" s="403" t="s">
        <v>67</v>
      </c>
      <c r="Y131" s="385">
        <v>1</v>
      </c>
      <c r="Z131" s="385">
        <v>0.7</v>
      </c>
      <c r="AA131" s="385">
        <v>0.4</v>
      </c>
      <c r="AB131" s="877"/>
      <c r="AC131" s="176"/>
    </row>
    <row r="132" spans="1:29" ht="13.5" thickBot="1">
      <c r="A132" s="372" t="s">
        <v>95</v>
      </c>
      <c r="B132" s="386">
        <f>B130*B131</f>
        <v>0</v>
      </c>
      <c r="C132" s="386">
        <f>C130*C131</f>
        <v>0</v>
      </c>
      <c r="D132" s="386">
        <f>D130*D131</f>
        <v>0</v>
      </c>
      <c r="E132" s="382">
        <f>SUM(B132:D132)</f>
        <v>0</v>
      </c>
      <c r="F132" s="176"/>
      <c r="G132" s="372" t="s">
        <v>95</v>
      </c>
      <c r="H132" s="386">
        <f>H130*H131</f>
        <v>0</v>
      </c>
      <c r="I132" s="386">
        <f>I130*I131</f>
        <v>0</v>
      </c>
      <c r="J132" s="386">
        <f>J130*J131</f>
        <v>0</v>
      </c>
      <c r="K132" s="382">
        <f>SUM(H132:J132)</f>
        <v>0</v>
      </c>
      <c r="L132" s="372" t="s">
        <v>95</v>
      </c>
      <c r="M132" s="386">
        <f>M130*M131</f>
        <v>0</v>
      </c>
      <c r="N132" s="386">
        <f>N130*N131</f>
        <v>0</v>
      </c>
      <c r="O132" s="386">
        <f>O130*O131</f>
        <v>0</v>
      </c>
      <c r="P132" s="382">
        <f>SUM(M132:O132)</f>
        <v>0</v>
      </c>
      <c r="Q132" s="485"/>
      <c r="R132" s="372" t="s">
        <v>95</v>
      </c>
      <c r="S132" s="386">
        <f>S130*S131</f>
        <v>0</v>
      </c>
      <c r="T132" s="386">
        <f>T130*T131</f>
        <v>0</v>
      </c>
      <c r="U132" s="386">
        <f>U130*U131</f>
        <v>0</v>
      </c>
      <c r="V132" s="382">
        <f>SUM(S132:U132)</f>
        <v>0</v>
      </c>
      <c r="W132" s="176"/>
      <c r="X132" s="372" t="s">
        <v>95</v>
      </c>
      <c r="Y132" s="386">
        <f>Y130*Y131</f>
        <v>0</v>
      </c>
      <c r="Z132" s="386">
        <f>Z130*Z131</f>
        <v>0</v>
      </c>
      <c r="AA132" s="386">
        <f>AA130*AA131</f>
        <v>0</v>
      </c>
      <c r="AB132" s="382">
        <f>SUM(Y132:AA132)</f>
        <v>0</v>
      </c>
      <c r="AC132" s="176"/>
    </row>
    <row r="133" spans="1:29" ht="12.75">
      <c r="A133" s="126"/>
      <c r="B133" s="127"/>
      <c r="C133" s="97"/>
      <c r="D133" s="127"/>
      <c r="E133" s="122"/>
      <c r="F133" s="176"/>
      <c r="G133" s="126"/>
      <c r="H133" s="127"/>
      <c r="I133" s="97"/>
      <c r="J133" s="127"/>
      <c r="K133" s="122"/>
      <c r="L133" s="126"/>
      <c r="M133" s="127"/>
      <c r="N133" s="97"/>
      <c r="O133" s="127"/>
      <c r="P133" s="122"/>
      <c r="Q133" s="485"/>
      <c r="R133" s="126"/>
      <c r="S133" s="127"/>
      <c r="T133" s="97"/>
      <c r="U133" s="127"/>
      <c r="V133" s="122"/>
      <c r="W133" s="176"/>
      <c r="X133" s="126"/>
      <c r="Y133" s="127"/>
      <c r="Z133" s="97"/>
      <c r="AA133" s="127"/>
      <c r="AB133" s="122"/>
      <c r="AC133" s="176"/>
    </row>
    <row r="134" spans="1:29" ht="13.5" thickBot="1">
      <c r="A134" s="126"/>
      <c r="B134" s="127"/>
      <c r="C134" s="97"/>
      <c r="D134" s="127"/>
      <c r="E134" s="122"/>
      <c r="F134" s="176"/>
      <c r="G134" s="126"/>
      <c r="H134" s="127"/>
      <c r="I134" s="97"/>
      <c r="J134" s="127"/>
      <c r="K134" s="122"/>
      <c r="L134" s="126"/>
      <c r="M134" s="127"/>
      <c r="N134" s="97"/>
      <c r="O134" s="127"/>
      <c r="P134" s="122"/>
      <c r="Q134" s="485"/>
      <c r="R134" s="126"/>
      <c r="S134" s="127"/>
      <c r="T134" s="97"/>
      <c r="U134" s="127"/>
      <c r="V134" s="122"/>
      <c r="W134" s="176"/>
      <c r="X134" s="126"/>
      <c r="Y134" s="127"/>
      <c r="Z134" s="97"/>
      <c r="AA134" s="127"/>
      <c r="AB134" s="122"/>
      <c r="AC134" s="176"/>
    </row>
    <row r="135" spans="1:29" ht="13.5" thickBot="1">
      <c r="A135" s="972" t="s">
        <v>96</v>
      </c>
      <c r="B135" s="973"/>
      <c r="C135" s="88"/>
      <c r="D135" s="145"/>
      <c r="E135" s="138"/>
      <c r="F135" s="176"/>
      <c r="G135" s="972" t="s">
        <v>96</v>
      </c>
      <c r="H135" s="973"/>
      <c r="I135" s="88"/>
      <c r="J135" s="145"/>
      <c r="K135" s="138"/>
      <c r="L135" s="972" t="s">
        <v>96</v>
      </c>
      <c r="M135" s="973"/>
      <c r="N135" s="88"/>
      <c r="O135" s="145"/>
      <c r="P135" s="138"/>
      <c r="Q135" s="485"/>
      <c r="R135" s="972" t="s">
        <v>96</v>
      </c>
      <c r="S135" s="973"/>
      <c r="T135" s="88"/>
      <c r="U135" s="145"/>
      <c r="V135" s="138"/>
      <c r="W135" s="176"/>
      <c r="X135" s="972" t="s">
        <v>96</v>
      </c>
      <c r="Y135" s="973"/>
      <c r="Z135" s="88"/>
      <c r="AA135" s="145"/>
      <c r="AB135" s="138"/>
      <c r="AC135" s="176"/>
    </row>
    <row r="136" spans="1:29" ht="12.75">
      <c r="A136" s="412" t="s">
        <v>220</v>
      </c>
      <c r="B136" s="387">
        <f>E132</f>
        <v>0</v>
      </c>
      <c r="C136" s="88"/>
      <c r="D136" s="145"/>
      <c r="E136" s="138"/>
      <c r="F136" s="176"/>
      <c r="G136" s="412" t="s">
        <v>220</v>
      </c>
      <c r="H136" s="387">
        <f>K132</f>
        <v>0</v>
      </c>
      <c r="I136" s="88"/>
      <c r="J136" s="145"/>
      <c r="K136" s="138"/>
      <c r="L136" s="412" t="s">
        <v>97</v>
      </c>
      <c r="M136" s="387">
        <f>P132</f>
        <v>0</v>
      </c>
      <c r="N136" s="88"/>
      <c r="O136" s="145"/>
      <c r="P136" s="138"/>
      <c r="Q136" s="485"/>
      <c r="R136" s="412" t="s">
        <v>220</v>
      </c>
      <c r="S136" s="387">
        <f>V132</f>
        <v>0</v>
      </c>
      <c r="T136" s="88"/>
      <c r="U136" s="145"/>
      <c r="V136" s="138"/>
      <c r="W136" s="176"/>
      <c r="X136" s="412" t="s">
        <v>220</v>
      </c>
      <c r="Y136" s="387">
        <f>AB132</f>
        <v>0</v>
      </c>
      <c r="Z136" s="88"/>
      <c r="AA136" s="145"/>
      <c r="AB136" s="138"/>
      <c r="AC136" s="176"/>
    </row>
    <row r="137" spans="1:29" ht="13.5" thickBot="1">
      <c r="A137" s="413" t="s">
        <v>44</v>
      </c>
      <c r="B137" s="388">
        <f>B15</f>
        <v>5831</v>
      </c>
      <c r="C137" s="88"/>
      <c r="D137" s="145"/>
      <c r="E137" s="138"/>
      <c r="F137" s="176"/>
      <c r="G137" s="413" t="s">
        <v>44</v>
      </c>
      <c r="H137" s="388">
        <f>H15</f>
        <v>5831</v>
      </c>
      <c r="I137" s="88"/>
      <c r="J137" s="145"/>
      <c r="K137" s="138"/>
      <c r="L137" s="413" t="s">
        <v>44</v>
      </c>
      <c r="M137" s="388">
        <f>M15</f>
        <v>5831</v>
      </c>
      <c r="N137" s="88"/>
      <c r="O137" s="145"/>
      <c r="P137" s="138"/>
      <c r="Q137" s="485"/>
      <c r="R137" s="413" t="s">
        <v>44</v>
      </c>
      <c r="S137" s="388">
        <f>S15</f>
        <v>5831</v>
      </c>
      <c r="T137" s="88"/>
      <c r="U137" s="145"/>
      <c r="V137" s="138"/>
      <c r="W137" s="176"/>
      <c r="X137" s="413" t="s">
        <v>44</v>
      </c>
      <c r="Y137" s="388">
        <f>Y15</f>
        <v>5831</v>
      </c>
      <c r="Z137" s="88"/>
      <c r="AA137" s="145"/>
      <c r="AB137" s="138"/>
      <c r="AC137" s="176"/>
    </row>
    <row r="138" spans="1:29" ht="15.75" thickBot="1">
      <c r="A138" s="382" t="s">
        <v>98</v>
      </c>
      <c r="B138" s="389">
        <f>B136*B137</f>
        <v>0</v>
      </c>
      <c r="C138" s="88"/>
      <c r="D138" s="145"/>
      <c r="E138" s="138"/>
      <c r="F138" s="176"/>
      <c r="G138" s="382" t="s">
        <v>98</v>
      </c>
      <c r="H138" s="389">
        <f>H136*H137</f>
        <v>0</v>
      </c>
      <c r="I138" s="88"/>
      <c r="J138" s="145"/>
      <c r="K138" s="138"/>
      <c r="L138" s="382" t="s">
        <v>98</v>
      </c>
      <c r="M138" s="389">
        <f>M136*M137</f>
        <v>0</v>
      </c>
      <c r="N138" s="88"/>
      <c r="O138" s="145"/>
      <c r="P138" s="138"/>
      <c r="Q138" s="485"/>
      <c r="R138" s="382" t="s">
        <v>98</v>
      </c>
      <c r="S138" s="389">
        <f>S136*S137</f>
        <v>0</v>
      </c>
      <c r="T138" s="88"/>
      <c r="U138" s="145"/>
      <c r="V138" s="138"/>
      <c r="W138" s="176"/>
      <c r="X138" s="382" t="s">
        <v>98</v>
      </c>
      <c r="Y138" s="389">
        <f>Y136*Y137</f>
        <v>0</v>
      </c>
      <c r="Z138" s="88"/>
      <c r="AA138" s="145"/>
      <c r="AB138" s="138"/>
      <c r="AC138" s="176"/>
    </row>
    <row r="139" spans="1:29" ht="15">
      <c r="A139" s="139"/>
      <c r="B139" s="140"/>
      <c r="C139" s="97"/>
      <c r="D139" s="97"/>
      <c r="E139" s="334"/>
      <c r="F139" s="176"/>
      <c r="G139" s="139"/>
      <c r="H139" s="140"/>
      <c r="I139" s="97"/>
      <c r="J139" s="97"/>
      <c r="K139" s="334"/>
      <c r="L139" s="139"/>
      <c r="M139" s="140"/>
      <c r="N139" s="97"/>
      <c r="O139" s="97"/>
      <c r="P139" s="334"/>
      <c r="Q139" s="485"/>
      <c r="R139" s="139"/>
      <c r="S139" s="140"/>
      <c r="T139" s="97"/>
      <c r="U139" s="97"/>
      <c r="V139" s="334"/>
      <c r="W139" s="176"/>
      <c r="X139" s="139"/>
      <c r="Y139" s="140"/>
      <c r="Z139" s="97"/>
      <c r="AA139" s="97"/>
      <c r="AB139" s="334"/>
      <c r="AC139" s="176"/>
    </row>
    <row r="140" spans="1:29" ht="15.75" thickBot="1">
      <c r="A140" s="139"/>
      <c r="B140" s="140"/>
      <c r="C140" s="97"/>
      <c r="D140" s="97"/>
      <c r="E140" s="334"/>
      <c r="F140" s="176"/>
      <c r="G140" s="139"/>
      <c r="H140" s="140"/>
      <c r="I140" s="97"/>
      <c r="J140" s="97"/>
      <c r="K140" s="334"/>
      <c r="L140" s="139"/>
      <c r="M140" s="140"/>
      <c r="N140" s="97"/>
      <c r="O140" s="97"/>
      <c r="P140" s="334"/>
      <c r="Q140" s="485"/>
      <c r="R140" s="139"/>
      <c r="S140" s="140"/>
      <c r="T140" s="97"/>
      <c r="U140" s="97"/>
      <c r="V140" s="334"/>
      <c r="W140" s="176"/>
      <c r="X140" s="139"/>
      <c r="Y140" s="140"/>
      <c r="Z140" s="97"/>
      <c r="AA140" s="97"/>
      <c r="AB140" s="334"/>
      <c r="AC140" s="176"/>
    </row>
    <row r="141" spans="1:29" ht="13.5" thickBot="1">
      <c r="A141" s="972" t="s">
        <v>99</v>
      </c>
      <c r="B141" s="973"/>
      <c r="C141" s="110"/>
      <c r="D141" s="110"/>
      <c r="E141" s="428"/>
      <c r="F141" s="176"/>
      <c r="G141" s="972" t="s">
        <v>99</v>
      </c>
      <c r="H141" s="973"/>
      <c r="I141" s="110"/>
      <c r="J141" s="110"/>
      <c r="K141" s="428"/>
      <c r="L141" s="972" t="s">
        <v>99</v>
      </c>
      <c r="M141" s="973"/>
      <c r="N141" s="110"/>
      <c r="O141" s="110"/>
      <c r="P141" s="428"/>
      <c r="Q141" s="485"/>
      <c r="R141" s="972" t="s">
        <v>99</v>
      </c>
      <c r="S141" s="973"/>
      <c r="T141" s="110"/>
      <c r="U141" s="110"/>
      <c r="V141" s="428"/>
      <c r="W141" s="176"/>
      <c r="X141" s="972" t="s">
        <v>99</v>
      </c>
      <c r="Y141" s="973"/>
      <c r="Z141" s="110"/>
      <c r="AA141" s="110"/>
      <c r="AB141" s="428"/>
      <c r="AC141" s="176"/>
    </row>
    <row r="142" spans="1:29" ht="12.75">
      <c r="A142" s="412" t="s">
        <v>100</v>
      </c>
      <c r="B142" s="387">
        <f>E130</f>
        <v>0</v>
      </c>
      <c r="C142" s="110"/>
      <c r="D142" s="110"/>
      <c r="E142" s="428"/>
      <c r="F142" s="176"/>
      <c r="G142" s="412" t="s">
        <v>100</v>
      </c>
      <c r="H142" s="387">
        <f>K130</f>
        <v>0</v>
      </c>
      <c r="I142" s="110"/>
      <c r="J142" s="110"/>
      <c r="K142" s="428"/>
      <c r="L142" s="412" t="s">
        <v>100</v>
      </c>
      <c r="M142" s="387">
        <f>P130</f>
        <v>0</v>
      </c>
      <c r="N142" s="110"/>
      <c r="O142" s="110"/>
      <c r="P142" s="428"/>
      <c r="Q142" s="485"/>
      <c r="R142" s="412" t="s">
        <v>100</v>
      </c>
      <c r="S142" s="387">
        <f>V130</f>
        <v>0</v>
      </c>
      <c r="T142" s="110"/>
      <c r="U142" s="110"/>
      <c r="V142" s="428"/>
      <c r="W142" s="176"/>
      <c r="X142" s="412" t="s">
        <v>100</v>
      </c>
      <c r="Y142" s="387">
        <f>AB130</f>
        <v>0</v>
      </c>
      <c r="Z142" s="110"/>
      <c r="AA142" s="110"/>
      <c r="AB142" s="428"/>
      <c r="AC142" s="176"/>
    </row>
    <row r="143" spans="1:29" ht="16.5" thickBot="1">
      <c r="A143" s="413" t="s">
        <v>101</v>
      </c>
      <c r="B143" s="388">
        <f>B16</f>
        <v>2083</v>
      </c>
      <c r="C143" s="110"/>
      <c r="D143" s="110"/>
      <c r="E143" s="877"/>
      <c r="F143" s="178"/>
      <c r="G143" s="413" t="s">
        <v>101</v>
      </c>
      <c r="H143" s="388">
        <f>H16</f>
        <v>2083</v>
      </c>
      <c r="I143" s="110"/>
      <c r="J143" s="110"/>
      <c r="K143" s="877"/>
      <c r="L143" s="413" t="s">
        <v>101</v>
      </c>
      <c r="M143" s="388">
        <f>M16</f>
        <v>2083</v>
      </c>
      <c r="N143" s="110"/>
      <c r="O143" s="110"/>
      <c r="P143" s="877"/>
      <c r="Q143" s="486"/>
      <c r="R143" s="413" t="s">
        <v>101</v>
      </c>
      <c r="S143" s="388">
        <f>S16</f>
        <v>2083</v>
      </c>
      <c r="T143" s="110"/>
      <c r="U143" s="110"/>
      <c r="V143" s="877"/>
      <c r="W143" s="178"/>
      <c r="X143" s="413" t="s">
        <v>101</v>
      </c>
      <c r="Y143" s="388">
        <f>Y16</f>
        <v>2083</v>
      </c>
      <c r="Z143" s="110"/>
      <c r="AA143" s="110"/>
      <c r="AB143" s="877"/>
      <c r="AC143" s="178"/>
    </row>
    <row r="144" spans="1:29" ht="16.5" thickBot="1">
      <c r="A144" s="382" t="s">
        <v>102</v>
      </c>
      <c r="B144" s="389">
        <f>B142*B143</f>
        <v>0</v>
      </c>
      <c r="C144" s="110"/>
      <c r="D144" s="110"/>
      <c r="E144" s="877"/>
      <c r="F144" s="178"/>
      <c r="G144" s="382" t="s">
        <v>102</v>
      </c>
      <c r="H144" s="389">
        <f>H142*H143</f>
        <v>0</v>
      </c>
      <c r="I144" s="110"/>
      <c r="J144" s="110"/>
      <c r="K144" s="877"/>
      <c r="L144" s="382" t="s">
        <v>102</v>
      </c>
      <c r="M144" s="389">
        <f>M142*M143</f>
        <v>0</v>
      </c>
      <c r="N144" s="110"/>
      <c r="O144" s="110"/>
      <c r="P144" s="877"/>
      <c r="Q144" s="486"/>
      <c r="R144" s="382" t="s">
        <v>102</v>
      </c>
      <c r="S144" s="389">
        <f>S142*S143</f>
        <v>0</v>
      </c>
      <c r="T144" s="110"/>
      <c r="U144" s="110"/>
      <c r="V144" s="877"/>
      <c r="W144" s="178"/>
      <c r="X144" s="382" t="s">
        <v>102</v>
      </c>
      <c r="Y144" s="389">
        <f>Y142*Y143</f>
        <v>0</v>
      </c>
      <c r="Z144" s="110"/>
      <c r="AA144" s="110"/>
      <c r="AB144" s="877"/>
      <c r="AC144" s="178"/>
    </row>
    <row r="145" spans="1:29" ht="15.75">
      <c r="A145" s="141"/>
      <c r="B145" s="132"/>
      <c r="C145" s="132"/>
      <c r="D145" s="124"/>
      <c r="E145" s="336"/>
      <c r="F145" s="179"/>
      <c r="G145" s="141"/>
      <c r="H145" s="132"/>
      <c r="I145" s="132"/>
      <c r="J145" s="124"/>
      <c r="K145" s="336"/>
      <c r="L145" s="141"/>
      <c r="M145" s="132"/>
      <c r="N145" s="132"/>
      <c r="O145" s="124"/>
      <c r="P145" s="336"/>
      <c r="Q145" s="881"/>
      <c r="R145" s="141"/>
      <c r="S145" s="132"/>
      <c r="T145" s="132"/>
      <c r="U145" s="124"/>
      <c r="V145" s="336"/>
      <c r="W145" s="179"/>
      <c r="X145" s="141"/>
      <c r="Y145" s="132"/>
      <c r="Z145" s="132"/>
      <c r="AA145" s="124"/>
      <c r="AB145" s="336"/>
      <c r="AC145" s="179"/>
    </row>
    <row r="146" spans="1:29" ht="16.5" thickBot="1">
      <c r="A146" s="141"/>
      <c r="B146" s="132"/>
      <c r="C146" s="132"/>
      <c r="D146" s="124"/>
      <c r="E146" s="336"/>
      <c r="F146" s="179"/>
      <c r="G146" s="141"/>
      <c r="H146" s="132"/>
      <c r="I146" s="132"/>
      <c r="J146" s="124"/>
      <c r="K146" s="336"/>
      <c r="L146" s="141"/>
      <c r="M146" s="132"/>
      <c r="N146" s="132"/>
      <c r="O146" s="124"/>
      <c r="P146" s="336"/>
      <c r="Q146" s="881"/>
      <c r="R146" s="141"/>
      <c r="S146" s="132"/>
      <c r="T146" s="132"/>
      <c r="U146" s="124"/>
      <c r="V146" s="336"/>
      <c r="W146" s="179"/>
      <c r="X146" s="141"/>
      <c r="Y146" s="132"/>
      <c r="Z146" s="132"/>
      <c r="AA146" s="124"/>
      <c r="AB146" s="336"/>
      <c r="AC146" s="179"/>
    </row>
    <row r="147" spans="1:29" ht="13.5" thickBot="1">
      <c r="A147" s="972" t="s">
        <v>103</v>
      </c>
      <c r="B147" s="973"/>
      <c r="C147" s="131"/>
      <c r="D147" s="146"/>
      <c r="E147" s="429"/>
      <c r="F147" s="180"/>
      <c r="G147" s="972" t="s">
        <v>103</v>
      </c>
      <c r="H147" s="973"/>
      <c r="I147" s="131"/>
      <c r="J147" s="146"/>
      <c r="K147" s="429"/>
      <c r="L147" s="972" t="s">
        <v>103</v>
      </c>
      <c r="M147" s="973"/>
      <c r="N147" s="131"/>
      <c r="O147" s="146"/>
      <c r="P147" s="429"/>
      <c r="Q147" s="882"/>
      <c r="R147" s="972" t="s">
        <v>103</v>
      </c>
      <c r="S147" s="973"/>
      <c r="T147" s="131"/>
      <c r="U147" s="146"/>
      <c r="V147" s="429"/>
      <c r="W147" s="180"/>
      <c r="X147" s="972" t="s">
        <v>103</v>
      </c>
      <c r="Y147" s="973"/>
      <c r="Z147" s="131"/>
      <c r="AA147" s="146"/>
      <c r="AB147" s="429"/>
      <c r="AC147" s="180"/>
    </row>
    <row r="148" spans="1:29" ht="12.75">
      <c r="A148" s="412" t="s">
        <v>98</v>
      </c>
      <c r="B148" s="390">
        <f>B138</f>
        <v>0</v>
      </c>
      <c r="C148" s="131"/>
      <c r="D148" s="146"/>
      <c r="E148" s="429"/>
      <c r="F148" s="180"/>
      <c r="G148" s="412" t="s">
        <v>98</v>
      </c>
      <c r="H148" s="390">
        <f>H138</f>
        <v>0</v>
      </c>
      <c r="I148" s="131"/>
      <c r="J148" s="146"/>
      <c r="K148" s="429"/>
      <c r="L148" s="412" t="s">
        <v>98</v>
      </c>
      <c r="M148" s="390">
        <f>M138</f>
        <v>0</v>
      </c>
      <c r="N148" s="131"/>
      <c r="O148" s="146"/>
      <c r="P148" s="429"/>
      <c r="Q148" s="882"/>
      <c r="R148" s="412" t="s">
        <v>98</v>
      </c>
      <c r="S148" s="390">
        <f>S138</f>
        <v>0</v>
      </c>
      <c r="T148" s="131"/>
      <c r="U148" s="146"/>
      <c r="V148" s="429"/>
      <c r="W148" s="180"/>
      <c r="X148" s="412" t="s">
        <v>98</v>
      </c>
      <c r="Y148" s="390">
        <f>Y138</f>
        <v>0</v>
      </c>
      <c r="Z148" s="131"/>
      <c r="AA148" s="146"/>
      <c r="AB148" s="429"/>
      <c r="AC148" s="180"/>
    </row>
    <row r="149" spans="1:29" ht="12.75" customHeight="1" thickBot="1">
      <c r="A149" s="412" t="s">
        <v>102</v>
      </c>
      <c r="B149" s="388">
        <f>B144</f>
        <v>0</v>
      </c>
      <c r="C149" s="131"/>
      <c r="D149" s="146"/>
      <c r="E149" s="429"/>
      <c r="F149" s="180"/>
      <c r="G149" s="412" t="s">
        <v>102</v>
      </c>
      <c r="H149" s="388">
        <f>H144</f>
        <v>0</v>
      </c>
      <c r="I149" s="131"/>
      <c r="J149" s="146"/>
      <c r="K149" s="429"/>
      <c r="L149" s="412" t="s">
        <v>102</v>
      </c>
      <c r="M149" s="388">
        <f>M144</f>
        <v>0</v>
      </c>
      <c r="N149" s="131"/>
      <c r="O149" s="146"/>
      <c r="P149" s="429"/>
      <c r="Q149" s="882"/>
      <c r="R149" s="412" t="s">
        <v>102</v>
      </c>
      <c r="S149" s="388">
        <f>S144</f>
        <v>0</v>
      </c>
      <c r="T149" s="131"/>
      <c r="U149" s="146"/>
      <c r="V149" s="429"/>
      <c r="W149" s="180"/>
      <c r="X149" s="412" t="s">
        <v>102</v>
      </c>
      <c r="Y149" s="388">
        <f>Y144</f>
        <v>0</v>
      </c>
      <c r="Z149" s="131"/>
      <c r="AA149" s="146"/>
      <c r="AB149" s="429"/>
      <c r="AC149" s="180"/>
    </row>
    <row r="150" spans="1:29" ht="15.75" thickBot="1">
      <c r="A150" s="382" t="s">
        <v>104</v>
      </c>
      <c r="B150" s="389">
        <f>B148+B149</f>
        <v>0</v>
      </c>
      <c r="C150" s="131"/>
      <c r="D150" s="146"/>
      <c r="E150" s="429"/>
      <c r="F150" s="181"/>
      <c r="G150" s="382" t="s">
        <v>104</v>
      </c>
      <c r="H150" s="389">
        <f>H148+H149</f>
        <v>0</v>
      </c>
      <c r="I150" s="131"/>
      <c r="J150" s="146"/>
      <c r="K150" s="429"/>
      <c r="L150" s="382" t="s">
        <v>104</v>
      </c>
      <c r="M150" s="389">
        <f>M148+M149</f>
        <v>0</v>
      </c>
      <c r="N150" s="131"/>
      <c r="O150" s="146"/>
      <c r="P150" s="429"/>
      <c r="Q150" s="883"/>
      <c r="R150" s="382" t="s">
        <v>104</v>
      </c>
      <c r="S150" s="389">
        <f>S148+S149</f>
        <v>0</v>
      </c>
      <c r="T150" s="131"/>
      <c r="U150" s="146"/>
      <c r="V150" s="429"/>
      <c r="W150" s="181"/>
      <c r="X150" s="382" t="s">
        <v>104</v>
      </c>
      <c r="Y150" s="389">
        <f>Y148+Y149</f>
        <v>0</v>
      </c>
      <c r="Z150" s="131"/>
      <c r="AA150" s="146"/>
      <c r="AB150" s="429"/>
      <c r="AC150" s="181"/>
    </row>
    <row r="151" spans="1:29" ht="15">
      <c r="A151" s="128"/>
      <c r="B151" s="129"/>
      <c r="C151" s="131"/>
      <c r="D151" s="146"/>
      <c r="E151" s="429"/>
      <c r="F151" s="181"/>
      <c r="G151" s="128"/>
      <c r="H151" s="129"/>
      <c r="I151" s="131"/>
      <c r="J151" s="146"/>
      <c r="K151" s="429"/>
      <c r="L151" s="128"/>
      <c r="M151" s="129"/>
      <c r="N151" s="131"/>
      <c r="O151" s="146"/>
      <c r="P151" s="429"/>
      <c r="Q151" s="883"/>
      <c r="R151" s="128"/>
      <c r="S151" s="129"/>
      <c r="T151" s="131"/>
      <c r="U151" s="146"/>
      <c r="V151" s="429"/>
      <c r="W151" s="181"/>
      <c r="X151" s="128"/>
      <c r="Y151" s="129"/>
      <c r="Z151" s="131"/>
      <c r="AA151" s="146"/>
      <c r="AB151" s="429"/>
      <c r="AC151" s="181"/>
    </row>
    <row r="152" spans="1:29" ht="15" hidden="1">
      <c r="A152" s="128"/>
      <c r="B152" s="129"/>
      <c r="C152" s="131"/>
      <c r="D152" s="146"/>
      <c r="E152" s="429"/>
      <c r="F152" s="181"/>
      <c r="G152" s="128"/>
      <c r="H152" s="129"/>
      <c r="I152" s="131"/>
      <c r="J152" s="146"/>
      <c r="K152" s="429"/>
      <c r="L152" s="128"/>
      <c r="M152" s="129"/>
      <c r="N152" s="131"/>
      <c r="O152" s="146"/>
      <c r="P152" s="429"/>
      <c r="Q152" s="883"/>
      <c r="R152" s="128"/>
      <c r="S152" s="129"/>
      <c r="T152" s="131"/>
      <c r="U152" s="146"/>
      <c r="V152" s="429"/>
      <c r="W152" s="181"/>
      <c r="X152" s="128"/>
      <c r="Y152" s="129"/>
      <c r="Z152" s="131"/>
      <c r="AA152" s="146"/>
      <c r="AB152" s="429"/>
      <c r="AC152" s="181"/>
    </row>
    <row r="153" spans="1:29" ht="15.75" hidden="1" thickBot="1">
      <c r="A153" s="128"/>
      <c r="B153" s="129"/>
      <c r="C153" s="131"/>
      <c r="D153" s="146"/>
      <c r="E153" s="429"/>
      <c r="F153" s="181"/>
      <c r="G153" s="338"/>
      <c r="H153" s="189"/>
      <c r="I153" s="190"/>
      <c r="J153" s="134"/>
      <c r="K153" s="427"/>
      <c r="L153" s="338"/>
      <c r="M153" s="189"/>
      <c r="N153" s="190"/>
      <c r="O153" s="134"/>
      <c r="P153" s="427"/>
      <c r="Q153" s="883"/>
      <c r="R153" s="338"/>
      <c r="S153" s="189"/>
      <c r="T153" s="190"/>
      <c r="U153" s="134"/>
      <c r="V153" s="427"/>
      <c r="W153" s="181"/>
      <c r="X153" s="338"/>
      <c r="Y153" s="189"/>
      <c r="Z153" s="190"/>
      <c r="AA153" s="134"/>
      <c r="AB153" s="427"/>
      <c r="AC153" s="181"/>
    </row>
    <row r="154" spans="1:29" ht="16.5" customHeight="1" hidden="1" thickBot="1">
      <c r="A154" s="980" t="s">
        <v>105</v>
      </c>
      <c r="B154" s="981"/>
      <c r="C154" s="981"/>
      <c r="D154" s="981"/>
      <c r="E154" s="982"/>
      <c r="F154" s="489"/>
      <c r="G154" s="980" t="s">
        <v>105</v>
      </c>
      <c r="H154" s="981"/>
      <c r="I154" s="981"/>
      <c r="J154" s="981"/>
      <c r="K154" s="982"/>
      <c r="L154" s="980" t="s">
        <v>105</v>
      </c>
      <c r="M154" s="981"/>
      <c r="N154" s="981"/>
      <c r="O154" s="981"/>
      <c r="P154" s="982"/>
      <c r="Q154" s="483"/>
      <c r="R154" s="980" t="s">
        <v>105</v>
      </c>
      <c r="S154" s="981"/>
      <c r="T154" s="981"/>
      <c r="U154" s="981"/>
      <c r="V154" s="982"/>
      <c r="W154" s="490"/>
      <c r="X154" s="980" t="s">
        <v>105</v>
      </c>
      <c r="Y154" s="981"/>
      <c r="Z154" s="981"/>
      <c r="AA154" s="981"/>
      <c r="AB154" s="982"/>
      <c r="AC154" s="491"/>
    </row>
    <row r="155" spans="1:29" ht="12.75" hidden="1">
      <c r="A155" s="141"/>
      <c r="B155" s="132"/>
      <c r="C155" s="132"/>
      <c r="D155" s="124"/>
      <c r="E155" s="336"/>
      <c r="F155" s="430"/>
      <c r="G155" s="141"/>
      <c r="H155" s="132"/>
      <c r="I155" s="132"/>
      <c r="J155" s="124"/>
      <c r="K155" s="336"/>
      <c r="L155" s="141"/>
      <c r="M155" s="132"/>
      <c r="N155" s="132"/>
      <c r="O155" s="124"/>
      <c r="P155" s="336"/>
      <c r="Q155" s="484"/>
      <c r="R155" s="141"/>
      <c r="S155" s="132"/>
      <c r="T155" s="132"/>
      <c r="U155" s="124"/>
      <c r="V155" s="336"/>
      <c r="W155" s="430"/>
      <c r="X155" s="141"/>
      <c r="Y155" s="132"/>
      <c r="Z155" s="132"/>
      <c r="AA155" s="124"/>
      <c r="AB155" s="336"/>
      <c r="AC155" s="430"/>
    </row>
    <row r="156" spans="1:29" ht="15.75" hidden="1" thickBot="1">
      <c r="A156" s="395" t="s">
        <v>106</v>
      </c>
      <c r="B156" s="395">
        <f>D30+D66+E130+E98</f>
        <v>224</v>
      </c>
      <c r="C156" s="110"/>
      <c r="D156" s="110"/>
      <c r="E156" s="428"/>
      <c r="F156" s="176"/>
      <c r="G156" s="395" t="s">
        <v>106</v>
      </c>
      <c r="H156" s="395">
        <f>J30+J66+K130+K98</f>
        <v>312</v>
      </c>
      <c r="I156" s="110"/>
      <c r="J156" s="110"/>
      <c r="K156" s="428"/>
      <c r="L156" s="395" t="s">
        <v>106</v>
      </c>
      <c r="M156" s="395">
        <f>O30+O66+P130</f>
        <v>404</v>
      </c>
      <c r="N156" s="110"/>
      <c r="O156" s="110"/>
      <c r="P156" s="428"/>
      <c r="Q156" s="485"/>
      <c r="R156" s="395" t="s">
        <v>106</v>
      </c>
      <c r="S156" s="395">
        <f>U30+U66+V130</f>
        <v>504</v>
      </c>
      <c r="T156" s="110"/>
      <c r="U156" s="110"/>
      <c r="V156" s="428"/>
      <c r="W156" s="176"/>
      <c r="X156" s="395" t="s">
        <v>106</v>
      </c>
      <c r="Y156" s="395">
        <f>AA30+AA66+AB130</f>
        <v>504</v>
      </c>
      <c r="Z156" s="110"/>
      <c r="AA156" s="110"/>
      <c r="AB156" s="428"/>
      <c r="AC156" s="176"/>
    </row>
    <row r="157" spans="1:29" ht="12.75" hidden="1">
      <c r="A157" s="148"/>
      <c r="B157" s="97"/>
      <c r="C157" s="116"/>
      <c r="D157" s="116"/>
      <c r="E157" s="326"/>
      <c r="F157" s="176"/>
      <c r="G157" s="148"/>
      <c r="H157" s="97"/>
      <c r="I157" s="116"/>
      <c r="J157" s="116"/>
      <c r="K157" s="326"/>
      <c r="L157" s="148"/>
      <c r="M157" s="97"/>
      <c r="N157" s="116"/>
      <c r="O157" s="116"/>
      <c r="P157" s="326"/>
      <c r="Q157" s="485"/>
      <c r="R157" s="148"/>
      <c r="S157" s="97"/>
      <c r="T157" s="116"/>
      <c r="U157" s="116"/>
      <c r="V157" s="326"/>
      <c r="W157" s="176"/>
      <c r="X157" s="148"/>
      <c r="Y157" s="97"/>
      <c r="Z157" s="116"/>
      <c r="AA157" s="116"/>
      <c r="AB157" s="326"/>
      <c r="AC157" s="176"/>
    </row>
    <row r="158" spans="1:29" ht="13.5" customHeight="1" hidden="1" thickBot="1">
      <c r="A158" s="977" t="s">
        <v>245</v>
      </c>
      <c r="B158" s="978"/>
      <c r="C158" s="978"/>
      <c r="D158" s="978"/>
      <c r="E158" s="979"/>
      <c r="F158" s="176"/>
      <c r="G158" s="977" t="s">
        <v>246</v>
      </c>
      <c r="H158" s="978"/>
      <c r="I158" s="978"/>
      <c r="J158" s="978"/>
      <c r="K158" s="979"/>
      <c r="L158" s="977" t="s">
        <v>247</v>
      </c>
      <c r="M158" s="978"/>
      <c r="N158" s="978"/>
      <c r="O158" s="978"/>
      <c r="P158" s="979"/>
      <c r="Q158" s="485"/>
      <c r="R158" s="977" t="s">
        <v>248</v>
      </c>
      <c r="S158" s="978"/>
      <c r="T158" s="978"/>
      <c r="U158" s="978"/>
      <c r="V158" s="979"/>
      <c r="W158" s="176"/>
      <c r="X158" s="977" t="s">
        <v>249</v>
      </c>
      <c r="Y158" s="978"/>
      <c r="Z158" s="978"/>
      <c r="AA158" s="978"/>
      <c r="AB158" s="979"/>
      <c r="AC158" s="176"/>
    </row>
    <row r="159" spans="1:29" ht="13.5" hidden="1" thickBot="1">
      <c r="A159" s="382" t="s">
        <v>107</v>
      </c>
      <c r="B159" s="149"/>
      <c r="C159" s="97"/>
      <c r="D159" s="97"/>
      <c r="E159" s="334"/>
      <c r="F159" s="176"/>
      <c r="G159" s="382" t="s">
        <v>107</v>
      </c>
      <c r="H159" s="149"/>
      <c r="I159" s="97"/>
      <c r="J159" s="97"/>
      <c r="K159" s="334"/>
      <c r="L159" s="382" t="s">
        <v>107</v>
      </c>
      <c r="M159" s="149"/>
      <c r="N159" s="97"/>
      <c r="O159" s="97"/>
      <c r="P159" s="334"/>
      <c r="Q159" s="485"/>
      <c r="R159" s="382" t="s">
        <v>107</v>
      </c>
      <c r="S159" s="149"/>
      <c r="T159" s="97"/>
      <c r="U159" s="97"/>
      <c r="V159" s="334"/>
      <c r="W159" s="176"/>
      <c r="X159" s="382" t="s">
        <v>107</v>
      </c>
      <c r="Y159" s="149"/>
      <c r="Z159" s="97"/>
      <c r="AA159" s="97"/>
      <c r="AB159" s="334"/>
      <c r="AC159" s="176"/>
    </row>
    <row r="160" spans="1:29" ht="13.5" hidden="1" thickBot="1">
      <c r="A160" s="382" t="s">
        <v>108</v>
      </c>
      <c r="B160" s="149">
        <v>100</v>
      </c>
      <c r="C160" s="97"/>
      <c r="D160" s="97"/>
      <c r="E160" s="334"/>
      <c r="F160" s="176"/>
      <c r="G160" s="382" t="s">
        <v>108</v>
      </c>
      <c r="H160" s="149">
        <v>200</v>
      </c>
      <c r="I160" s="97"/>
      <c r="J160" s="97"/>
      <c r="K160" s="334"/>
      <c r="L160" s="382" t="s">
        <v>108</v>
      </c>
      <c r="M160" s="149">
        <v>300</v>
      </c>
      <c r="N160" s="97"/>
      <c r="O160" s="97"/>
      <c r="P160" s="334"/>
      <c r="Q160" s="485"/>
      <c r="R160" s="382" t="s">
        <v>108</v>
      </c>
      <c r="S160" s="149">
        <v>400</v>
      </c>
      <c r="T160" s="97"/>
      <c r="U160" s="97"/>
      <c r="V160" s="334"/>
      <c r="W160" s="176"/>
      <c r="X160" s="382" t="s">
        <v>108</v>
      </c>
      <c r="Y160" s="149">
        <v>500</v>
      </c>
      <c r="Z160" s="97"/>
      <c r="AA160" s="97"/>
      <c r="AB160" s="334"/>
      <c r="AC160" s="176"/>
    </row>
    <row r="161" spans="1:29" ht="13.5" hidden="1" thickBot="1">
      <c r="A161" s="382" t="s">
        <v>240</v>
      </c>
      <c r="B161" s="396">
        <f>B159+B160</f>
        <v>100</v>
      </c>
      <c r="C161" s="97"/>
      <c r="D161" s="97"/>
      <c r="E161" s="334"/>
      <c r="F161" s="176"/>
      <c r="G161" s="382" t="s">
        <v>241</v>
      </c>
      <c r="H161" s="396">
        <f>H159+H160</f>
        <v>200</v>
      </c>
      <c r="I161" s="97"/>
      <c r="J161" s="97"/>
      <c r="K161" s="334"/>
      <c r="L161" s="382" t="s">
        <v>242</v>
      </c>
      <c r="M161" s="396">
        <f>M159+M160</f>
        <v>300</v>
      </c>
      <c r="N161" s="97"/>
      <c r="O161" s="97"/>
      <c r="P161" s="334"/>
      <c r="Q161" s="485"/>
      <c r="R161" s="382" t="s">
        <v>243</v>
      </c>
      <c r="S161" s="396">
        <f>S159+S160</f>
        <v>400</v>
      </c>
      <c r="T161" s="97"/>
      <c r="U161" s="97"/>
      <c r="V161" s="334"/>
      <c r="W161" s="176"/>
      <c r="X161" s="382" t="s">
        <v>244</v>
      </c>
      <c r="Y161" s="150">
        <f>Y159+Y160</f>
        <v>500</v>
      </c>
      <c r="Z161" s="97"/>
      <c r="AA161" s="97"/>
      <c r="AB161" s="334"/>
      <c r="AC161" s="176"/>
    </row>
    <row r="162" spans="1:29" ht="12.75" hidden="1">
      <c r="A162" s="148"/>
      <c r="B162" s="97"/>
      <c r="C162" s="97"/>
      <c r="D162" s="97"/>
      <c r="E162" s="334"/>
      <c r="F162" s="176"/>
      <c r="G162" s="148"/>
      <c r="H162" s="97"/>
      <c r="I162" s="97"/>
      <c r="J162" s="97"/>
      <c r="K162" s="334"/>
      <c r="L162" s="148"/>
      <c r="M162" s="97"/>
      <c r="N162" s="97"/>
      <c r="O162" s="97"/>
      <c r="P162" s="334"/>
      <c r="Q162" s="485"/>
      <c r="R162" s="148"/>
      <c r="S162" s="97"/>
      <c r="T162" s="97"/>
      <c r="U162" s="97"/>
      <c r="V162" s="334"/>
      <c r="W162" s="176"/>
      <c r="X162" s="148"/>
      <c r="Y162" s="97"/>
      <c r="Z162" s="97"/>
      <c r="AA162" s="97"/>
      <c r="AB162" s="334"/>
      <c r="AC162" s="176"/>
    </row>
    <row r="163" spans="1:29" ht="13.5" thickBot="1">
      <c r="A163" s="162"/>
      <c r="B163" s="163"/>
      <c r="C163" s="163"/>
      <c r="D163" s="163"/>
      <c r="E163" s="431"/>
      <c r="F163" s="176"/>
      <c r="G163" s="148"/>
      <c r="H163" s="97"/>
      <c r="I163" s="97"/>
      <c r="J163" s="97"/>
      <c r="K163" s="334"/>
      <c r="L163" s="148"/>
      <c r="M163" s="97"/>
      <c r="N163" s="97"/>
      <c r="O163" s="97"/>
      <c r="P163" s="334"/>
      <c r="Q163" s="485"/>
      <c r="R163" s="148"/>
      <c r="S163" s="97"/>
      <c r="T163" s="97"/>
      <c r="U163" s="97"/>
      <c r="V163" s="334"/>
      <c r="W163" s="176"/>
      <c r="X163" s="148"/>
      <c r="Y163" s="97"/>
      <c r="Z163" s="97"/>
      <c r="AA163" s="97"/>
      <c r="AB163" s="334"/>
      <c r="AC163" s="176"/>
    </row>
    <row r="164" spans="1:29" ht="15.75">
      <c r="A164" s="997" t="s">
        <v>109</v>
      </c>
      <c r="B164" s="998"/>
      <c r="C164" s="998"/>
      <c r="D164" s="998"/>
      <c r="E164" s="999"/>
      <c r="F164" s="178"/>
      <c r="G164" s="997" t="s">
        <v>109</v>
      </c>
      <c r="H164" s="998"/>
      <c r="I164" s="998"/>
      <c r="J164" s="998"/>
      <c r="K164" s="999"/>
      <c r="L164" s="997" t="s">
        <v>109</v>
      </c>
      <c r="M164" s="998"/>
      <c r="N164" s="998"/>
      <c r="O164" s="998"/>
      <c r="P164" s="999"/>
      <c r="Q164" s="486"/>
      <c r="R164" s="997" t="s">
        <v>109</v>
      </c>
      <c r="S164" s="998"/>
      <c r="T164" s="998"/>
      <c r="U164" s="998"/>
      <c r="V164" s="999"/>
      <c r="W164" s="178"/>
      <c r="X164" s="997" t="s">
        <v>109</v>
      </c>
      <c r="Y164" s="998"/>
      <c r="Z164" s="998"/>
      <c r="AA164" s="998"/>
      <c r="AB164" s="999"/>
      <c r="AC164" s="178"/>
    </row>
    <row r="165" spans="1:29" ht="16.5" thickBot="1">
      <c r="A165" s="1000"/>
      <c r="B165" s="1001"/>
      <c r="C165" s="1001"/>
      <c r="D165" s="1001"/>
      <c r="E165" s="1002"/>
      <c r="F165" s="178"/>
      <c r="G165" s="1000"/>
      <c r="H165" s="1001"/>
      <c r="I165" s="1001"/>
      <c r="J165" s="1001"/>
      <c r="K165" s="1002"/>
      <c r="L165" s="1000"/>
      <c r="M165" s="1001"/>
      <c r="N165" s="1001"/>
      <c r="O165" s="1001"/>
      <c r="P165" s="1002"/>
      <c r="Q165" s="486"/>
      <c r="R165" s="1000"/>
      <c r="S165" s="1001"/>
      <c r="T165" s="1001"/>
      <c r="U165" s="1001"/>
      <c r="V165" s="1002"/>
      <c r="W165" s="178"/>
      <c r="X165" s="1000"/>
      <c r="Y165" s="1001"/>
      <c r="Z165" s="1001"/>
      <c r="AA165" s="1001"/>
      <c r="AB165" s="1002"/>
      <c r="AC165" s="178"/>
    </row>
    <row r="166" spans="1:29" ht="16.5" hidden="1" thickBot="1">
      <c r="A166" s="432" t="s">
        <v>110</v>
      </c>
      <c r="B166" s="872"/>
      <c r="C166" s="872"/>
      <c r="D166" s="872"/>
      <c r="E166" s="873"/>
      <c r="F166" s="175"/>
      <c r="G166" s="432" t="s">
        <v>110</v>
      </c>
      <c r="H166" s="872"/>
      <c r="I166" s="872"/>
      <c r="J166" s="872"/>
      <c r="K166" s="873"/>
      <c r="L166" s="432" t="s">
        <v>110</v>
      </c>
      <c r="M166" s="872"/>
      <c r="N166" s="872"/>
      <c r="O166" s="872"/>
      <c r="P166" s="873"/>
      <c r="Q166" s="487"/>
      <c r="R166" s="432" t="s">
        <v>110</v>
      </c>
      <c r="S166" s="872"/>
      <c r="T166" s="872"/>
      <c r="U166" s="872"/>
      <c r="V166" s="873"/>
      <c r="W166" s="175"/>
      <c r="X166" s="432" t="s">
        <v>110</v>
      </c>
      <c r="Y166" s="872"/>
      <c r="Z166" s="872"/>
      <c r="AA166" s="872"/>
      <c r="AB166" s="873"/>
      <c r="AC166" s="175"/>
    </row>
    <row r="167" spans="1:29" ht="12.75" hidden="1">
      <c r="A167" s="151"/>
      <c r="B167" s="88"/>
      <c r="C167" s="152"/>
      <c r="D167" s="152"/>
      <c r="E167" s="153"/>
      <c r="F167" s="176"/>
      <c r="G167" s="151"/>
      <c r="H167" s="88"/>
      <c r="I167" s="152"/>
      <c r="J167" s="152"/>
      <c r="K167" s="153"/>
      <c r="L167" s="151"/>
      <c r="M167" s="88"/>
      <c r="N167" s="152"/>
      <c r="O167" s="152"/>
      <c r="P167" s="153"/>
      <c r="Q167" s="485"/>
      <c r="R167" s="151"/>
      <c r="S167" s="88"/>
      <c r="T167" s="152"/>
      <c r="U167" s="152"/>
      <c r="V167" s="153"/>
      <c r="W167" s="176"/>
      <c r="X167" s="151"/>
      <c r="Y167" s="88"/>
      <c r="Z167" s="152"/>
      <c r="AA167" s="152"/>
      <c r="AB167" s="153"/>
      <c r="AC167" s="176"/>
    </row>
    <row r="168" spans="1:29" ht="12.75">
      <c r="A168" s="433" t="s">
        <v>28</v>
      </c>
      <c r="B168" s="397">
        <f>D30+D66+E98+E130</f>
        <v>224</v>
      </c>
      <c r="C168" s="154"/>
      <c r="D168" s="154"/>
      <c r="E168" s="155"/>
      <c r="F168" s="176"/>
      <c r="G168" s="433" t="s">
        <v>28</v>
      </c>
      <c r="H168" s="397">
        <f>J30+J66+K98+K130</f>
        <v>312</v>
      </c>
      <c r="I168" s="154"/>
      <c r="J168" s="154"/>
      <c r="K168" s="155"/>
      <c r="L168" s="433" t="s">
        <v>28</v>
      </c>
      <c r="M168" s="397">
        <f>O30+O66+P98+P130</f>
        <v>404</v>
      </c>
      <c r="N168" s="154"/>
      <c r="O168" s="154"/>
      <c r="P168" s="155"/>
      <c r="Q168" s="485"/>
      <c r="R168" s="433" t="s">
        <v>28</v>
      </c>
      <c r="S168" s="397">
        <f>U30+U66+V98+V130</f>
        <v>504</v>
      </c>
      <c r="T168" s="154"/>
      <c r="U168" s="154"/>
      <c r="V168" s="155"/>
      <c r="W168" s="176"/>
      <c r="X168" s="433" t="s">
        <v>28</v>
      </c>
      <c r="Y168" s="397">
        <f>AA30+AA66+AB98+AB130</f>
        <v>504</v>
      </c>
      <c r="Z168" s="154"/>
      <c r="AA168" s="154"/>
      <c r="AB168" s="155"/>
      <c r="AC168" s="176"/>
    </row>
    <row r="169" spans="1:29" ht="13.5" thickBot="1">
      <c r="A169" s="434" t="s">
        <v>111</v>
      </c>
      <c r="B169" s="398">
        <v>750</v>
      </c>
      <c r="C169" s="154"/>
      <c r="D169" s="154"/>
      <c r="E169" s="156"/>
      <c r="F169" s="176"/>
      <c r="G169" s="434" t="s">
        <v>111</v>
      </c>
      <c r="H169" s="398">
        <v>750</v>
      </c>
      <c r="I169" s="154"/>
      <c r="J169" s="154"/>
      <c r="K169" s="156"/>
      <c r="L169" s="434" t="s">
        <v>111</v>
      </c>
      <c r="M169" s="398">
        <v>750</v>
      </c>
      <c r="N169" s="154"/>
      <c r="O169" s="154"/>
      <c r="P169" s="156"/>
      <c r="Q169" s="485"/>
      <c r="R169" s="434" t="s">
        <v>111</v>
      </c>
      <c r="S169" s="398">
        <v>750</v>
      </c>
      <c r="T169" s="154"/>
      <c r="U169" s="154"/>
      <c r="V169" s="156"/>
      <c r="W169" s="176"/>
      <c r="X169" s="434" t="s">
        <v>111</v>
      </c>
      <c r="Y169" s="398">
        <v>750</v>
      </c>
      <c r="Z169" s="154"/>
      <c r="AA169" s="154"/>
      <c r="AB169" s="156"/>
      <c r="AC169" s="176"/>
    </row>
    <row r="170" spans="1:29" ht="13.5" thickBot="1">
      <c r="A170" s="394" t="s">
        <v>30</v>
      </c>
      <c r="B170" s="399">
        <f>B168*B169</f>
        <v>168000</v>
      </c>
      <c r="C170" s="6"/>
      <c r="D170" s="6"/>
      <c r="E170" s="157"/>
      <c r="F170" s="176"/>
      <c r="G170" s="394" t="s">
        <v>30</v>
      </c>
      <c r="H170" s="399">
        <f>H168*H169</f>
        <v>234000</v>
      </c>
      <c r="I170" s="6"/>
      <c r="J170" s="6"/>
      <c r="K170" s="157"/>
      <c r="L170" s="394" t="s">
        <v>30</v>
      </c>
      <c r="M170" s="399">
        <f>M168*M169</f>
        <v>303000</v>
      </c>
      <c r="N170" s="6"/>
      <c r="O170" s="6"/>
      <c r="P170" s="157"/>
      <c r="Q170" s="485"/>
      <c r="R170" s="394" t="s">
        <v>30</v>
      </c>
      <c r="S170" s="399">
        <f>S168*S169</f>
        <v>378000</v>
      </c>
      <c r="T170" s="6"/>
      <c r="U170" s="6"/>
      <c r="V170" s="157"/>
      <c r="W170" s="176"/>
      <c r="X170" s="394" t="s">
        <v>30</v>
      </c>
      <c r="Y170" s="399">
        <f>Y168*Y169</f>
        <v>378000</v>
      </c>
      <c r="Z170" s="6"/>
      <c r="AA170" s="6"/>
      <c r="AB170" s="157"/>
      <c r="AC170" s="176"/>
    </row>
    <row r="171" spans="1:29" ht="13.5" hidden="1" thickBot="1">
      <c r="A171" s="158"/>
      <c r="B171" s="159"/>
      <c r="C171" s="160"/>
      <c r="D171" s="160"/>
      <c r="E171" s="161"/>
      <c r="F171" s="176"/>
      <c r="G171" s="158"/>
      <c r="H171" s="159"/>
      <c r="I171" s="160"/>
      <c r="J171" s="160"/>
      <c r="K171" s="161"/>
      <c r="L171" s="158"/>
      <c r="M171" s="159"/>
      <c r="N171" s="160"/>
      <c r="O171" s="160"/>
      <c r="P171" s="161"/>
      <c r="Q171" s="485"/>
      <c r="R171" s="158"/>
      <c r="S171" s="159"/>
      <c r="T171" s="160"/>
      <c r="U171" s="160"/>
      <c r="V171" s="161"/>
      <c r="W171" s="176"/>
      <c r="X171" s="158"/>
      <c r="Y171" s="159"/>
      <c r="Z171" s="160"/>
      <c r="AA171" s="160"/>
      <c r="AB171" s="161"/>
      <c r="AC171" s="176"/>
    </row>
    <row r="172" spans="1:29" ht="13.5" hidden="1" thickBot="1">
      <c r="A172" s="162"/>
      <c r="B172" s="163"/>
      <c r="C172" s="163"/>
      <c r="D172" s="163"/>
      <c r="E172" s="431"/>
      <c r="F172" s="191"/>
      <c r="G172" s="162"/>
      <c r="H172" s="163"/>
      <c r="I172" s="163"/>
      <c r="J172" s="163"/>
      <c r="K172" s="431"/>
      <c r="L172" s="162"/>
      <c r="M172" s="163"/>
      <c r="N172" s="163"/>
      <c r="O172" s="163"/>
      <c r="P172" s="431"/>
      <c r="Q172" s="488"/>
      <c r="R172" s="162"/>
      <c r="S172" s="163"/>
      <c r="T172" s="163"/>
      <c r="U172" s="163"/>
      <c r="V172" s="431"/>
      <c r="W172" s="191"/>
      <c r="X172" s="162"/>
      <c r="Y172" s="163"/>
      <c r="Z172" s="163"/>
      <c r="AA172" s="163"/>
      <c r="AB172" s="431"/>
      <c r="AC172" s="191"/>
    </row>
    <row r="173" spans="1:29" ht="12.75" hidden="1">
      <c r="A173" s="148"/>
      <c r="B173" s="97"/>
      <c r="C173" s="97"/>
      <c r="D173" s="97"/>
      <c r="E173" s="334"/>
      <c r="F173" s="879"/>
      <c r="G173" s="148"/>
      <c r="H173" s="97"/>
      <c r="I173" s="97"/>
      <c r="J173" s="97"/>
      <c r="K173" s="334"/>
      <c r="L173" s="148"/>
      <c r="M173" s="97"/>
      <c r="N173" s="97"/>
      <c r="O173" s="97"/>
      <c r="P173" s="334"/>
      <c r="Q173" s="485"/>
      <c r="R173" s="148"/>
      <c r="S173" s="97"/>
      <c r="T173" s="97"/>
      <c r="U173" s="97"/>
      <c r="V173" s="334"/>
      <c r="W173" s="176"/>
      <c r="X173" s="148"/>
      <c r="Y173" s="97"/>
      <c r="Z173" s="97"/>
      <c r="AA173" s="97"/>
      <c r="AB173" s="334"/>
      <c r="AC173" s="176"/>
    </row>
    <row r="174" spans="1:29" ht="12.75" hidden="1">
      <c r="A174" s="148"/>
      <c r="B174" s="97"/>
      <c r="C174" s="97"/>
      <c r="D174" s="97"/>
      <c r="E174" s="334"/>
      <c r="F174" s="879"/>
      <c r="G174" s="148"/>
      <c r="H174" s="97"/>
      <c r="I174" s="97"/>
      <c r="J174" s="97"/>
      <c r="K174" s="334"/>
      <c r="L174" s="148"/>
      <c r="M174" s="97"/>
      <c r="N174" s="97"/>
      <c r="O174" s="97"/>
      <c r="P174" s="334"/>
      <c r="Q174" s="485"/>
      <c r="R174" s="148"/>
      <c r="S174" s="97"/>
      <c r="T174" s="97"/>
      <c r="U174" s="97"/>
      <c r="V174" s="334"/>
      <c r="W174" s="176"/>
      <c r="X174" s="148"/>
      <c r="Y174" s="97"/>
      <c r="Z174" s="97"/>
      <c r="AA174" s="97"/>
      <c r="AB174" s="334"/>
      <c r="AC174" s="176"/>
    </row>
    <row r="175" spans="1:29" ht="12.75" hidden="1">
      <c r="A175" s="148"/>
      <c r="B175" s="97"/>
      <c r="C175" s="97"/>
      <c r="D175" s="97"/>
      <c r="E175" s="334"/>
      <c r="F175" s="879"/>
      <c r="G175" s="148"/>
      <c r="H175" s="97"/>
      <c r="I175" s="97"/>
      <c r="J175" s="97"/>
      <c r="K175" s="334"/>
      <c r="L175" s="148"/>
      <c r="M175" s="97"/>
      <c r="N175" s="97"/>
      <c r="O175" s="97"/>
      <c r="P175" s="334"/>
      <c r="Q175" s="485"/>
      <c r="R175" s="148"/>
      <c r="S175" s="97"/>
      <c r="T175" s="97"/>
      <c r="U175" s="97"/>
      <c r="V175" s="334"/>
      <c r="W175" s="176"/>
      <c r="X175" s="148"/>
      <c r="Y175" s="97"/>
      <c r="Z175" s="97"/>
      <c r="AA175" s="97"/>
      <c r="AB175" s="334"/>
      <c r="AC175" s="176"/>
    </row>
    <row r="176" spans="1:29" ht="12.75" hidden="1">
      <c r="A176" s="148"/>
      <c r="B176" s="97"/>
      <c r="C176" s="97"/>
      <c r="D176" s="97"/>
      <c r="E176" s="334"/>
      <c r="F176" s="879"/>
      <c r="G176" s="148"/>
      <c r="H176" s="97"/>
      <c r="I176" s="97"/>
      <c r="J176" s="97"/>
      <c r="K176" s="334"/>
      <c r="L176" s="148"/>
      <c r="M176" s="97"/>
      <c r="N176" s="97"/>
      <c r="O176" s="97"/>
      <c r="P176" s="334"/>
      <c r="Q176" s="485"/>
      <c r="R176" s="148"/>
      <c r="S176" s="97"/>
      <c r="T176" s="97"/>
      <c r="U176" s="97"/>
      <c r="V176" s="334"/>
      <c r="W176" s="176"/>
      <c r="X176" s="148"/>
      <c r="Y176" s="97"/>
      <c r="Z176" s="97"/>
      <c r="AA176" s="97"/>
      <c r="AB176" s="334"/>
      <c r="AC176" s="176"/>
    </row>
    <row r="177" spans="1:29" ht="12.75">
      <c r="A177" s="148"/>
      <c r="B177" s="97"/>
      <c r="C177" s="97"/>
      <c r="D177" s="97"/>
      <c r="E177" s="334"/>
      <c r="F177" s="879"/>
      <c r="G177" s="148"/>
      <c r="H177" s="97"/>
      <c r="I177" s="97"/>
      <c r="J177" s="97"/>
      <c r="K177" s="334"/>
      <c r="L177" s="148"/>
      <c r="M177" s="97"/>
      <c r="N177" s="97"/>
      <c r="O177" s="97"/>
      <c r="P177" s="334"/>
      <c r="Q177" s="485"/>
      <c r="R177" s="148"/>
      <c r="S177" s="97"/>
      <c r="T177" s="97"/>
      <c r="U177" s="97"/>
      <c r="V177" s="334"/>
      <c r="W177" s="176"/>
      <c r="X177" s="148"/>
      <c r="Y177" s="97"/>
      <c r="Z177" s="97"/>
      <c r="AA177" s="97"/>
      <c r="AB177" s="334"/>
      <c r="AC177" s="176"/>
    </row>
    <row r="178" spans="1:29" ht="13.5" thickBot="1">
      <c r="A178" s="878"/>
      <c r="B178" s="163"/>
      <c r="C178" s="163"/>
      <c r="D178" s="163"/>
      <c r="E178" s="431"/>
      <c r="F178" s="880"/>
      <c r="G178" s="162"/>
      <c r="H178" s="163"/>
      <c r="I178" s="163"/>
      <c r="J178" s="163"/>
      <c r="K178" s="431"/>
      <c r="L178" s="162"/>
      <c r="M178" s="163"/>
      <c r="N178" s="163"/>
      <c r="O178" s="163"/>
      <c r="P178" s="431"/>
      <c r="Q178" s="488"/>
      <c r="R178" s="162"/>
      <c r="S178" s="163"/>
      <c r="T178" s="163"/>
      <c r="U178" s="163"/>
      <c r="V178" s="431"/>
      <c r="W178" s="191"/>
      <c r="X178" s="162"/>
      <c r="Y178" s="163"/>
      <c r="Z178" s="163"/>
      <c r="AA178" s="163"/>
      <c r="AB178" s="431"/>
      <c r="AC178" s="191"/>
    </row>
  </sheetData>
  <sheetProtection password="CC59" sheet="1" formatColumns="0" formatRows="0"/>
  <mergeCells count="121">
    <mergeCell ref="X154:AB154"/>
    <mergeCell ref="A123:E123"/>
    <mergeCell ref="A135:B135"/>
    <mergeCell ref="A154:E154"/>
    <mergeCell ref="A41:B41"/>
    <mergeCell ref="A57:E57"/>
    <mergeCell ref="A58:E58"/>
    <mergeCell ref="A71:B71"/>
    <mergeCell ref="A141:B141"/>
    <mergeCell ref="A147:B147"/>
    <mergeCell ref="G77:H77"/>
    <mergeCell ref="G83:H83"/>
    <mergeCell ref="A158:E158"/>
    <mergeCell ref="A164:E165"/>
    <mergeCell ref="A21:E22"/>
    <mergeCell ref="A9:B9"/>
    <mergeCell ref="A77:B77"/>
    <mergeCell ref="A83:B83"/>
    <mergeCell ref="A91:E91"/>
    <mergeCell ref="A92:E92"/>
    <mergeCell ref="G9:H9"/>
    <mergeCell ref="G21:K22"/>
    <mergeCell ref="G23:K23"/>
    <mergeCell ref="G35:H35"/>
    <mergeCell ref="G41:H41"/>
    <mergeCell ref="G71:H71"/>
    <mergeCell ref="L71:M71"/>
    <mergeCell ref="L77:M77"/>
    <mergeCell ref="L154:P154"/>
    <mergeCell ref="G123:K123"/>
    <mergeCell ref="G135:H135"/>
    <mergeCell ref="G141:H141"/>
    <mergeCell ref="G103:H103"/>
    <mergeCell ref="G109:H109"/>
    <mergeCell ref="G115:H115"/>
    <mergeCell ref="L135:M135"/>
    <mergeCell ref="G164:K165"/>
    <mergeCell ref="L9:M9"/>
    <mergeCell ref="L21:P22"/>
    <mergeCell ref="L23:P23"/>
    <mergeCell ref="L35:M35"/>
    <mergeCell ref="L41:M41"/>
    <mergeCell ref="L57:P57"/>
    <mergeCell ref="L58:P58"/>
    <mergeCell ref="L103:M103"/>
    <mergeCell ref="L164:P165"/>
    <mergeCell ref="R91:V91"/>
    <mergeCell ref="R123:V123"/>
    <mergeCell ref="R135:S135"/>
    <mergeCell ref="R141:S141"/>
    <mergeCell ref="L158:P158"/>
    <mergeCell ref="R158:V158"/>
    <mergeCell ref="L109:M109"/>
    <mergeCell ref="L115:M115"/>
    <mergeCell ref="L141:M141"/>
    <mergeCell ref="L123:P123"/>
    <mergeCell ref="R21:V22"/>
    <mergeCell ref="R23:V23"/>
    <mergeCell ref="R35:S35"/>
    <mergeCell ref="R41:S41"/>
    <mergeCell ref="R57:V57"/>
    <mergeCell ref="R77:S77"/>
    <mergeCell ref="X91:AB91"/>
    <mergeCell ref="X92:AB92"/>
    <mergeCell ref="X103:Y103"/>
    <mergeCell ref="X109:Y109"/>
    <mergeCell ref="X115:Y115"/>
    <mergeCell ref="X147:Y147"/>
    <mergeCell ref="R164:V165"/>
    <mergeCell ref="X58:AB58"/>
    <mergeCell ref="X71:Y71"/>
    <mergeCell ref="X77:Y77"/>
    <mergeCell ref="X83:Y83"/>
    <mergeCell ref="X123:AB123"/>
    <mergeCell ref="X135:Y135"/>
    <mergeCell ref="X141:Y141"/>
    <mergeCell ref="X158:AB158"/>
    <mergeCell ref="X164:AB165"/>
    <mergeCell ref="X9:Y9"/>
    <mergeCell ref="X21:AB22"/>
    <mergeCell ref="X23:AB23"/>
    <mergeCell ref="X35:Y35"/>
    <mergeCell ref="X41:Y41"/>
    <mergeCell ref="X57:AB57"/>
    <mergeCell ref="X6:AC6"/>
    <mergeCell ref="A1:B1"/>
    <mergeCell ref="A7:F7"/>
    <mergeCell ref="G7:K7"/>
    <mergeCell ref="L7:Q7"/>
    <mergeCell ref="R7:W7"/>
    <mergeCell ref="X7:AC7"/>
    <mergeCell ref="A6:F6"/>
    <mergeCell ref="G6:K6"/>
    <mergeCell ref="L6:Q6"/>
    <mergeCell ref="R6:W6"/>
    <mergeCell ref="R83:S83"/>
    <mergeCell ref="L83:M83"/>
    <mergeCell ref="A23:E23"/>
    <mergeCell ref="A35:B35"/>
    <mergeCell ref="G57:K57"/>
    <mergeCell ref="G58:K58"/>
    <mergeCell ref="R58:V58"/>
    <mergeCell ref="R71:S71"/>
    <mergeCell ref="R9:S9"/>
    <mergeCell ref="G158:K158"/>
    <mergeCell ref="R92:V92"/>
    <mergeCell ref="R103:S103"/>
    <mergeCell ref="R109:S109"/>
    <mergeCell ref="R115:S115"/>
    <mergeCell ref="L147:M147"/>
    <mergeCell ref="R154:V154"/>
    <mergeCell ref="R147:S147"/>
    <mergeCell ref="G147:H147"/>
    <mergeCell ref="G154:K154"/>
    <mergeCell ref="L92:P92"/>
    <mergeCell ref="A115:B115"/>
    <mergeCell ref="L91:P91"/>
    <mergeCell ref="G91:K91"/>
    <mergeCell ref="G92:K92"/>
    <mergeCell ref="A103:B103"/>
    <mergeCell ref="A109:B109"/>
  </mergeCells>
  <printOptions/>
  <pageMargins left="0.7" right="0.7" top="0.75" bottom="0.75" header="0.3" footer="0.3"/>
  <pageSetup horizontalDpi="600" verticalDpi="600" orientation="portrait" paperSize="5" scale="55" r:id="rId1"/>
  <colBreaks count="5" manualBreakCount="5">
    <brk id="6" max="65535" man="1"/>
    <brk id="11" max="65535" man="1"/>
    <brk id="17" max="65535" man="1"/>
    <brk id="23" max="65535" man="1"/>
    <brk id="2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Template - New Operator</dc:title>
  <dc:subject/>
  <dc:creator>spourciau</dc:creator>
  <cp:keywords/>
  <dc:description/>
  <cp:lastModifiedBy>JGURNEE</cp:lastModifiedBy>
  <cp:lastPrinted>2015-12-23T17:03:02Z</cp:lastPrinted>
  <dcterms:created xsi:type="dcterms:W3CDTF">2008-07-31T19:00:10Z</dcterms:created>
  <dcterms:modified xsi:type="dcterms:W3CDTF">2017-09-08T04:11:34Z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ContentType">
    <vt:lpwstr>Document</vt:lpwstr>
  </property>
  <property fmtid="{D5CDD505-2E9C-101B-9397-08002B2CF9AE}" pid="5" name="PublishingExpirationDate">
    <vt:lpwstr/>
  </property>
  <property fmtid="{D5CDD505-2E9C-101B-9397-08002B2CF9AE}" pid="6" name="PublishingStartDate">
    <vt:lpwstr/>
  </property>
</Properties>
</file>