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865" windowHeight="7365" tabRatio="912" activeTab="2"/>
  </bookViews>
  <sheets>
    <sheet name="Instructions" sheetId="1" r:id="rId1"/>
    <sheet name="Budget Assumptions" sheetId="2" r:id="rId2"/>
    <sheet name="Capital Budget " sheetId="3" r:id="rId3"/>
    <sheet name="Personnel" sheetId="4" r:id="rId4"/>
    <sheet name="Revenues-Fed &amp; State" sheetId="5" r:id="rId5"/>
    <sheet name="Revenues-Per Capita &amp; SPED" sheetId="6" r:id="rId6"/>
    <sheet name="Revenues-Expansion" sheetId="7" r:id="rId7"/>
    <sheet name="Detailed Budget" sheetId="8" r:id="rId8"/>
    <sheet name="ISBE Budget Narr" sheetId="9" state="hidden" r:id="rId9"/>
    <sheet name="Calculations" sheetId="10" r:id="rId10"/>
  </sheets>
  <definedNames/>
  <calcPr fullCalcOnLoad="1"/>
</workbook>
</file>

<file path=xl/sharedStrings.xml><?xml version="1.0" encoding="utf-8"?>
<sst xmlns="http://schemas.openxmlformats.org/spreadsheetml/2006/main" count="1399" uniqueCount="573">
  <si>
    <t>2018:</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</si>
  <si>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</si>
  <si>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</si>
  <si>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</si>
  <si>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</si>
  <si>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</si>
  <si>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NOTE TO SCHOOLS: If your budget reflects a deficit in any year, please use the below space to provide a plan for mitigation.</t>
  </si>
  <si>
    <t>Other</t>
  </si>
  <si>
    <t>Occupancy</t>
  </si>
  <si>
    <t>Student Fees</t>
  </si>
  <si>
    <t>Direct Student Costs</t>
  </si>
  <si>
    <t>Personnel Costs</t>
  </si>
  <si>
    <t>CMO/EMO Fee</t>
  </si>
  <si>
    <t>SGSA</t>
  </si>
  <si>
    <t>ELL</t>
  </si>
  <si>
    <t>Special Education</t>
  </si>
  <si>
    <t>Classroom Supplies</t>
  </si>
  <si>
    <t>Educational Materials</t>
  </si>
  <si>
    <t>Food Service</t>
  </si>
  <si>
    <t>Transportation</t>
  </si>
  <si>
    <t>Student Recruitment</t>
  </si>
  <si>
    <t>Salaries</t>
  </si>
  <si>
    <t>Benefits</t>
  </si>
  <si>
    <t>FICA</t>
  </si>
  <si>
    <t>Medicare</t>
  </si>
  <si>
    <t>Other Benefits</t>
  </si>
  <si>
    <t>Staff Recruitment</t>
  </si>
  <si>
    <t>Professional Development</t>
  </si>
  <si>
    <t>Supplies</t>
  </si>
  <si>
    <t>Telecommunications</t>
  </si>
  <si>
    <t>Accounting &amp; Audit</t>
  </si>
  <si>
    <t>Printing &amp; Copying</t>
  </si>
  <si>
    <t>Rent</t>
  </si>
  <si>
    <t>Utilities</t>
  </si>
  <si>
    <t>Maintenance</t>
  </si>
  <si>
    <t>CPS Facility Services</t>
  </si>
  <si>
    <t>Insurance</t>
  </si>
  <si>
    <t>Replacement Reserve</t>
  </si>
  <si>
    <t>Total Other Costs</t>
  </si>
  <si>
    <t>Total Expenses</t>
  </si>
  <si>
    <t>Other Public Funds</t>
  </si>
  <si>
    <t>Private Fundraising</t>
  </si>
  <si>
    <t>Non-CPS Facility Supplement</t>
  </si>
  <si>
    <t>Category</t>
  </si>
  <si>
    <t>Category Description</t>
  </si>
  <si>
    <t>Office Administration</t>
  </si>
  <si>
    <t>REVENUE ASSUMPTIONS</t>
  </si>
  <si>
    <t>Assumptions</t>
  </si>
  <si>
    <t>Per Capita</t>
  </si>
  <si>
    <t>EXPENSE ASSUMPTIONS</t>
  </si>
  <si>
    <t>Personnel</t>
  </si>
  <si>
    <t>Leadership Positions</t>
  </si>
  <si>
    <t>Teaching Positions</t>
  </si>
  <si>
    <t>Other Personnel</t>
  </si>
  <si>
    <t>Fundraising from private entities: individuals, foundations, corporations</t>
  </si>
  <si>
    <t>Fee revenue for uniforms, field trips, etc.</t>
  </si>
  <si>
    <t>CMO/EMO fee</t>
  </si>
  <si>
    <t>BUDGET ASSUMPTIONS</t>
  </si>
  <si>
    <t>Investment Income</t>
  </si>
  <si>
    <t>Other-</t>
  </si>
  <si>
    <t>Expense (in-kind)-</t>
  </si>
  <si>
    <t>Furniture and Fixtures</t>
  </si>
  <si>
    <t>Computer Equipment</t>
  </si>
  <si>
    <t>Transportation Equipment</t>
  </si>
  <si>
    <t xml:space="preserve"> Total Capital Expenditures</t>
  </si>
  <si>
    <t>2014</t>
  </si>
  <si>
    <t>2015</t>
  </si>
  <si>
    <t xml:space="preserve">        Loan borrowings</t>
  </si>
  <si>
    <t xml:space="preserve">        Loan payments (principal only)</t>
  </si>
  <si>
    <t>Projected Cash Flow</t>
  </si>
  <si>
    <t xml:space="preserve">        Other-</t>
  </si>
  <si>
    <t>Leasehold Improvements (A)</t>
  </si>
  <si>
    <t>Building and Land Improvements (B)</t>
  </si>
  <si>
    <t>Land (C)</t>
  </si>
  <si>
    <t>Building (C)</t>
  </si>
  <si>
    <t xml:space="preserve">Other: </t>
  </si>
  <si>
    <t>(A)</t>
  </si>
  <si>
    <t xml:space="preserve">         Please describe all expenditures greater than $10,000, and all </t>
  </si>
  <si>
    <t xml:space="preserve">              other expenditures should be entered to "Other".</t>
  </si>
  <si>
    <t>(1)</t>
  </si>
  <si>
    <t>(2)</t>
  </si>
  <si>
    <t>(3)</t>
  </si>
  <si>
    <t>(4)</t>
  </si>
  <si>
    <t>(5)</t>
  </si>
  <si>
    <t>(6)</t>
  </si>
  <si>
    <t>(7)</t>
  </si>
  <si>
    <t>(8)</t>
  </si>
  <si>
    <t xml:space="preserve">                          Total</t>
  </si>
  <si>
    <t>(B)</t>
  </si>
  <si>
    <t>(C) Land and Building</t>
  </si>
  <si>
    <t>Please briefly describe any land acquisitions, building acquisitions</t>
  </si>
  <si>
    <t>Land and Building Acquisition Description(s):</t>
  </si>
  <si>
    <t>(existing structures), or construction of new building(s) below:</t>
  </si>
  <si>
    <t>2014:</t>
  </si>
  <si>
    <t>2015:</t>
  </si>
  <si>
    <t>2016:</t>
  </si>
  <si>
    <t>2017:</t>
  </si>
  <si>
    <t>(9)</t>
  </si>
  <si>
    <t>(10)</t>
  </si>
  <si>
    <t>(11)</t>
  </si>
  <si>
    <t>(12)</t>
  </si>
  <si>
    <t>(13)</t>
  </si>
  <si>
    <t>(14)</t>
  </si>
  <si>
    <t>(15)</t>
  </si>
  <si>
    <t>Interest Expense</t>
  </si>
  <si>
    <t>Health Insurance</t>
  </si>
  <si>
    <t>Total Additions</t>
  </si>
  <si>
    <t>Total Subtractions</t>
  </si>
  <si>
    <t>Rent, utilities, maintenance, CPS Facility Services, supplies</t>
  </si>
  <si>
    <t>i.e. Insurance, depreciation, interest</t>
  </si>
  <si>
    <t>Calculations</t>
  </si>
  <si>
    <t>EXPENSES:</t>
  </si>
  <si>
    <t>Total Revenues</t>
  </si>
  <si>
    <t>BUDGETED SURPLUS/(DEFICIT)</t>
  </si>
  <si>
    <r>
      <t xml:space="preserve">        Fixed Asset Additions (</t>
    </r>
    <r>
      <rPr>
        <b/>
        <i/>
        <sz val="12"/>
        <rFont val="Cambria"/>
        <family val="1"/>
      </rPr>
      <t>populates</t>
    </r>
    <r>
      <rPr>
        <sz val="12"/>
        <rFont val="Cambria"/>
        <family val="1"/>
      </rPr>
      <t xml:space="preserve"> </t>
    </r>
    <r>
      <rPr>
        <b/>
        <i/>
        <sz val="12"/>
        <rFont val="Cambria"/>
        <family val="1"/>
      </rPr>
      <t>from Capital Budget</t>
    </r>
    <r>
      <rPr>
        <sz val="12"/>
        <rFont val="Cambria"/>
        <family val="1"/>
      </rPr>
      <t>)</t>
    </r>
  </si>
  <si>
    <t>Please enter your school's name in cell "C1".</t>
  </si>
  <si>
    <t>LEASEHOLD IMPROVEMENTS</t>
  </si>
  <si>
    <t>LAND AND BUILDING IMPROVEMENTS</t>
  </si>
  <si>
    <t>Six-Year Capital Budget</t>
  </si>
  <si>
    <t>Principal</t>
  </si>
  <si>
    <t>Assistant Principal</t>
  </si>
  <si>
    <t>Security</t>
  </si>
  <si>
    <t>Total Salaries and Wages</t>
  </si>
  <si>
    <t>Total Employees</t>
  </si>
  <si>
    <t>Total FICA Expense (6.2% of Wages Subject to FICA W/H)</t>
  </si>
  <si>
    <t>Total Enrollment</t>
  </si>
  <si>
    <t>FY2013</t>
  </si>
  <si>
    <t>FY2015</t>
  </si>
  <si>
    <t>FY2016</t>
  </si>
  <si>
    <t>FY2017</t>
  </si>
  <si>
    <t>FY2018</t>
  </si>
  <si>
    <t>Total Non-CPS Facility Revenue</t>
  </si>
  <si>
    <t>SGSA Revenue:</t>
  </si>
  <si>
    <t>Estimated SGSA Rate</t>
  </si>
  <si>
    <t>Total SGSA Revenue</t>
  </si>
  <si>
    <t>FY13</t>
  </si>
  <si>
    <t>Payroll Services</t>
  </si>
  <si>
    <t>Teachers</t>
  </si>
  <si>
    <t>Base/Average Wage</t>
  </si>
  <si>
    <t>Custodians</t>
  </si>
  <si>
    <r>
      <t xml:space="preserve">Instructional Equipment </t>
    </r>
    <r>
      <rPr>
        <b/>
        <sz val="12"/>
        <rFont val="Cambria"/>
        <family val="1"/>
      </rPr>
      <t>(not capitalized)</t>
    </r>
  </si>
  <si>
    <r>
      <t xml:space="preserve">Technology </t>
    </r>
    <r>
      <rPr>
        <b/>
        <sz val="12"/>
        <rFont val="Cambria"/>
        <family val="1"/>
      </rPr>
      <t>(not capitalized)</t>
    </r>
  </si>
  <si>
    <r>
      <t xml:space="preserve">Furniture </t>
    </r>
    <r>
      <rPr>
        <b/>
        <sz val="12"/>
        <rFont val="Cambria"/>
        <family val="1"/>
      </rPr>
      <t>(not capitalized)</t>
    </r>
  </si>
  <si>
    <t>Outside Services (i.e., Consultants, non-employee compensation)</t>
  </si>
  <si>
    <t xml:space="preserve">Expense (in-kind)- </t>
  </si>
  <si>
    <t xml:space="preserve">Other - </t>
  </si>
  <si>
    <t>Other -</t>
  </si>
  <si>
    <t>Erate</t>
  </si>
  <si>
    <t>In-kind Donations-</t>
  </si>
  <si>
    <t>Pension-CTPF(Charter School's Share of 9% of Employee w/h)</t>
  </si>
  <si>
    <t>Legal</t>
  </si>
  <si>
    <t>Depreciation and Amortization</t>
  </si>
  <si>
    <t>Fundraising Expense</t>
  </si>
  <si>
    <t>Gain/(Loss) on Sale of Fixed Asset(s)</t>
  </si>
  <si>
    <t>401k/403b</t>
  </si>
  <si>
    <t>NCLB - Title l</t>
  </si>
  <si>
    <t>NCLB - Title ll</t>
  </si>
  <si>
    <t>Title 1 Revenue:</t>
  </si>
  <si>
    <t>Estimated Rate Per Student</t>
  </si>
  <si>
    <t>Title 2 Revenue:</t>
  </si>
  <si>
    <t>Total Title 1 Revenue</t>
  </si>
  <si>
    <t>Total Title 2 Revenue</t>
  </si>
  <si>
    <t>High School Per Capita Rate</t>
  </si>
  <si>
    <r>
      <rPr>
        <b/>
        <sz val="11"/>
        <color indexed="8"/>
        <rFont val="Arial"/>
        <family val="2"/>
      </rPr>
      <t>(2)</t>
    </r>
    <r>
      <rPr>
        <b/>
        <sz val="9"/>
        <color indexed="8"/>
        <rFont val="Arial"/>
        <family val="2"/>
      </rPr>
      <t xml:space="preserve"> </t>
    </r>
    <r>
      <rPr>
        <sz val="9"/>
        <color indexed="8"/>
        <rFont val="Arial"/>
        <family val="2"/>
      </rPr>
      <t>Discuss the assumptions made for the charter's FTE staffing levels for each year.</t>
    </r>
  </si>
  <si>
    <r>
      <rPr>
        <b/>
        <sz val="9"/>
        <color indexed="8"/>
        <rFont val="Arial"/>
        <family val="2"/>
      </rPr>
      <t xml:space="preserve"> </t>
    </r>
    <r>
      <rPr>
        <b/>
        <sz val="11"/>
        <color indexed="8"/>
        <rFont val="Arial"/>
        <family val="2"/>
      </rPr>
      <t>(3)</t>
    </r>
    <r>
      <rPr>
        <b/>
        <sz val="9"/>
        <color indexed="8"/>
        <rFont val="Arial"/>
        <family val="2"/>
      </rPr>
      <t xml:space="preserve"> </t>
    </r>
    <r>
      <rPr>
        <sz val="9"/>
        <color indexed="8"/>
        <rFont val="Arial"/>
        <family val="2"/>
      </rPr>
      <t xml:space="preserve">Enter the Per Capita Tuition Charge (PCTC) as calculated by ISBE for each budget year on Line 18 and enter the proposed reimbursement rate of PCTC on Line 21.  Discuss assumptions made for each year and explain the basis for any changes in annual per capita tuition or the applicable reimbursement rate.  This total will be calculated on Line 26 for each budget year. </t>
    </r>
    <r>
      <rPr>
        <b/>
        <u val="single"/>
        <sz val="9"/>
        <color indexed="8"/>
        <rFont val="Arial"/>
        <family val="2"/>
      </rPr>
      <t xml:space="preserve"> </t>
    </r>
    <r>
      <rPr>
        <b/>
        <sz val="9"/>
        <color indexed="8"/>
        <rFont val="Arial"/>
        <family val="2"/>
      </rPr>
      <t>The amount entered on Line 18 for each year should be based on the PCTC from two years prior (</t>
    </r>
    <r>
      <rPr>
        <b/>
        <i/>
        <sz val="9"/>
        <color indexed="8"/>
        <rFont val="Arial"/>
        <family val="2"/>
      </rPr>
      <t>e.g.</t>
    </r>
    <r>
      <rPr>
        <b/>
        <sz val="9"/>
        <color indexed="8"/>
        <rFont val="Arial"/>
        <family val="2"/>
      </rPr>
      <t xml:space="preserve">,  FY 13 is based on the PCTC from FY 11). </t>
    </r>
    <r>
      <rPr>
        <sz val="9"/>
        <color indexed="10"/>
        <rFont val="Arial"/>
        <family val="2"/>
      </rPr>
      <t xml:space="preserve"> </t>
    </r>
    <r>
      <rPr>
        <b/>
        <u val="single"/>
        <sz val="9"/>
        <rFont val="Arial"/>
        <family val="2"/>
      </rPr>
      <t>Note that in no case may per pupil funding, exclusive of applicable categorical funding, be less than 75% or more than 125% of PCTC for the fiscal year two years prior to the current year.</t>
    </r>
  </si>
  <si>
    <r>
      <rPr>
        <b/>
        <sz val="11"/>
        <color indexed="8"/>
        <rFont val="Arial"/>
        <family val="2"/>
      </rPr>
      <t xml:space="preserve">(4) </t>
    </r>
    <r>
      <rPr>
        <sz val="9"/>
        <color indexed="8"/>
        <rFont val="Arial"/>
        <family val="2"/>
      </rPr>
      <t>Enter the supplemental revenues itemized for each fiscal year.  Discuss the provisions for supplemental funding from state and federal resources that are generated by Title I eligible students; and/or students with disabilities or staff serving them that is directed to the charter school.  Explain assumptions for the number of students to be served in each specialized category.  Note that this is not an exhaustive list of supplemental funds to which the charter school may be eligible under Sections 27A-11(c) and 11.5(4) of the Illinois Charter Schools Law and under federal law.  The charter should identify here or in its narrative for anticipated “Additional Supplemental Revenues” any other supplemental funds to which the school believes it is entitled under state and federal law, including but not limited to those funds generated by students in the following groups: (i) economically disadvantaged students; (ii) students from major racial and ethnic groups; (iii) students with disabilities; and (iv) students with limited English proficiency.</t>
    </r>
  </si>
  <si>
    <r>
      <rPr>
        <b/>
        <sz val="11"/>
        <color indexed="8"/>
        <rFont val="Arial"/>
        <family val="2"/>
      </rPr>
      <t xml:space="preserve">(5) </t>
    </r>
    <r>
      <rPr>
        <sz val="9"/>
        <color indexed="8"/>
        <rFont val="Arial"/>
        <family val="2"/>
      </rPr>
      <t>Enter any additional supplemental revenues anticipated for each fiscal year.  Describe and itemize as needed.</t>
    </r>
  </si>
  <si>
    <r>
      <rPr>
        <b/>
        <sz val="11"/>
        <color indexed="8"/>
        <rFont val="Arial"/>
        <family val="2"/>
      </rPr>
      <t>(6)</t>
    </r>
    <r>
      <rPr>
        <sz val="9"/>
        <color indexed="8"/>
        <rFont val="Arial"/>
        <family val="2"/>
      </rPr>
      <t xml:space="preserve"> Enter all "Other Revenues" anticipated for each fiscal year; describe and itemize as needed.  Also, list all current or prospective business and/or foundation partners and provide evidence of their level of engagement.</t>
    </r>
  </si>
  <si>
    <r>
      <rPr>
        <b/>
        <sz val="11"/>
        <color indexed="8"/>
        <rFont val="Arial"/>
        <family val="2"/>
      </rPr>
      <t>(7)</t>
    </r>
    <r>
      <rPr>
        <sz val="9"/>
        <color indexed="8"/>
        <rFont val="Arial"/>
        <family val="2"/>
      </rPr>
      <t xml:space="preserve"> Enter the estimated expenditures for each line item.  Explain assumptions underlying the estimates and the basis for changes from year to year (</t>
    </r>
    <r>
      <rPr>
        <i/>
        <sz val="9"/>
        <color indexed="8"/>
        <rFont val="Arial"/>
        <family val="2"/>
      </rPr>
      <t>e.g.</t>
    </r>
    <r>
      <rPr>
        <sz val="9"/>
        <color indexed="8"/>
        <rFont val="Arial"/>
        <family val="2"/>
      </rPr>
      <t>, assumed percentage change).  For Lines 39 and 40, additional columns have been provided to enter the FTE for instructional and administrative salaries.</t>
    </r>
  </si>
  <si>
    <r>
      <rPr>
        <b/>
        <sz val="11"/>
        <color indexed="8"/>
        <rFont val="Arial"/>
        <family val="2"/>
      </rPr>
      <t xml:space="preserve">(8) </t>
    </r>
    <r>
      <rPr>
        <sz val="9"/>
        <color indexed="8"/>
        <rFont val="Arial"/>
        <family val="2"/>
      </rPr>
      <t>Discuss the provisions for student food services and whether such services are provided by the charter or the school district.</t>
    </r>
  </si>
  <si>
    <r>
      <rPr>
        <b/>
        <sz val="11"/>
        <color indexed="8"/>
        <rFont val="Arial"/>
        <family val="2"/>
      </rPr>
      <t>(9)</t>
    </r>
    <r>
      <rPr>
        <sz val="9"/>
        <color indexed="8"/>
        <rFont val="Arial"/>
        <family val="2"/>
      </rPr>
      <t xml:space="preserve"> Describe the charter's plan to meet student transportation needs, and what provisions are made to address the transportation needs of low-income and at-risk students.</t>
    </r>
  </si>
  <si>
    <r>
      <rPr>
        <b/>
        <sz val="11"/>
        <color indexed="8"/>
        <rFont val="Arial"/>
        <family val="2"/>
      </rPr>
      <t>(10)</t>
    </r>
    <r>
      <rPr>
        <sz val="9"/>
        <color indexed="8"/>
        <rFont val="Arial"/>
        <family val="2"/>
      </rPr>
      <t xml:space="preserve"> Describe the charter's plan to provide services for students with special needs and discuss if such services will be provided by the charter or the school district.  </t>
    </r>
  </si>
  <si>
    <t>School Name:</t>
  </si>
  <si>
    <r>
      <rPr>
        <b/>
        <sz val="9"/>
        <color indexed="8"/>
        <rFont val="Arial"/>
        <family val="2"/>
      </rPr>
      <t xml:space="preserve">(11) </t>
    </r>
    <r>
      <rPr>
        <sz val="9"/>
        <color indexed="8"/>
        <rFont val="Arial"/>
        <family val="2"/>
      </rPr>
      <t>Describe the manner in which the annual audits of the financial and administrative operations of the charter, including any services provided by the school district, are to be conducted.</t>
    </r>
  </si>
  <si>
    <r>
      <rPr>
        <b/>
        <sz val="11"/>
        <color indexed="8"/>
        <rFont val="Arial"/>
        <family val="2"/>
      </rPr>
      <t xml:space="preserve">(12) </t>
    </r>
    <r>
      <rPr>
        <sz val="9"/>
        <color indexed="8"/>
        <rFont val="Arial"/>
        <family val="2"/>
      </rPr>
      <t xml:space="preserve">Enter the estimated expenditures for each line-item.  Explain assumptions underlying the estimates and the basis for changes from year to year (e.g., assumed percentage change). </t>
    </r>
  </si>
  <si>
    <r>
      <rPr>
        <b/>
        <sz val="9"/>
        <color indexed="8"/>
        <rFont val="Arial"/>
        <family val="2"/>
      </rPr>
      <t>(13)</t>
    </r>
    <r>
      <rPr>
        <sz val="9"/>
        <color indexed="8"/>
        <rFont val="Arial"/>
        <family val="2"/>
      </rPr>
      <t xml:space="preserve"> Describe how the terms of the charter, as proposed, are economically sound for both the charter school and the school district.  Include a description of the fiscal relationship between the charter and the local school board.  Also, discuss provisions that in event the funding from the Per Capita Tuition Charge (PCTC as calculated by ISBE) falls below 75% or above 125%, both the school district and the charter school will agree that PCTC will be adjusted, as necessary, to meet statutory requirements.</t>
    </r>
  </si>
  <si>
    <t>`</t>
  </si>
  <si>
    <r>
      <rPr>
        <b/>
        <sz val="11"/>
        <color indexed="8"/>
        <rFont val="Arial"/>
        <family val="2"/>
      </rPr>
      <t>(1)</t>
    </r>
    <r>
      <rPr>
        <sz val="9"/>
        <color indexed="8"/>
        <rFont val="Arial"/>
        <family val="2"/>
      </rPr>
      <t xml:space="preserve"> Enter the number of students to be enrolled each fiscal year.  Discuss any estimated changes in student enrollment and average class size, by grade level.  </t>
    </r>
  </si>
  <si>
    <t>General</t>
  </si>
  <si>
    <t xml:space="preserve">The Revenue Worksheet calculates the following revenues:                                                                                                                                                                                                                </t>
  </si>
  <si>
    <t>SECTION 1 - Number of Employees Each Year for Each Job Title</t>
  </si>
  <si>
    <t>Section 2 - Average Annual Salary for Each Job Title for Each Year</t>
  </si>
  <si>
    <t>Section 3 -Total Wages by Job Title by Year</t>
  </si>
  <si>
    <t>Forecasted/Actual Results</t>
  </si>
  <si>
    <t>State Unemployment</t>
  </si>
  <si>
    <r>
      <rPr>
        <b/>
        <sz val="11"/>
        <rFont val="Arial"/>
        <family val="2"/>
      </rPr>
      <t xml:space="preserve">Other Revenues </t>
    </r>
    <r>
      <rPr>
        <sz val="11"/>
        <rFont val="Arial"/>
        <family val="2"/>
      </rPr>
      <t>- Please enter the amounts for all other revenues directly into the Detailed Budget, and explain the basis of these revenues in the Assumption Worksheet.</t>
    </r>
  </si>
  <si>
    <t>Estimated Rate - High school (9-12) students receiving 10 or more periods a week of ELL</t>
  </si>
  <si>
    <t>Estimated Revenue - High school (9-12) students receiving 10 or more periods a week of ELL</t>
  </si>
  <si>
    <t xml:space="preserve"> </t>
  </si>
  <si>
    <t>Please follow the instructions in the Budget Assumption Worksheet.</t>
  </si>
  <si>
    <t>JUNE 30, 2013</t>
  </si>
  <si>
    <t>For the Fiscal Years 2014-2019</t>
  </si>
  <si>
    <t>Fiscal Year</t>
  </si>
  <si>
    <t xml:space="preserve">Teachers </t>
  </si>
  <si>
    <t>N/A</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</si>
  <si>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</si>
  <si>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</si>
  <si>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</si>
  <si>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</si>
  <si>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</si>
  <si>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</si>
  <si>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</si>
  <si>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</si>
  <si>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</si>
  <si>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</si>
  <si>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</si>
  <si>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</si>
  <si>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t>Teacher Assistants/Aides</t>
  </si>
  <si>
    <t>Full-Time Executive Team (i.e., CEO's, COO, CFO, Directors, etc.)</t>
  </si>
  <si>
    <t>Full-Time Administrative Staff</t>
  </si>
  <si>
    <t>K</t>
  </si>
  <si>
    <t xml:space="preserve">      Total - Pensionable Salaries</t>
  </si>
  <si>
    <t xml:space="preserve"> Overtime</t>
  </si>
  <si>
    <t xml:space="preserve"> Employment on an Optional Basis (e.g., summer school)</t>
  </si>
  <si>
    <t xml:space="preserve"> Special Services</t>
  </si>
  <si>
    <t xml:space="preserve"> Bonuses</t>
  </si>
  <si>
    <t xml:space="preserve">      Total - Non-Pensionable Salaries</t>
  </si>
  <si>
    <t>Summer School</t>
  </si>
  <si>
    <t>Overtime</t>
  </si>
  <si>
    <t xml:space="preserve">Bonuses </t>
  </si>
  <si>
    <t>Total Salaries and Wages for employees who do NOT participate in the CTPF</t>
  </si>
  <si>
    <t>Total Pensionable CTPF Salaries and Wages</t>
  </si>
  <si>
    <t>-</t>
  </si>
  <si>
    <t>Less: Total Pensionable CTPF Salaries and Wages for Reimbursable SPED Positions</t>
  </si>
  <si>
    <t>Total Non-Pensionable CTPF Salaries and Wages</t>
  </si>
  <si>
    <t xml:space="preserve">   Total CTPF Salaries and Wages (Row 183 + Row 186)</t>
  </si>
  <si>
    <t>Total NON-CTPF Salaries and Wages</t>
  </si>
  <si>
    <r>
      <t xml:space="preserve">Pension Pick-up Assumption </t>
    </r>
    <r>
      <rPr>
        <b/>
        <sz val="11"/>
        <rFont val="Arial"/>
        <family val="2"/>
      </rPr>
      <t>Employer</t>
    </r>
  </si>
  <si>
    <t>School's Share of Employer Contribution (normal cost) to the CTPF</t>
  </si>
  <si>
    <t>Total Medicare Expense (1.45% of ALL Salaries and Wages)</t>
  </si>
  <si>
    <t>Employer 403b Contribution (for employees that do NOT participate in the CTPF)</t>
  </si>
  <si>
    <t>Description</t>
  </si>
  <si>
    <t>Per Capita Rate</t>
  </si>
  <si>
    <t>SBB Grades K-3</t>
  </si>
  <si>
    <t>Non-SBB K-3</t>
  </si>
  <si>
    <t>SBB Grades 4-8 (for schools that do NOT have HS grades)</t>
  </si>
  <si>
    <t>SBB Grades 4-8</t>
  </si>
  <si>
    <t>SBB Grades 6-8</t>
  </si>
  <si>
    <t>Non-SBB Grades 4-8 (for schools that do NOT have HS grades)</t>
  </si>
  <si>
    <t>Non-SBB Grades 4-8</t>
  </si>
  <si>
    <t>Non-SBB Grades 6-8</t>
  </si>
  <si>
    <t>SBB Grades 6-8 (for schools that have HS grades)</t>
  </si>
  <si>
    <t>SBB High School (Grades 9-12)</t>
  </si>
  <si>
    <t>SBB High School (Grades 9-12 or 6-12)</t>
  </si>
  <si>
    <t>Non-SBB Grades 6-8 (for schools that have HS grades)</t>
  </si>
  <si>
    <t>Non-SBB High School (Grades 9-12)</t>
  </si>
  <si>
    <t>Non-SBB High School (Grades 9-12 or 6-12)</t>
  </si>
  <si>
    <t>Grades K-3 Per Capita Revenue</t>
  </si>
  <si>
    <t>Grades</t>
  </si>
  <si>
    <t>Non-Sped, LRE1, and LRE2 Students</t>
  </si>
  <si>
    <t>LRE3 Students</t>
  </si>
  <si>
    <t>Total  Enrollment</t>
  </si>
  <si>
    <t>Total Grades K-3 Enrollment</t>
  </si>
  <si>
    <t>Weighted %</t>
  </si>
  <si>
    <t>Grades K-3 Weighted Enrollment</t>
  </si>
  <si>
    <t>SBB-Grades K-3 Per Capita Funding</t>
  </si>
  <si>
    <t>Weighted Enrollment-Grades K-3</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</si>
  <si>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</si>
  <si>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</si>
  <si>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</si>
  <si>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</si>
  <si>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</si>
  <si>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</si>
  <si>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</si>
  <si>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</si>
  <si>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</si>
  <si>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</si>
  <si>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</si>
  <si>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</si>
  <si>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</si>
  <si>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Weighted Enrollment-Grades 4-8</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</si>
  <si>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</si>
  <si>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</si>
  <si>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</si>
  <si>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</si>
  <si>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</si>
  <si>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</si>
  <si>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</si>
  <si>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</si>
  <si>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Grades 6-8 Per Capita Revenue</t>
  </si>
  <si>
    <r>
      <t>Note:</t>
    </r>
    <r>
      <rPr>
        <b/>
        <i/>
        <sz val="11"/>
        <rFont val="Arial"/>
        <family val="2"/>
      </rPr>
      <t xml:space="preserve"> If your school DOES have students budgeted to be enrolled in Grades 9-12, the enrollment for Grades 6-8 is entered below.</t>
    </r>
  </si>
  <si>
    <t>NOTE: FOR FISCAL YEARS 2017-2019, THIS SECTION DOES NOT APPLY. GRADES 6-8 SHOULD BE ENTERED IN THE GRADES 4-8 PER CAPITA REVENUE SECTION ABOVE.</t>
  </si>
  <si>
    <t>Total Grades 6-8 Enrollment</t>
  </si>
  <si>
    <t>Grades 6-8 Weighted Enrollment</t>
  </si>
  <si>
    <t>SBB Grades 6-8 Per Capita Funding</t>
  </si>
  <si>
    <t>Weighted Enrollment-Grades 6-8</t>
  </si>
  <si>
    <t>Grades 6-8 SBB Per Capita Rate</t>
  </si>
  <si>
    <t>Total Grades 6-8 SBB Funding</t>
  </si>
  <si>
    <t>NON-SBB Grades 6-8 Per Capita Funding</t>
  </si>
  <si>
    <t>Total Enrollment-Grades 6-8</t>
  </si>
  <si>
    <t>Grades 6-8 Non-SBB Per Capita Rate</t>
  </si>
  <si>
    <t>Total Grades 6-8 Non-SBB Funding</t>
  </si>
  <si>
    <t>Total Grades 6-8 Per Capita Funding</t>
  </si>
  <si>
    <t>Total Grades 6-8 Per Capita Revenue</t>
  </si>
  <si>
    <t>High School Per Capita Revenue</t>
  </si>
  <si>
    <t>Non-Sped and LRE1 Students</t>
  </si>
  <si>
    <t>LRE2 Students</t>
  </si>
  <si>
    <t>Total High School Enrollment</t>
  </si>
  <si>
    <t>High School Weighted Enrollment</t>
  </si>
  <si>
    <t>SBB High School Per Capita Funding</t>
  </si>
  <si>
    <t>Weighted Enrollment-High School</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</si>
  <si>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</si>
  <si>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</si>
  <si>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</si>
  <si>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</si>
  <si>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</si>
  <si>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</si>
  <si>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</si>
  <si>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</si>
  <si>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</si>
  <si>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</si>
  <si>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</si>
  <si>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</si>
  <si>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</si>
  <si>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</si>
  <si>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</si>
  <si>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</si>
  <si>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Note: The fringe benefits % is used to estimate the fringe benefits $ that will be reimbursed by CPS for your School's SPED teachers, clinicians, and aides.  Please show your calculation of the fringe benefits % in the "Calculations" Worksheet of this file.</t>
  </si>
  <si>
    <t>Reimbursement for SPED Teachers and Clinicians</t>
  </si>
  <si>
    <t>Positions</t>
  </si>
  <si>
    <t>Number of FTE's</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</si>
  <si>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</si>
  <si>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</si>
  <si>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</si>
  <si>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</si>
  <si>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</si>
  <si>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</si>
  <si>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</si>
  <si>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</si>
  <si>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</si>
  <si>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</si>
  <si>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</si>
  <si>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</si>
  <si>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</si>
  <si>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</si>
  <si>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</si>
  <si>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</si>
  <si>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</si>
  <si>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</si>
  <si>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</si>
  <si>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</si>
  <si>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</si>
  <si>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</si>
  <si>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Per Capita Tuition (K-3)</t>
  </si>
  <si>
    <t>Per Capita Tuition (4-8)</t>
  </si>
  <si>
    <t>Per Capita Tuition (6-8 only when the school has HS grade(s))</t>
  </si>
  <si>
    <t>Per Capita Tuition (9-12)</t>
  </si>
  <si>
    <t>Special Education (Reimbursement)</t>
  </si>
  <si>
    <t>Total Direct Student Costs</t>
  </si>
  <si>
    <t>Total Personnel Costs</t>
  </si>
  <si>
    <t>Total Office Administration Costs</t>
  </si>
  <si>
    <t>Total Occupancy Costs</t>
  </si>
  <si>
    <t>Special Education Contracted Services (teaching and clinicians) that are 100% reimbursable under CPS's policy</t>
  </si>
  <si>
    <t>FY2019</t>
  </si>
  <si>
    <t>Revenues</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</si>
  <si>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</si>
  <si>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</si>
  <si>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</si>
  <si>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</si>
  <si>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Total ELL Revenue by Category</t>
  </si>
  <si>
    <t>Estimated Revenue - Elementary (K-8) students receiving between 5-10 periods a week of ELL</t>
  </si>
  <si>
    <t>Estimated Revenue - Elementary (K-8) students receiving 10 or more periods a week of ELL</t>
  </si>
  <si>
    <t>Estimated State Funding Rates</t>
  </si>
  <si>
    <t>Estimated Federal - Title lll Rates</t>
  </si>
  <si>
    <t>English Language Learners (ELL)</t>
  </si>
  <si>
    <t>Pension-CTPF (Employer's Share of the CTPF Expense )</t>
  </si>
  <si>
    <t>Occupancy Costs</t>
  </si>
  <si>
    <t>Other Costs</t>
  </si>
  <si>
    <t>ADJUSTMENTS FOR CASH FLOW</t>
  </si>
  <si>
    <t>Office Administration Costs</t>
  </si>
  <si>
    <t>Student Testing and Assessment</t>
  </si>
  <si>
    <t>Extracurricular Expenses</t>
  </si>
  <si>
    <r>
      <t xml:space="preserve">Special Education Expenses that will </t>
    </r>
    <r>
      <rPr>
        <b/>
        <sz val="12"/>
        <rFont val="Cambria"/>
        <family val="1"/>
      </rPr>
      <t>Not</t>
    </r>
    <r>
      <rPr>
        <sz val="12"/>
        <rFont val="Cambria"/>
        <family val="1"/>
      </rPr>
      <t xml:space="preserve"> be Reimbursed by CPS</t>
    </r>
  </si>
  <si>
    <t xml:space="preserve">      Contracted Services-Security</t>
  </si>
  <si>
    <t xml:space="preserve">      Contracted Services-Custodial</t>
  </si>
  <si>
    <t xml:space="preserve">      Other Contracted Services</t>
  </si>
  <si>
    <t>2019:</t>
  </si>
  <si>
    <t>a) SGSA</t>
  </si>
  <si>
    <t>b) Title 1</t>
  </si>
  <si>
    <t>c) Title 2</t>
  </si>
  <si>
    <t>d) ELL</t>
  </si>
  <si>
    <r>
      <rPr>
        <b/>
        <sz val="11"/>
        <rFont val="Arial"/>
        <family val="2"/>
      </rPr>
      <t xml:space="preserve">Total Employees (Row 191) - </t>
    </r>
    <r>
      <rPr>
        <sz val="11"/>
        <rFont val="Arial"/>
        <family val="2"/>
      </rPr>
      <t>This line totals all of the school's employees.</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</si>
  <si>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</si>
  <si>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</si>
  <si>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 xml:space="preserve">Employer's Share of FICA Expense (Row 199) - </t>
    </r>
    <r>
      <rPr>
        <sz val="11"/>
        <rFont val="Arial"/>
        <family val="2"/>
      </rPr>
      <t>This line calculates the employer's share of the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61 </t>
    </r>
    <r>
      <rPr>
        <sz val="11"/>
        <rFont val="Arial"/>
        <family val="2"/>
      </rPr>
      <t>of the Detailed Budget.</t>
    </r>
  </si>
  <si>
    <t>General - Per Capita Tuition (SBB and Non-SBB Funding)</t>
  </si>
  <si>
    <t>It should be noted that the grade level will determine the amount per student for SBB and Non-SBB funding. The following are the grade levels:</t>
  </si>
  <si>
    <t xml:space="preserve">For grades 9-12, the total enrollment for the non-SPED and LRE1 students will be weighted at 100% for SBB funding. The LRE 2 students will be weighted at 70%, and LRE3 students will be weighted at 40%. </t>
  </si>
  <si>
    <t>For Non-SBB funding, the total enrollment (not weighted) will be used when calculating the Non-SBB revenue for all grade levels.</t>
  </si>
  <si>
    <t>General -Special Education Reimbursement</t>
  </si>
  <si>
    <t>For grades K-8, the total enrollment for the non-SPED, LRE1, and LRE2 students will be weighted at 100% for SBB funding. The LRE3 students will be weighted at 40%</t>
  </si>
  <si>
    <r>
      <rPr>
        <b/>
        <sz val="11"/>
        <rFont val="Arial"/>
        <family val="2"/>
      </rPr>
      <t xml:space="preserve">Total Pensionable Salaries and Wages for </t>
    </r>
    <r>
      <rPr>
        <b/>
        <i/>
        <sz val="11"/>
        <rFont val="Arial"/>
        <family val="2"/>
      </rPr>
      <t>Reimbursable</t>
    </r>
    <r>
      <rPr>
        <b/>
        <sz val="11"/>
        <rFont val="Arial"/>
        <family val="2"/>
      </rPr>
      <t xml:space="preserve"> SPED Positions-(Row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share of the pension expense; therefore, they are excluded when calculating the reimbursement for the fringe benefits of the SPED teachers, clinicians, and teacher aides.</t>
    </r>
  </si>
  <si>
    <t>Instructions for Non-CPS Facility Supplemental Revenue</t>
  </si>
  <si>
    <t>General - Non-CPS Facility Supplement</t>
  </si>
  <si>
    <r>
      <t xml:space="preserve">The total weighted enrollment from </t>
    </r>
    <r>
      <rPr>
        <b/>
        <sz val="11"/>
        <rFont val="Arial"/>
        <family val="2"/>
      </rPr>
      <t>Cell D32</t>
    </r>
    <r>
      <rPr>
        <sz val="11"/>
        <rFont val="Arial"/>
        <family val="2"/>
      </rPr>
      <t xml:space="preserve"> will populate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</si>
  <si>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t>Total Pensionable CTPF Salaries and Wages Used to Calculate the Employer's Share of the Normal Cost</t>
  </si>
  <si>
    <r>
      <rPr>
        <b/>
        <sz val="10"/>
        <rFont val="Arial"/>
        <family val="2"/>
      </rPr>
      <t>Note</t>
    </r>
    <r>
      <rPr>
        <sz val="10"/>
        <rFont val="Arial"/>
        <family val="2"/>
      </rPr>
      <t>: In the Detailed Budget Worksheet (</t>
    </r>
    <r>
      <rPr>
        <b/>
        <sz val="10"/>
        <rFont val="Arial"/>
        <family val="2"/>
      </rPr>
      <t>Row 44</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</si>
  <si>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r>
      <rPr>
        <b/>
        <sz val="10"/>
        <rFont val="Arial"/>
        <family val="2"/>
      </rPr>
      <t>Note</t>
    </r>
    <r>
      <rPr>
        <sz val="10"/>
        <rFont val="Arial"/>
        <family val="2"/>
      </rPr>
      <t>: In the Detailed Budget Worksheet (</t>
    </r>
    <r>
      <rPr>
        <b/>
        <sz val="10"/>
        <rFont val="Arial"/>
        <family val="2"/>
      </rPr>
      <t>Row 44</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</si>
  <si>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F44</t>
  </si>
  <si>
    <t>Total Reimbursable Contractual Expenses from the Detailed Budget-Cell H44</t>
  </si>
  <si>
    <t>Total Reimbursable Contractual Expenses from the Detailed Budget-Cell J44</t>
  </si>
  <si>
    <t>Total Reimbursable Contractual Expenses from the Detailed Budget-Cell L44</t>
  </si>
  <si>
    <t>Total Reimbursable Contractual Expenses from the Detailed Budget-Cell N44</t>
  </si>
  <si>
    <t xml:space="preserve">Positions that Participate in the Chicago Teachers' Pension Fund (CTPF):         </t>
  </si>
  <si>
    <r>
      <t xml:space="preserve">Positions that Do </t>
    </r>
    <r>
      <rPr>
        <b/>
        <u val="single"/>
        <sz val="11"/>
        <rFont val="Arial"/>
        <family val="2"/>
      </rPr>
      <t>NOT</t>
    </r>
    <r>
      <rPr>
        <b/>
        <sz val="11"/>
        <rFont val="Arial"/>
        <family val="2"/>
      </rPr>
      <t xml:space="preserve"> Participate in the Chicago Teachers' Pension Fund (CTPF):         </t>
    </r>
  </si>
  <si>
    <t>(A) Budget Assumptions Worksheet</t>
  </si>
  <si>
    <t>(B) Capital Budget Worksheet</t>
  </si>
  <si>
    <t>This schedule is categorized by the various types of fixed assets (e.g., furniture, computer equipment, leasehold improvements, etc). A brief description for each facility improvement (owned or leased property) greater than $10,000 should be included in the schedule.</t>
  </si>
  <si>
    <r>
      <t>The totals of the Capital Budget (</t>
    </r>
    <r>
      <rPr>
        <b/>
        <sz val="11"/>
        <rFont val="Arial"/>
        <family val="2"/>
      </rPr>
      <t>Row 20</t>
    </r>
    <r>
      <rPr>
        <sz val="11"/>
        <rFont val="Arial"/>
        <family val="2"/>
      </rPr>
      <t>) will populate the Detailed Budget (</t>
    </r>
    <r>
      <rPr>
        <b/>
        <sz val="11"/>
        <rFont val="Arial"/>
        <family val="2"/>
      </rPr>
      <t>Row 142</t>
    </r>
    <r>
      <rPr>
        <sz val="11"/>
        <rFont val="Arial"/>
        <family val="2"/>
      </rPr>
      <t>) as an adjustment to the budgeted surplus/(deficit) to estimate cash flow.</t>
    </r>
  </si>
  <si>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</si>
  <si>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t>Pension Pick-up Assumption</t>
    </r>
    <r>
      <rPr>
        <b/>
        <sz val="11"/>
        <rFont val="Arial"/>
        <family val="2"/>
      </rPr>
      <t xml:space="preserve"> Employee</t>
    </r>
  </si>
  <si>
    <r>
      <t xml:space="preserve">1) </t>
    </r>
    <r>
      <rPr>
        <b/>
        <sz val="11"/>
        <rFont val="Arial"/>
        <family val="2"/>
      </rPr>
      <t>K-3</t>
    </r>
  </si>
  <si>
    <r>
      <t xml:space="preserve">2) </t>
    </r>
    <r>
      <rPr>
        <b/>
        <sz val="11"/>
        <rFont val="Arial"/>
        <family val="2"/>
      </rPr>
      <t>4-8</t>
    </r>
  </si>
  <si>
    <r>
      <t xml:space="preserve">4) </t>
    </r>
    <r>
      <rPr>
        <b/>
        <sz val="11"/>
        <rFont val="Arial"/>
        <family val="2"/>
      </rPr>
      <t>9-12 or HS</t>
    </r>
  </si>
  <si>
    <t>Instructions for Per Capita Revenue</t>
  </si>
  <si>
    <r>
      <t>Instructions for Special Education Revenue (</t>
    </r>
    <r>
      <rPr>
        <b/>
        <i/>
        <sz val="11"/>
        <rFont val="Arial"/>
        <family val="2"/>
      </rPr>
      <t>Reimbursement</t>
    </r>
    <r>
      <rPr>
        <b/>
        <sz val="11"/>
        <rFont val="Arial"/>
        <family val="2"/>
      </rPr>
      <t>)</t>
    </r>
  </si>
  <si>
    <t xml:space="preserve">The Personnel Worksheet is divided into three main sections (and several other smaller sections to calculate various payroll related expenses):                                                                                                         </t>
  </si>
  <si>
    <t>ADD:</t>
  </si>
  <si>
    <t>LESS:</t>
  </si>
  <si>
    <t>Estimated # of Students Title 1 Eligible</t>
  </si>
  <si>
    <t>Estimated % of Students Eligible for Free and Reduced Lunch</t>
  </si>
  <si>
    <t>Estimated # of Students Eligible for Free and Reduced Lunch</t>
  </si>
  <si>
    <t>Total Enrollment-Independent Facility (equals Cell I159)</t>
  </si>
  <si>
    <t>Total Enrollment-Independent Facility (equals Cell P159)</t>
  </si>
  <si>
    <t>Total Enrollment-Independent Facility (equals Cell W159)</t>
  </si>
  <si>
    <t>Total Enrollment-Independent Facility (equals Cell AD159)</t>
  </si>
  <si>
    <r>
      <t>Total Enrollment (</t>
    </r>
    <r>
      <rPr>
        <b/>
        <i/>
        <sz val="10"/>
        <rFont val="Arial"/>
        <family val="2"/>
      </rPr>
      <t>should equal Cell B155</t>
    </r>
    <r>
      <rPr>
        <b/>
        <sz val="10"/>
        <rFont val="Arial"/>
        <family val="2"/>
      </rPr>
      <t>)</t>
    </r>
  </si>
  <si>
    <r>
      <t>Total Enrollment (</t>
    </r>
    <r>
      <rPr>
        <b/>
        <i/>
        <sz val="10"/>
        <rFont val="Arial"/>
        <family val="2"/>
      </rPr>
      <t>should equal Cell I155</t>
    </r>
    <r>
      <rPr>
        <b/>
        <sz val="10"/>
        <rFont val="Arial"/>
        <family val="2"/>
      </rPr>
      <t>)</t>
    </r>
  </si>
  <si>
    <r>
      <t>Total Enrollment (</t>
    </r>
    <r>
      <rPr>
        <b/>
        <i/>
        <sz val="10"/>
        <rFont val="Arial"/>
        <family val="2"/>
      </rPr>
      <t>should equal Cell P155</t>
    </r>
    <r>
      <rPr>
        <b/>
        <sz val="10"/>
        <rFont val="Arial"/>
        <family val="2"/>
      </rPr>
      <t>)</t>
    </r>
  </si>
  <si>
    <r>
      <t>Total Enrollment (</t>
    </r>
    <r>
      <rPr>
        <b/>
        <i/>
        <sz val="10"/>
        <rFont val="Arial"/>
        <family val="2"/>
      </rPr>
      <t>should equal Cell W155</t>
    </r>
    <r>
      <rPr>
        <b/>
        <sz val="10"/>
        <rFont val="Arial"/>
        <family val="2"/>
      </rPr>
      <t>)</t>
    </r>
  </si>
  <si>
    <r>
      <t>Total Enrollment (</t>
    </r>
    <r>
      <rPr>
        <b/>
        <i/>
        <sz val="10"/>
        <rFont val="Arial"/>
        <family val="2"/>
      </rPr>
      <t>should equal Cell AD155</t>
    </r>
    <r>
      <rPr>
        <b/>
        <sz val="10"/>
        <rFont val="Arial"/>
        <family val="2"/>
      </rPr>
      <t>)</t>
    </r>
  </si>
  <si>
    <t>Total Enrollment-Independent Facility (equals Cell B159)</t>
  </si>
  <si>
    <t>Please break-out your school's budgeted enrollment from Cell B155 between students enrolled in a CPS facility and an independent facility:</t>
  </si>
  <si>
    <t>Please break-out your school's budgeted enrollment from Cell I155 between students enrolled in a CPS facility and an independent facility:</t>
  </si>
  <si>
    <t>Please break-out your school's budgeted enrollment from Cell P155 between students enrolled in a CPS facility and an independent facility:</t>
  </si>
  <si>
    <t>Please break-out your school's budgeted enrollment from Cell W155 between students enrolled in a CPS facility and an independent facility:</t>
  </si>
  <si>
    <t>Please break-out your school's budgeted enrollment from Cell AD155 between students enrolled in a CPS facility and an independent facility:</t>
  </si>
  <si>
    <t>Please enter your school's estimated fringe benefits % in Cell C183.</t>
  </si>
  <si>
    <t>Please enter your school's estimated fringe benefits % in Cell J183.</t>
  </si>
  <si>
    <t>Please enter your school's estimated fringe benefits % in Cell Q183.</t>
  </si>
  <si>
    <t>Please enter your school's estimated fringe benefits % in Cell X183.</t>
  </si>
  <si>
    <t>Please enter your school's estimated fringe benefits % in Cell AE183.</t>
  </si>
  <si>
    <t>Salaries (from Personnel Worksheet)</t>
  </si>
  <si>
    <r>
      <t xml:space="preserve">        Depreciation &amp; Amortization (</t>
    </r>
    <r>
      <rPr>
        <b/>
        <i/>
        <sz val="12"/>
        <rFont val="Cambria"/>
        <family val="1"/>
      </rPr>
      <t>populates from Row 115</t>
    </r>
    <r>
      <rPr>
        <sz val="12"/>
        <rFont val="Cambria"/>
        <family val="1"/>
      </rPr>
      <t>)</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</si>
  <si>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</si>
  <si>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60 </t>
    </r>
    <r>
      <rPr>
        <sz val="11"/>
        <rFont val="Arial"/>
        <family val="2"/>
      </rPr>
      <t xml:space="preserve">of the Detailed Budget.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</si>
  <si>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62</t>
    </r>
    <r>
      <rPr>
        <sz val="11"/>
        <rFont val="Arial"/>
        <family val="2"/>
      </rPr>
      <t xml:space="preserve"> of the Detailed Budget.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</si>
  <si>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Cell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63</t>
    </r>
    <r>
      <rPr>
        <sz val="11"/>
        <rFont val="Arial"/>
        <family val="2"/>
      </rPr>
      <t xml:space="preserve"> of the Detailed Budget. If this is </t>
    </r>
    <r>
      <rPr>
        <b/>
        <i/>
        <sz val="11"/>
        <rFont val="Arial"/>
        <family val="2"/>
      </rPr>
      <t>NOT</t>
    </r>
    <r>
      <rPr>
        <sz val="11"/>
        <rFont val="Arial"/>
        <family val="2"/>
      </rPr>
      <t xml:space="preserve"> an accurate calculation of your school's 401k/403b plan, you can manually enter the amounts in the Detailed Budget (</t>
    </r>
    <r>
      <rPr>
        <b/>
        <sz val="11"/>
        <rFont val="Arial"/>
        <family val="2"/>
      </rPr>
      <t>Row 63</t>
    </r>
    <r>
      <rPr>
        <sz val="11"/>
        <rFont val="Arial"/>
        <family val="2"/>
      </rPr>
      <t>).</t>
    </r>
  </si>
  <si>
    <t xml:space="preserve">Please note that the same methodology is used for Grades 4-8 (Rows 57-86), Grades 6-8 (Rows 91-117 for fiscal years 2015 and 2016 ONLY), and Grades 9-12 (Rows 122-149). </t>
  </si>
  <si>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</si>
  <si>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school/employer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59</t>
    </r>
    <r>
      <rPr>
        <sz val="11"/>
        <rFont val="Arial"/>
        <family val="2"/>
      </rPr>
      <t xml:space="preserve"> of the Detailed Budget.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</si>
  <si>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xml:space="preserve">) populates Cell </t>
    </r>
    <r>
      <rPr>
        <b/>
        <sz val="11"/>
        <rFont val="Arial"/>
        <family val="2"/>
      </rPr>
      <t>B43</t>
    </r>
    <r>
      <rPr>
        <sz val="11"/>
        <rFont val="Arial"/>
        <family val="2"/>
      </rPr>
      <t xml:space="preserve">. </t>
    </r>
    <r>
      <rPr>
        <b/>
        <sz val="11"/>
        <rFont val="Arial"/>
        <family val="2"/>
      </rPr>
      <t>Cell B44</t>
    </r>
    <r>
      <rPr>
        <sz val="11"/>
        <rFont val="Arial"/>
        <family val="2"/>
      </rPr>
      <t xml:space="preserve"> calculates the total Non-SBB per capita revenue for grades K-3.</t>
    </r>
  </si>
  <si>
    <t xml:space="preserve">                          Totals</t>
  </si>
  <si>
    <t>School's Share of Employees' Contributions to the CTPF</t>
  </si>
  <si>
    <t>Non-Pensionable Salaries and Wages:</t>
  </si>
  <si>
    <t>Other Compensation:</t>
  </si>
  <si>
    <t>(C) Personnel Worksheet</t>
  </si>
  <si>
    <r>
      <t xml:space="preserve">Using </t>
    </r>
    <r>
      <rPr>
        <b/>
        <i/>
        <sz val="11"/>
        <rFont val="Arial"/>
        <family val="2"/>
      </rPr>
      <t>FY2015</t>
    </r>
    <r>
      <rPr>
        <sz val="11"/>
        <rFont val="Arial"/>
        <family val="2"/>
      </rPr>
      <t xml:space="preserve"> as example, in Cells </t>
    </r>
    <r>
      <rPr>
        <b/>
        <sz val="11"/>
        <rFont val="Arial"/>
        <family val="2"/>
      </rPr>
      <t>B188 - B191</t>
    </r>
    <r>
      <rPr>
        <sz val="11"/>
        <rFont val="Arial"/>
        <family val="2"/>
      </rPr>
      <t xml:space="preserve"> are the number of positions for special education teachers and clinicians. In </t>
    </r>
    <r>
      <rPr>
        <b/>
        <sz val="11"/>
        <rFont val="Arial"/>
        <family val="2"/>
      </rPr>
      <t>Cells C188-C191</t>
    </r>
    <r>
      <rPr>
        <sz val="11"/>
        <rFont val="Arial"/>
        <family val="2"/>
      </rPr>
      <t xml:space="preserve"> are the corresponding total salaries for those positions. In </t>
    </r>
    <r>
      <rPr>
        <b/>
        <sz val="11"/>
        <rFont val="Arial"/>
        <family val="2"/>
      </rPr>
      <t>Cells B208 and B209</t>
    </r>
    <r>
      <rPr>
        <sz val="11"/>
        <rFont val="Arial"/>
        <family val="2"/>
      </rPr>
      <t xml:space="preserve"> are the number of special education teacher aides, and in </t>
    </r>
    <r>
      <rPr>
        <b/>
        <sz val="11"/>
        <rFont val="Arial"/>
        <family val="2"/>
      </rPr>
      <t>Cells C208 - C209</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C183</t>
    </r>
    <r>
      <rPr>
        <sz val="11"/>
        <rFont val="Arial"/>
        <family val="2"/>
      </rPr>
      <t xml:space="preserve">, please enter your estimated fringe benefit %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Please show your calculation(s) for the fringe benefit % in the "</t>
    </r>
    <r>
      <rPr>
        <b/>
        <sz val="11"/>
        <rFont val="Arial"/>
        <family val="2"/>
      </rPr>
      <t>Calculations</t>
    </r>
    <r>
      <rPr>
        <sz val="11"/>
        <rFont val="Arial"/>
        <family val="2"/>
      </rPr>
      <t xml:space="preserve">" worksheet. The salaries from </t>
    </r>
    <r>
      <rPr>
        <b/>
        <sz val="11"/>
        <rFont val="Arial"/>
        <family val="2"/>
      </rPr>
      <t>Cells C188-C191</t>
    </r>
    <r>
      <rPr>
        <sz val="11"/>
        <rFont val="Arial"/>
        <family val="2"/>
      </rPr>
      <t xml:space="preserve"> and </t>
    </r>
    <r>
      <rPr>
        <b/>
        <sz val="11"/>
        <rFont val="Arial"/>
        <family val="2"/>
      </rPr>
      <t>C208-C209</t>
    </r>
    <r>
      <rPr>
        <sz val="11"/>
        <rFont val="Arial"/>
        <family val="2"/>
      </rPr>
      <t xml:space="preserve"> are multiplied by100% plus the fringe benefits % (</t>
    </r>
    <r>
      <rPr>
        <b/>
        <sz val="11"/>
        <rFont val="Arial"/>
        <family val="2"/>
      </rPr>
      <t>Column D</t>
    </r>
    <r>
      <rPr>
        <sz val="11"/>
        <rFont val="Arial"/>
        <family val="2"/>
      </rPr>
      <t xml:space="preserve">) to arrive at the reimbursable amounts for the special education positions in </t>
    </r>
    <r>
      <rPr>
        <b/>
        <sz val="11"/>
        <rFont val="Arial"/>
        <family val="2"/>
      </rPr>
      <t>Column E</t>
    </r>
    <r>
      <rPr>
        <sz val="11"/>
        <rFont val="Arial"/>
        <family val="2"/>
      </rPr>
      <t>. The average compensation is computed for the SPED teachers and clinicians in</t>
    </r>
    <r>
      <rPr>
        <b/>
        <sz val="11"/>
        <rFont val="Arial"/>
        <family val="2"/>
      </rPr>
      <t xml:space="preserve"> Cell B198</t>
    </r>
    <r>
      <rPr>
        <sz val="11"/>
        <rFont val="Arial"/>
        <family val="2"/>
      </rPr>
      <t xml:space="preserve">, and for the SPED teacher aides, it is </t>
    </r>
    <r>
      <rPr>
        <b/>
        <sz val="11"/>
        <rFont val="Arial"/>
        <family val="2"/>
      </rPr>
      <t>Cell B214</t>
    </r>
    <r>
      <rPr>
        <sz val="11"/>
        <rFont val="Arial"/>
        <family val="2"/>
      </rPr>
      <t xml:space="preserve">. In </t>
    </r>
    <r>
      <rPr>
        <b/>
        <sz val="11"/>
        <rFont val="Arial"/>
        <family val="2"/>
      </rPr>
      <t>Cell B199</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B215</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B199</t>
    </r>
    <r>
      <rPr>
        <sz val="11"/>
        <rFont val="Arial"/>
        <family val="2"/>
      </rPr>
      <t xml:space="preserve"> and</t>
    </r>
    <r>
      <rPr>
        <b/>
        <sz val="11"/>
        <rFont val="Arial"/>
        <family val="2"/>
      </rPr>
      <t xml:space="preserve"> B215</t>
    </r>
    <r>
      <rPr>
        <sz val="11"/>
        <rFont val="Arial"/>
        <family val="2"/>
      </rPr>
      <t xml:space="preserve"> will populate </t>
    </r>
    <r>
      <rPr>
        <b/>
        <sz val="11"/>
        <rFont val="Arial"/>
        <family val="2"/>
      </rPr>
      <t xml:space="preserve">Cells C232 and C233 </t>
    </r>
    <r>
      <rPr>
        <sz val="11"/>
        <rFont val="Arial"/>
        <family val="2"/>
      </rPr>
      <t xml:space="preserve">respectively.                                                                                                                                  </t>
    </r>
  </si>
  <si>
    <t>(D) Revenues-Fed &amp; State Worksheet</t>
  </si>
  <si>
    <t>(E) Revenues-Per Capita and SPED Worksheet</t>
  </si>
  <si>
    <t>Please note that the SBB and Non-SBB rates are kept constant at the FY14 proposed levels with the exception of grades 6-8 (mentioned above).</t>
  </si>
  <si>
    <t>The Non-CPS Facility Supplement is for schools the reside in a non-CPS facility. It is based on the number of students enrolled in a non-CPS facility. Please note that the rate per pupil for this revenue is kept constant at $750 (current funding level).</t>
  </si>
  <si>
    <t>Enrollment Summary</t>
  </si>
  <si>
    <t>Grades K-8</t>
  </si>
  <si>
    <t>Kindergarten</t>
  </si>
  <si>
    <t>Grade 1</t>
  </si>
  <si>
    <t>Grade 2</t>
  </si>
  <si>
    <t>Grade 3</t>
  </si>
  <si>
    <t>Grade 4</t>
  </si>
  <si>
    <t>Grade 5</t>
  </si>
  <si>
    <t>Grade 6</t>
  </si>
  <si>
    <t>Grade 7</t>
  </si>
  <si>
    <t>Grade 8</t>
  </si>
  <si>
    <t>Total K-8 Enrollment</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</si>
  <si>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</si>
  <si>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t>Yes</t>
  </si>
  <si>
    <t>Grades 9-12</t>
  </si>
  <si>
    <t>Grade 9</t>
  </si>
  <si>
    <t>Grade 10</t>
  </si>
  <si>
    <t>Grade 11</t>
  </si>
  <si>
    <t>Grade 12</t>
  </si>
  <si>
    <t>Total 9-12 Enrollment</t>
  </si>
  <si>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</si>
  <si>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Elementary Expansion Funding</t>
  </si>
  <si>
    <t>Expansion Enrollment</t>
  </si>
  <si>
    <t>Expansion Funding Per Student</t>
  </si>
  <si>
    <t>Total Elementary Expansion Revenue</t>
  </si>
  <si>
    <t>High School Expansion Funding</t>
  </si>
  <si>
    <t>Total High School Expansion Revenue</t>
  </si>
  <si>
    <t>Total Expansion Revenue</t>
  </si>
  <si>
    <t>FY 2014</t>
  </si>
  <si>
    <t>Current Fiscal</t>
  </si>
  <si>
    <t>Expansion Funding</t>
  </si>
  <si>
    <t>Revenues-Federal and State for the Fiscal Years 2015-2019</t>
  </si>
  <si>
    <t>Revenues-Per Capita &amp; Special Education for the Fiscal Years 2015-2019</t>
  </si>
  <si>
    <t>Revenues-Expansion for the Fiscal Years 2015-2019</t>
  </si>
  <si>
    <t>Personnel Expenses for the Fiscal Years 2015-2019</t>
  </si>
  <si>
    <t>Fiscal Years</t>
  </si>
  <si>
    <t>RFP Budget for the Fiscal Years 2015 - 2019</t>
  </si>
  <si>
    <t>NOTE TO SCHOOLS:  Please be sure to describe, in as much detail as possible, all assumptions related to revenues and expenses, including the basis of revenues (such as % of eligible students) and the basis of expenses (such as per student costs or historical experience, # of teachers, etc). In the description, please show all relevant calculations and provide a narrative description to accompany the numbers. Also, please include assumptions such as annual expense growth, inflation, and provide explanations for any significant revenue or expense deviations from prior years and from year to year. There is a separate worksheet for to show your calculations for your Budget Assumptions. There is a space below to show a plan for mitigation if your budget shows a deficit in any year.</t>
  </si>
  <si>
    <t>Categorical Funds</t>
  </si>
  <si>
    <t>CPS Start-up Funds, After-School funding, Federal grants, Special Education funds, etc</t>
  </si>
  <si>
    <t xml:space="preserve">Supplies, educational materials, instructional equipment (non-capitalized), technology, furniture, food service, etc </t>
  </si>
  <si>
    <t>Principal, Assistant Principal, Dean, Business Manager, etc</t>
  </si>
  <si>
    <t>Teachers, Special Education personnel, etc</t>
  </si>
  <si>
    <t>Security personnel, Clerks, Social Workers, Aids, etc</t>
  </si>
  <si>
    <t>Pension,  Medicare, FICA, health benefits, etc</t>
  </si>
  <si>
    <t>Supplies, administrative equipment (non-capitalized), telecommunications, accounting/audit, printing, etc</t>
  </si>
  <si>
    <t>Budget Years: 2015-2019</t>
  </si>
  <si>
    <t>CPS Per Student Tuition &amp; Facility Supplement</t>
  </si>
  <si>
    <t>i.e. Investment income</t>
  </si>
  <si>
    <t>Fiscal Years 2015-2019</t>
  </si>
  <si>
    <t>(G) Detailed Budget Worksheet</t>
  </si>
  <si>
    <t>(H) Calculations Worksheet</t>
  </si>
  <si>
    <t>(F) Revenues-Expansion Worksheet</t>
  </si>
  <si>
    <t>No</t>
  </si>
  <si>
    <r>
      <t>Please note that you cannot enter data into the cells highlighted in</t>
    </r>
    <r>
      <rPr>
        <b/>
        <i/>
        <sz val="11"/>
        <color indexed="30"/>
        <rFont val="Arial"/>
        <family val="2"/>
      </rPr>
      <t xml:space="preserve"> blue</t>
    </r>
    <r>
      <rPr>
        <b/>
        <i/>
        <sz val="11"/>
        <rFont val="Arial"/>
        <family val="2"/>
      </rPr>
      <t xml:space="preserve"> for all of the worksheets in this template. These cells are pre-populated from other worksheets or with data from within the worksheet.</t>
    </r>
  </si>
  <si>
    <t xml:space="preserve">The budget template is divided in to eight worksheets:                                                                                              A) Budget Assumptions                                                                                                                                           B) Capital Budget                                                                                                                                                                                                                                  C) Personnel                                                                                                                                              D) Revenues-Fed &amp; State                                                                                                                                                              E) Revenues-Per Capita and SPED                                                                                                                                              F) Revenues-Expansion                                                                                                                                                                                            G) Detailed Budget                                                                                                                                                                                                                                                                                                                                         H) Calculations                                                                                                                                                                                                                              </t>
  </si>
  <si>
    <r>
      <rPr>
        <b/>
        <sz val="11"/>
        <rFont val="Arial"/>
        <family val="2"/>
      </rPr>
      <t>SGSA</t>
    </r>
    <r>
      <rPr>
        <sz val="11"/>
        <rFont val="Arial"/>
        <family val="2"/>
      </rPr>
      <t xml:space="preserve"> </t>
    </r>
    <r>
      <rPr>
        <b/>
        <sz val="11"/>
        <rFont val="Arial"/>
        <family val="2"/>
      </rPr>
      <t>Revenue</t>
    </r>
    <r>
      <rPr>
        <sz val="11"/>
        <rFont val="Arial"/>
        <family val="2"/>
      </rPr>
      <t xml:space="preserve"> </t>
    </r>
    <r>
      <rPr>
        <b/>
        <sz val="11"/>
        <rFont val="Arial"/>
        <family val="2"/>
      </rPr>
      <t>(Rows 6-11</t>
    </r>
    <r>
      <rPr>
        <sz val="11"/>
        <rFont val="Arial"/>
        <family val="2"/>
      </rPr>
      <t xml:space="preserve">) - </t>
    </r>
    <r>
      <rPr>
        <b/>
        <sz val="11"/>
        <rFont val="Arial"/>
        <family val="2"/>
      </rPr>
      <t>Row 7</t>
    </r>
    <r>
      <rPr>
        <sz val="11"/>
        <rFont val="Arial"/>
        <family val="2"/>
      </rPr>
      <t xml:space="preserve"> is populated with the school's budgeted enrollments from </t>
    </r>
    <r>
      <rPr>
        <b/>
        <sz val="11"/>
        <rFont val="Arial"/>
        <family val="2"/>
      </rPr>
      <t xml:space="preserve">Row 155 </t>
    </r>
    <r>
      <rPr>
        <sz val="11"/>
        <rFont val="Arial"/>
        <family val="2"/>
      </rPr>
      <t xml:space="preserve">of the Per Capita &amp; SPED worksheet. In </t>
    </r>
    <r>
      <rPr>
        <b/>
        <sz val="11"/>
        <rFont val="Arial"/>
        <family val="2"/>
      </rPr>
      <t>Row 8</t>
    </r>
    <r>
      <rPr>
        <sz val="11"/>
        <rFont val="Arial"/>
        <family val="2"/>
      </rPr>
      <t xml:space="preserve">, enter the estimated Free and Reduced Lunch (FRL) %. </t>
    </r>
    <r>
      <rPr>
        <b/>
        <sz val="11"/>
        <rFont val="Arial"/>
        <family val="2"/>
      </rPr>
      <t>Row 9</t>
    </r>
    <r>
      <rPr>
        <sz val="11"/>
        <rFont val="Arial"/>
        <family val="2"/>
      </rPr>
      <t xml:space="preserve"> calculates the projected number of students eligible for FRL. </t>
    </r>
    <r>
      <rPr>
        <b/>
        <sz val="11"/>
        <rFont val="Arial"/>
        <family val="2"/>
      </rPr>
      <t>Row 10</t>
    </r>
    <r>
      <rPr>
        <sz val="11"/>
        <rFont val="Arial"/>
        <family val="2"/>
      </rPr>
      <t xml:space="preserve"> has the estimated rate for SGSA. </t>
    </r>
    <r>
      <rPr>
        <b/>
        <sz val="11"/>
        <rFont val="Arial"/>
        <family val="2"/>
      </rPr>
      <t>Row 11</t>
    </r>
    <r>
      <rPr>
        <sz val="11"/>
        <rFont val="Arial"/>
        <family val="2"/>
      </rPr>
      <t xml:space="preserve"> calculates the estimated SGSA Revenue. </t>
    </r>
    <r>
      <rPr>
        <b/>
        <sz val="11"/>
        <rFont val="Arial"/>
        <family val="2"/>
      </rPr>
      <t>Row 11</t>
    </r>
    <r>
      <rPr>
        <sz val="11"/>
        <rFont val="Arial"/>
        <family val="2"/>
      </rPr>
      <t xml:space="preserve"> populates </t>
    </r>
    <r>
      <rPr>
        <b/>
        <sz val="11"/>
        <rFont val="Arial"/>
        <family val="2"/>
      </rPr>
      <t>Row 15</t>
    </r>
    <r>
      <rPr>
        <sz val="11"/>
        <rFont val="Arial"/>
        <family val="2"/>
      </rPr>
      <t xml:space="preserve"> of the Detailed Budget.</t>
    </r>
  </si>
  <si>
    <r>
      <t xml:space="preserve">Title 2 Revenue (Rows 20-23) -  </t>
    </r>
    <r>
      <rPr>
        <sz val="11"/>
        <rFont val="Arial"/>
        <family val="2"/>
      </rPr>
      <t>The total enrollment will populate</t>
    </r>
    <r>
      <rPr>
        <b/>
        <sz val="11"/>
        <rFont val="Arial"/>
        <family val="2"/>
      </rPr>
      <t xml:space="preserve"> Row 21</t>
    </r>
    <r>
      <rPr>
        <sz val="11"/>
        <rFont val="Arial"/>
        <family val="2"/>
      </rPr>
      <t xml:space="preserve">, and the estimated rate is in </t>
    </r>
    <r>
      <rPr>
        <b/>
        <sz val="11"/>
        <rFont val="Arial"/>
        <family val="2"/>
      </rPr>
      <t>Row 22</t>
    </r>
    <r>
      <rPr>
        <sz val="11"/>
        <rFont val="Arial"/>
        <family val="2"/>
      </rPr>
      <t xml:space="preserve">. The Title 2 revenue is calculated in </t>
    </r>
    <r>
      <rPr>
        <b/>
        <sz val="11"/>
        <rFont val="Arial"/>
        <family val="2"/>
      </rPr>
      <t>Row 23</t>
    </r>
    <r>
      <rPr>
        <sz val="11"/>
        <rFont val="Arial"/>
        <family val="2"/>
      </rPr>
      <t xml:space="preserve">, and the amounts populate the Detailed Budget in </t>
    </r>
    <r>
      <rPr>
        <b/>
        <sz val="11"/>
        <rFont val="Arial"/>
        <family val="2"/>
      </rPr>
      <t>Row 17</t>
    </r>
    <r>
      <rPr>
        <sz val="11"/>
        <rFont val="Arial"/>
        <family val="2"/>
      </rPr>
      <t>.</t>
    </r>
  </si>
  <si>
    <r>
      <t xml:space="preserve">ELL Revenue (Rows 26-50) - </t>
    </r>
    <r>
      <rPr>
        <sz val="11"/>
        <rFont val="Arial"/>
        <family val="2"/>
      </rPr>
      <t xml:space="preserve">In </t>
    </r>
    <r>
      <rPr>
        <b/>
        <sz val="11"/>
        <rFont val="Arial"/>
        <family val="2"/>
      </rPr>
      <t>Rows 27-30</t>
    </r>
    <r>
      <rPr>
        <sz val="11"/>
        <rFont val="Arial"/>
        <family val="2"/>
      </rPr>
      <t xml:space="preserve">, enter the number of students in each of the various categories (based on the periods off ELL). The estimated rates are in </t>
    </r>
    <r>
      <rPr>
        <b/>
        <sz val="11"/>
        <rFont val="Arial"/>
        <family val="2"/>
      </rPr>
      <t>Rows</t>
    </r>
    <r>
      <rPr>
        <sz val="11"/>
        <rFont val="Arial"/>
        <family val="2"/>
      </rPr>
      <t xml:space="preserve"> </t>
    </r>
    <r>
      <rPr>
        <b/>
        <sz val="11"/>
        <rFont val="Arial"/>
        <family val="2"/>
      </rPr>
      <t>33-36 and Rows 39-42</t>
    </r>
    <r>
      <rPr>
        <sz val="11"/>
        <rFont val="Arial"/>
        <family val="2"/>
      </rPr>
      <t xml:space="preserve">, and the revenues will automatically calculate by category in </t>
    </r>
    <r>
      <rPr>
        <b/>
        <sz val="11"/>
        <rFont val="Arial"/>
        <family val="2"/>
      </rPr>
      <t>Rows 46-49</t>
    </r>
    <r>
      <rPr>
        <sz val="11"/>
        <rFont val="Arial"/>
        <family val="2"/>
      </rPr>
      <t>. The total ELL revenue (</t>
    </r>
    <r>
      <rPr>
        <b/>
        <sz val="11"/>
        <rFont val="Arial"/>
        <family val="2"/>
      </rPr>
      <t>Row 50</t>
    </r>
    <r>
      <rPr>
        <sz val="11"/>
        <rFont val="Arial"/>
        <family val="2"/>
      </rPr>
      <t xml:space="preserve">) will populate the Detailed Budget in </t>
    </r>
    <r>
      <rPr>
        <b/>
        <sz val="11"/>
        <rFont val="Arial"/>
        <family val="2"/>
      </rPr>
      <t>Row 18</t>
    </r>
    <r>
      <rPr>
        <sz val="11"/>
        <rFont val="Arial"/>
        <family val="2"/>
      </rPr>
      <t>.</t>
    </r>
  </si>
  <si>
    <r>
      <t>The "</t>
    </r>
    <r>
      <rPr>
        <b/>
        <sz val="11"/>
        <rFont val="Arial"/>
        <family val="2"/>
      </rPr>
      <t>Revenues-Per Capita and SPED</t>
    </r>
    <r>
      <rPr>
        <sz val="11"/>
        <rFont val="Arial"/>
        <family val="2"/>
      </rPr>
      <t xml:space="preserve">" worksheet is for the Per Capita Tuition, Non-CPS Facility Supplement, and the Special Education (reimbursement). Please note that FY's 2015-2019 are on this schedule in Columns A-F, H-M, O-T, V-AA, and AC-AH respectively. </t>
    </r>
  </si>
  <si>
    <r>
      <t xml:space="preserve">Using </t>
    </r>
    <r>
      <rPr>
        <b/>
        <i/>
        <sz val="11"/>
        <rFont val="Arial"/>
        <family val="2"/>
      </rPr>
      <t>FY2015</t>
    </r>
    <r>
      <rPr>
        <sz val="11"/>
        <rFont val="Arial"/>
        <family val="2"/>
      </rPr>
      <t xml:space="preserve">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If you are budgeting for LRE3 students,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</si>
  <si>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The total for the K-3 per capita tuition revenue is computed in Cell</t>
    </r>
    <r>
      <rPr>
        <b/>
        <sz val="11"/>
        <rFont val="Arial"/>
        <family val="2"/>
      </rPr>
      <t xml:space="preserve"> B50</t>
    </r>
    <r>
      <rPr>
        <sz val="11"/>
        <rFont val="Arial"/>
        <family val="2"/>
      </rPr>
      <t xml:space="preserve">. The amount in </t>
    </r>
    <r>
      <rPr>
        <b/>
        <sz val="11"/>
        <rFont val="Arial"/>
        <family val="2"/>
      </rPr>
      <t>Cell B50</t>
    </r>
    <r>
      <rPr>
        <sz val="11"/>
        <rFont val="Arial"/>
        <family val="2"/>
      </rPr>
      <t xml:space="preserve"> populates Cell </t>
    </r>
    <r>
      <rPr>
        <b/>
        <sz val="11"/>
        <rFont val="Arial"/>
        <family val="2"/>
      </rPr>
      <t>F9</t>
    </r>
    <r>
      <rPr>
        <sz val="11"/>
        <rFont val="Arial"/>
        <family val="2"/>
      </rPr>
      <t xml:space="preserve"> of the Detailed Budget.</t>
    </r>
  </si>
  <si>
    <r>
      <t xml:space="preserve">Using </t>
    </r>
    <r>
      <rPr>
        <b/>
        <i/>
        <sz val="11"/>
        <rFont val="Arial"/>
        <family val="2"/>
      </rPr>
      <t>FY2015</t>
    </r>
    <r>
      <rPr>
        <sz val="11"/>
        <rFont val="Arial"/>
        <family val="2"/>
      </rPr>
      <t xml:space="preserve"> as an example, in </t>
    </r>
    <r>
      <rPr>
        <b/>
        <sz val="11"/>
        <rFont val="Arial"/>
        <family val="2"/>
      </rPr>
      <t>Cell B158</t>
    </r>
    <r>
      <rPr>
        <sz val="11"/>
        <rFont val="Arial"/>
        <family val="2"/>
      </rPr>
      <t xml:space="preserve"> enter the number of students budgeted to be enrolled in a CPS facility. In </t>
    </r>
    <r>
      <rPr>
        <b/>
        <sz val="11"/>
        <rFont val="Arial"/>
        <family val="2"/>
      </rPr>
      <t>Cell B159</t>
    </r>
    <r>
      <rPr>
        <sz val="11"/>
        <rFont val="Arial"/>
        <family val="2"/>
      </rPr>
      <t xml:space="preserve"> enter the total number of students budgeted to be enrolled in a </t>
    </r>
    <r>
      <rPr>
        <b/>
        <i/>
        <sz val="11"/>
        <rFont val="Arial"/>
        <family val="2"/>
      </rPr>
      <t>non</t>
    </r>
    <r>
      <rPr>
        <sz val="11"/>
        <rFont val="Arial"/>
        <family val="2"/>
      </rPr>
      <t xml:space="preserve">-CPS facility, The total in </t>
    </r>
    <r>
      <rPr>
        <b/>
        <sz val="11"/>
        <rFont val="Arial"/>
        <family val="2"/>
      </rPr>
      <t>Cell B160</t>
    </r>
    <r>
      <rPr>
        <sz val="11"/>
        <rFont val="Arial"/>
        <family val="2"/>
      </rPr>
      <t xml:space="preserve"> should equal the total enrollment in </t>
    </r>
    <r>
      <rPr>
        <b/>
        <sz val="11"/>
        <rFont val="Arial"/>
        <family val="2"/>
      </rPr>
      <t>Cell B155</t>
    </r>
    <r>
      <rPr>
        <sz val="11"/>
        <rFont val="Arial"/>
        <family val="2"/>
      </rPr>
      <t xml:space="preserve">. </t>
    </r>
    <r>
      <rPr>
        <b/>
        <sz val="11"/>
        <rFont val="Arial"/>
        <family val="2"/>
      </rPr>
      <t>Cell B159</t>
    </r>
    <r>
      <rPr>
        <sz val="11"/>
        <rFont val="Arial"/>
        <family val="2"/>
      </rPr>
      <t xml:space="preserve"> populates </t>
    </r>
    <r>
      <rPr>
        <b/>
        <sz val="11"/>
        <rFont val="Arial"/>
        <family val="2"/>
      </rPr>
      <t>Cell B167</t>
    </r>
    <r>
      <rPr>
        <sz val="11"/>
        <rFont val="Arial"/>
        <family val="2"/>
      </rPr>
      <t xml:space="preserve">. </t>
    </r>
    <r>
      <rPr>
        <b/>
        <sz val="11"/>
        <rFont val="Arial"/>
        <family val="2"/>
      </rPr>
      <t>Cell B169</t>
    </r>
    <r>
      <rPr>
        <sz val="11"/>
        <rFont val="Arial"/>
        <family val="2"/>
      </rPr>
      <t xml:space="preserve"> will calculate the Non-CPS Facility Supplemental Revenue, and it populates </t>
    </r>
    <r>
      <rPr>
        <b/>
        <sz val="11"/>
        <rFont val="Arial"/>
        <family val="2"/>
      </rPr>
      <t>Cell F13</t>
    </r>
    <r>
      <rPr>
        <sz val="11"/>
        <rFont val="Arial"/>
        <family val="2"/>
      </rPr>
      <t xml:space="preserve"> of the Detailed Budget.</t>
    </r>
  </si>
  <si>
    <r>
      <t xml:space="preserve">In the template, you can also budget for contractual (non-employee) for the same SPED positions. For contractual SPED services (reimbursable under CPS's policy and limited to the same positions highlighted in blue in the "Personnel" worksheet), using </t>
    </r>
    <r>
      <rPr>
        <b/>
        <sz val="11"/>
        <rFont val="Arial"/>
        <family val="2"/>
      </rPr>
      <t>FY2015</t>
    </r>
    <r>
      <rPr>
        <sz val="11"/>
        <rFont val="Arial"/>
        <family val="2"/>
      </rPr>
      <t xml:space="preserve"> as an example, enter the amount in </t>
    </r>
    <r>
      <rPr>
        <b/>
        <sz val="11"/>
        <rFont val="Arial"/>
        <family val="2"/>
      </rPr>
      <t>Cell F44</t>
    </r>
    <r>
      <rPr>
        <sz val="11"/>
        <rFont val="Arial"/>
        <family val="2"/>
      </rPr>
      <t xml:space="preserve"> of the</t>
    </r>
    <r>
      <rPr>
        <b/>
        <sz val="11"/>
        <rFont val="Arial"/>
        <family val="2"/>
      </rPr>
      <t xml:space="preserve"> Detailed Budget</t>
    </r>
    <r>
      <rPr>
        <sz val="11"/>
        <rFont val="Arial"/>
        <family val="2"/>
      </rPr>
      <t xml:space="preserve">. The amount from </t>
    </r>
    <r>
      <rPr>
        <b/>
        <sz val="11"/>
        <rFont val="Arial"/>
        <family val="2"/>
      </rPr>
      <t>Cell F44</t>
    </r>
    <r>
      <rPr>
        <sz val="11"/>
        <rFont val="Arial"/>
        <family val="2"/>
      </rPr>
      <t xml:space="preserve"> will populate the "Per Capita and &amp; SPED" worksheet in </t>
    </r>
    <r>
      <rPr>
        <b/>
        <sz val="11"/>
        <rFont val="Arial"/>
        <family val="2"/>
      </rPr>
      <t>Cells C225 and C234</t>
    </r>
    <r>
      <rPr>
        <sz val="11"/>
        <rFont val="Arial"/>
        <family val="2"/>
      </rPr>
      <t xml:space="preserve">.                                                                                                                                                                                                                                            </t>
    </r>
  </si>
  <si>
    <r>
      <t xml:space="preserve">The total for the SPED reimbursement is calculated in </t>
    </r>
    <r>
      <rPr>
        <b/>
        <sz val="11"/>
        <rFont val="Arial"/>
        <family val="2"/>
      </rPr>
      <t>Cell C235</t>
    </r>
    <r>
      <rPr>
        <sz val="11"/>
        <rFont val="Arial"/>
        <family val="2"/>
      </rPr>
      <t xml:space="preserve">, and populates the Detailed Budget in </t>
    </r>
    <r>
      <rPr>
        <b/>
        <sz val="11"/>
        <rFont val="Arial"/>
        <family val="2"/>
      </rPr>
      <t>Cell F14.</t>
    </r>
    <r>
      <rPr>
        <sz val="11"/>
        <rFont val="Arial"/>
        <family val="2"/>
      </rPr>
      <t xml:space="preserve"> </t>
    </r>
    <r>
      <rPr>
        <i/>
        <sz val="11"/>
        <rFont val="Arial"/>
        <family val="2"/>
      </rPr>
      <t>If you budgeted for contractual SPED positions, please put a detailed explanation in the Budget Assumptions worksheet</t>
    </r>
    <r>
      <rPr>
        <sz val="11"/>
        <rFont val="Arial"/>
        <family val="2"/>
      </rPr>
      <t>.</t>
    </r>
  </si>
  <si>
    <r>
      <rPr>
        <b/>
        <sz val="11"/>
        <rFont val="Arial"/>
        <family val="2"/>
      </rPr>
      <t xml:space="preserve">Expansion Funding (Rows 6-43) </t>
    </r>
    <r>
      <rPr>
        <sz val="11"/>
        <rFont val="Arial"/>
        <family val="2"/>
      </rPr>
      <t>-</t>
    </r>
    <r>
      <rPr>
        <b/>
        <sz val="11"/>
        <rFont val="Arial"/>
        <family val="2"/>
      </rPr>
      <t xml:space="preserve">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Cells C22-C30</t>
    </r>
    <r>
      <rPr>
        <sz val="11"/>
        <rFont val="Arial"/>
        <family val="2"/>
      </rPr>
      <t xml:space="preserve">, enter your </t>
    </r>
    <r>
      <rPr>
        <b/>
        <sz val="11"/>
        <rFont val="Arial"/>
        <family val="2"/>
      </rPr>
      <t>FY 2014</t>
    </r>
    <r>
      <rPr>
        <sz val="11"/>
        <rFont val="Arial"/>
        <family val="2"/>
      </rPr>
      <t xml:space="preserve"> projected enrollment for </t>
    </r>
    <r>
      <rPr>
        <b/>
        <sz val="11"/>
        <rFont val="Arial"/>
        <family val="2"/>
      </rPr>
      <t>Grades K-8</t>
    </r>
    <r>
      <rPr>
        <sz val="11"/>
        <rFont val="Arial"/>
        <family val="2"/>
      </rPr>
      <t xml:space="preserve">. In </t>
    </r>
    <r>
      <rPr>
        <b/>
        <sz val="11"/>
        <rFont val="Arial"/>
        <family val="2"/>
      </rPr>
      <t>Cells C36-C39</t>
    </r>
    <r>
      <rPr>
        <sz val="11"/>
        <rFont val="Arial"/>
        <family val="2"/>
      </rPr>
      <t xml:space="preserve">, enter your </t>
    </r>
    <r>
      <rPr>
        <b/>
        <sz val="11"/>
        <rFont val="Arial"/>
        <family val="2"/>
      </rPr>
      <t>FY2014</t>
    </r>
    <r>
      <rPr>
        <sz val="11"/>
        <rFont val="Arial"/>
        <family val="2"/>
      </rPr>
      <t xml:space="preserve"> projected enrollment for </t>
    </r>
    <r>
      <rPr>
        <b/>
        <sz val="11"/>
        <rFont val="Arial"/>
        <family val="2"/>
      </rPr>
      <t>Grades 9-12</t>
    </r>
    <r>
      <rPr>
        <sz val="11"/>
        <rFont val="Arial"/>
        <family val="2"/>
      </rPr>
      <t xml:space="preserve">. In </t>
    </r>
    <r>
      <rPr>
        <b/>
        <sz val="11"/>
        <rFont val="Arial"/>
        <family val="2"/>
      </rPr>
      <t>Row 32</t>
    </r>
    <r>
      <rPr>
        <sz val="11"/>
        <rFont val="Arial"/>
        <family val="2"/>
      </rPr>
      <t xml:space="preserve"> (</t>
    </r>
    <r>
      <rPr>
        <b/>
        <sz val="11"/>
        <rFont val="Arial"/>
        <family val="2"/>
      </rPr>
      <t>Columns D-H</t>
    </r>
    <r>
      <rPr>
        <sz val="11"/>
        <rFont val="Arial"/>
        <family val="2"/>
      </rPr>
      <t>),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for each fiscal year. In </t>
    </r>
    <r>
      <rPr>
        <b/>
        <sz val="11"/>
        <rFont val="Arial"/>
        <family val="2"/>
      </rPr>
      <t>Row 41</t>
    </r>
    <r>
      <rPr>
        <sz val="11"/>
        <rFont val="Arial"/>
        <family val="2"/>
      </rPr>
      <t>, enter "</t>
    </r>
    <r>
      <rPr>
        <b/>
        <sz val="11"/>
        <rFont val="Arial"/>
        <family val="2"/>
      </rPr>
      <t>Yes</t>
    </r>
    <r>
      <rPr>
        <sz val="11"/>
        <rFont val="Arial"/>
        <family val="2"/>
      </rPr>
      <t>" or "</t>
    </r>
    <r>
      <rPr>
        <b/>
        <sz val="11"/>
        <rFont val="Arial"/>
        <family val="2"/>
      </rPr>
      <t>No</t>
    </r>
    <r>
      <rPr>
        <sz val="11"/>
        <rFont val="Arial"/>
        <family val="2"/>
      </rPr>
      <t xml:space="preserve">" if you are adding a </t>
    </r>
    <r>
      <rPr>
        <b/>
        <sz val="11"/>
        <rFont val="Arial"/>
        <family val="2"/>
      </rPr>
      <t>high school</t>
    </r>
    <r>
      <rPr>
        <sz val="11"/>
        <rFont val="Arial"/>
        <family val="2"/>
      </rPr>
      <t xml:space="preserve"> grade(s) for each fiscal year.</t>
    </r>
  </si>
  <si>
    <r>
      <t xml:space="preserve">Forecasted/Actual Results (Column B) </t>
    </r>
    <r>
      <rPr>
        <sz val="11"/>
        <rFont val="Arial"/>
        <family val="2"/>
      </rPr>
      <t xml:space="preserve">- Enter the actual or forecasted results for your school/campus as of </t>
    </r>
    <r>
      <rPr>
        <b/>
        <sz val="11"/>
        <rFont val="Arial"/>
        <family val="2"/>
      </rPr>
      <t>June 30, 2013</t>
    </r>
    <r>
      <rPr>
        <sz val="11"/>
        <rFont val="Arial"/>
        <family val="2"/>
      </rPr>
      <t xml:space="preserve">. Please note that this was also requested for your </t>
    </r>
    <r>
      <rPr>
        <b/>
        <sz val="11"/>
        <rFont val="Arial"/>
        <family val="2"/>
      </rPr>
      <t>FY2014</t>
    </r>
    <r>
      <rPr>
        <sz val="11"/>
        <rFont val="Arial"/>
        <family val="2"/>
      </rPr>
      <t xml:space="preserve"> Budget.</t>
    </r>
  </si>
  <si>
    <r>
      <rPr>
        <b/>
        <sz val="11"/>
        <rFont val="Arial"/>
        <family val="2"/>
      </rPr>
      <t>FY2014 Budget (Column D)</t>
    </r>
    <r>
      <rPr>
        <sz val="11"/>
        <rFont val="Arial"/>
        <family val="2"/>
      </rPr>
      <t xml:space="preserve"> - Enter the amounts from your </t>
    </r>
    <r>
      <rPr>
        <b/>
        <i/>
        <sz val="11"/>
        <rFont val="Arial"/>
        <family val="2"/>
      </rPr>
      <t>FY 2014 Budget Template</t>
    </r>
    <r>
      <rPr>
        <sz val="11"/>
        <rFont val="Arial"/>
        <family val="2"/>
      </rPr>
      <t xml:space="preserve"> (due July 26, 2013).</t>
    </r>
  </si>
  <si>
    <r>
      <t xml:space="preserve">Five-Year Budget-2015-2019 (Columns F, H, J, L, and N) - Please note the following:                                                       </t>
    </r>
    <r>
      <rPr>
        <sz val="11"/>
        <rFont val="Arial"/>
        <family val="2"/>
      </rPr>
      <t xml:space="preserve">a) Some of the cells in the Detailed Budget will automatically populate from the other worksheets or from within the spreadsheet. These cells are highlighted in </t>
    </r>
    <r>
      <rPr>
        <sz val="11"/>
        <color indexed="56"/>
        <rFont val="Arial"/>
        <family val="2"/>
      </rPr>
      <t>blue</t>
    </r>
    <r>
      <rPr>
        <sz val="11"/>
        <rFont val="Arial"/>
        <family val="2"/>
      </rPr>
      <t xml:space="preserve">, and you cannot enter data into them.                                                                                                                                                                                                                                        b) For the revenue and expense cells that are </t>
    </r>
    <r>
      <rPr>
        <b/>
        <i/>
        <sz val="11"/>
        <rFont val="Arial"/>
        <family val="2"/>
      </rPr>
      <t>not</t>
    </r>
    <r>
      <rPr>
        <sz val="11"/>
        <rFont val="Arial"/>
        <family val="2"/>
      </rPr>
      <t xml:space="preserve"> populated, enter the budgeted amounts for each year. Please put in the Budget Assumptions worksheet, the basis for the amounts. Please be as detailed as possible.                                                                                                              c) Adjustments to Cash Flow (</t>
    </r>
    <r>
      <rPr>
        <b/>
        <sz val="11"/>
        <rFont val="Arial"/>
        <family val="2"/>
      </rPr>
      <t>Rows 134-137 and Rows 141-144)</t>
    </r>
    <r>
      <rPr>
        <sz val="11"/>
        <rFont val="Arial"/>
        <family val="2"/>
      </rPr>
      <t xml:space="preserve"> - The depreciation (</t>
    </r>
    <r>
      <rPr>
        <b/>
        <sz val="11"/>
        <rFont val="Arial"/>
        <family val="2"/>
      </rPr>
      <t>Row 134</t>
    </r>
    <r>
      <rPr>
        <sz val="11"/>
        <rFont val="Arial"/>
        <family val="2"/>
      </rPr>
      <t>) will populate from the Detailed Budget (</t>
    </r>
    <r>
      <rPr>
        <b/>
        <sz val="11"/>
        <rFont val="Arial"/>
        <family val="2"/>
      </rPr>
      <t>Row 115</t>
    </r>
    <r>
      <rPr>
        <sz val="11"/>
        <rFont val="Arial"/>
        <family val="2"/>
      </rPr>
      <t xml:space="preserve">) and the fixed asset additions </t>
    </r>
    <r>
      <rPr>
        <b/>
        <sz val="11"/>
        <rFont val="Arial"/>
        <family val="2"/>
      </rPr>
      <t>(Row 142</t>
    </r>
    <r>
      <rPr>
        <sz val="11"/>
        <rFont val="Arial"/>
        <family val="2"/>
      </rPr>
      <t>) will populate from the Capital Budget worksheet (</t>
    </r>
    <r>
      <rPr>
        <b/>
        <sz val="11"/>
        <rFont val="Arial"/>
        <family val="2"/>
      </rPr>
      <t>Row 20</t>
    </r>
    <r>
      <rPr>
        <sz val="11"/>
        <rFont val="Arial"/>
        <family val="2"/>
      </rPr>
      <t xml:space="preserve">) . If you are budgeting any loan borrowings or payments please enter in the appropriate cells. For all other adjustments to estimate cash flow, please enter a description next to "Other".                                                                                                                                      The Detailed Budget Worksheet is similar to the </t>
    </r>
    <r>
      <rPr>
        <b/>
        <i/>
        <sz val="11"/>
        <rFont val="Arial"/>
        <family val="2"/>
      </rPr>
      <t>FY2014 Budget Template</t>
    </r>
    <r>
      <rPr>
        <sz val="11"/>
        <rFont val="Arial"/>
        <family val="2"/>
      </rPr>
      <t>.</t>
    </r>
  </si>
  <si>
    <t>Please use this spreadsheet to show any supporting calculations for your budgeted numbers. Also, please show how the fringe benefit % was calculated for the SPED reimbursements.</t>
  </si>
  <si>
    <r>
      <t xml:space="preserve">The Budget is for </t>
    </r>
    <r>
      <rPr>
        <b/>
        <i/>
        <sz val="11"/>
        <rFont val="Arial"/>
        <family val="2"/>
      </rPr>
      <t>fiscal years 2015-2019</t>
    </r>
    <r>
      <rPr>
        <sz val="11"/>
        <rFont val="Arial"/>
        <family val="2"/>
      </rPr>
      <t xml:space="preserve">,and should be prepared on an accrual basis; however, there are adjustments to the budgeted surplus/(deficit) to estimate your school's cash flow. For </t>
    </r>
    <r>
      <rPr>
        <b/>
        <i/>
        <sz val="11"/>
        <rFont val="Arial"/>
        <family val="2"/>
      </rPr>
      <t>fiscal year 2014</t>
    </r>
    <r>
      <rPr>
        <sz val="11"/>
        <rFont val="Arial"/>
        <family val="2"/>
      </rPr>
      <t>, please enter the amounts from your school's FY2014 budget template that was due to ONS on July 26, 2013.</t>
    </r>
  </si>
  <si>
    <r>
      <rPr>
        <b/>
        <sz val="12"/>
        <rFont val="Arial"/>
        <family val="2"/>
      </rPr>
      <t>Section 2:</t>
    </r>
    <r>
      <rPr>
        <b/>
        <sz val="11"/>
        <rFont val="Arial"/>
        <family val="2"/>
      </rPr>
      <t xml:space="preserve">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not change the job titles in this table; they will automatically match the job titles in the Number of Employees table.</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</si>
  <si>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</si>
  <si>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t>
    </r>
    <r>
      <rPr>
        <b/>
        <sz val="11"/>
        <rFont val="Arial"/>
        <family val="2"/>
      </rPr>
      <t>Row 187 and Row 188</t>
    </r>
    <r>
      <rPr>
        <sz val="11"/>
        <rFont val="Arial"/>
        <family val="2"/>
      </rPr>
      <t xml:space="preserve">), and populates </t>
    </r>
    <r>
      <rPr>
        <b/>
        <sz val="11"/>
        <rFont val="Arial"/>
        <family val="2"/>
      </rPr>
      <t>Row 58</t>
    </r>
    <r>
      <rPr>
        <sz val="11"/>
        <rFont val="Arial"/>
        <family val="2"/>
      </rPr>
      <t xml:space="preserve"> of the Detailed Budget.</t>
    </r>
  </si>
  <si>
    <r>
      <rPr>
        <b/>
        <sz val="11"/>
        <rFont val="Arial"/>
        <family val="2"/>
      </rPr>
      <t>Title1 Revenue (Rows 14-17)</t>
    </r>
    <r>
      <rPr>
        <sz val="11"/>
        <rFont val="Arial"/>
        <family val="2"/>
      </rPr>
      <t xml:space="preserve"> - Please enter your estimates for the number of students that are eligible for Title 1 funding for each fiscal year in </t>
    </r>
    <r>
      <rPr>
        <b/>
        <sz val="11"/>
        <rFont val="Arial"/>
        <family val="2"/>
      </rPr>
      <t>Row 15</t>
    </r>
    <r>
      <rPr>
        <sz val="11"/>
        <rFont val="Arial"/>
        <family val="2"/>
      </rPr>
      <t xml:space="preserve">. The estimated rate(s) per Title 1 eligible student will be forwarded to you after the receipt of the </t>
    </r>
    <r>
      <rPr>
        <b/>
        <i/>
        <sz val="11"/>
        <rFont val="Arial"/>
        <family val="2"/>
      </rPr>
      <t>Letter of Intent</t>
    </r>
    <r>
      <rPr>
        <sz val="11"/>
        <rFont val="Arial"/>
        <family val="2"/>
      </rPr>
      <t xml:space="preserve">. Please use these rate(s) in </t>
    </r>
    <r>
      <rPr>
        <b/>
        <sz val="11"/>
        <rFont val="Arial"/>
        <family val="2"/>
      </rPr>
      <t>Row 16</t>
    </r>
    <r>
      <rPr>
        <sz val="11"/>
        <rFont val="Arial"/>
        <family val="2"/>
      </rPr>
      <t xml:space="preserve">. The Title 1 revenue is calculated in </t>
    </r>
    <r>
      <rPr>
        <b/>
        <sz val="11"/>
        <rFont val="Arial"/>
        <family val="2"/>
      </rPr>
      <t>Row 17</t>
    </r>
    <r>
      <rPr>
        <sz val="11"/>
        <rFont val="Arial"/>
        <family val="2"/>
      </rPr>
      <t xml:space="preserve"> and populates the Detailed Budget in </t>
    </r>
    <r>
      <rPr>
        <b/>
        <sz val="11"/>
        <rFont val="Arial"/>
        <family val="2"/>
      </rPr>
      <t>Row 16</t>
    </r>
    <r>
      <rPr>
        <sz val="11"/>
        <rFont val="Arial"/>
        <family val="2"/>
      </rPr>
      <t xml:space="preserve">. </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</si>
  <si>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$90,000 average for SPED teachers (</t>
    </r>
    <r>
      <rPr>
        <b/>
        <sz val="11"/>
        <rFont val="Arial"/>
        <family val="2"/>
      </rPr>
      <t>salaries and fringes)</t>
    </r>
    <r>
      <rPr>
        <sz val="11"/>
        <rFont val="Arial"/>
        <family val="2"/>
      </rPr>
      <t xml:space="preserve">                                                                                                             b) $40,0000 average for SPED teacher aides (</t>
    </r>
    <r>
      <rPr>
        <b/>
        <sz val="11"/>
        <rFont val="Arial"/>
        <family val="2"/>
      </rPr>
      <t>salaries and fringes)</t>
    </r>
    <r>
      <rPr>
        <sz val="11"/>
        <rFont val="Arial"/>
        <family val="2"/>
      </rPr>
      <t xml:space="preserve">                                                                                                                     c) $90,000 average for clinicians (</t>
    </r>
    <r>
      <rPr>
        <b/>
        <sz val="11"/>
        <rFont val="Arial"/>
        <family val="2"/>
      </rPr>
      <t>salaries and fringes)</t>
    </r>
    <r>
      <rPr>
        <sz val="11"/>
        <rFont val="Arial"/>
        <family val="2"/>
      </rPr>
      <t xml:space="preserve">                                                                                                                             Total compensation for a SPED teacher or clinician can be as high as $110,000; however, the average for of all the clinicians and SPED teachers cannot exceed the aforementioned $90,000 average. For a SPED teacher aide, it is $53,000 and $40,000 respectively.                                                                                                     </t>
    </r>
    <r>
      <rPr>
        <b/>
        <sz val="11"/>
        <rFont val="Arial"/>
        <family val="2"/>
      </rPr>
      <t xml:space="preserve">                                                                                              </t>
    </r>
  </si>
  <si>
    <r>
      <t xml:space="preserve">3) </t>
    </r>
    <r>
      <rPr>
        <b/>
        <sz val="11"/>
        <rFont val="Arial"/>
        <family val="2"/>
      </rPr>
      <t>6-8</t>
    </r>
    <r>
      <rPr>
        <sz val="11"/>
        <rFont val="Arial"/>
        <family val="2"/>
      </rPr>
      <t xml:space="preserve"> (</t>
    </r>
    <r>
      <rPr>
        <b/>
        <i/>
        <sz val="11"/>
        <rFont val="Arial"/>
        <family val="2"/>
      </rPr>
      <t xml:space="preserve">Note: </t>
    </r>
    <r>
      <rPr>
        <i/>
        <sz val="11"/>
        <rFont val="Arial"/>
        <family val="2"/>
      </rPr>
      <t>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 For fiscal year 2015, the SBB and Non-SBB rates for grades 6-8 are 1.16 times the SBB and Non-SBB rates for grades 4-8, and for fiscal year 2016, they are 1.08 times the rates for grades 4-8.)</t>
    </r>
  </si>
  <si>
    <t>Yearly Percentage Increase in Salaries-Please enter in Cells: E62, G62, I62, K62, and M62</t>
  </si>
  <si>
    <t>SGSA, NCLB, ELL, etc.</t>
  </si>
  <si>
    <r>
      <t xml:space="preserve">In </t>
    </r>
    <r>
      <rPr>
        <b/>
        <sz val="11"/>
        <rFont val="Arial"/>
        <family val="2"/>
      </rPr>
      <t>Row</t>
    </r>
    <r>
      <rPr>
        <sz val="11"/>
        <rFont val="Arial"/>
        <family val="2"/>
      </rPr>
      <t xml:space="preserve"> 7 (EL) and </t>
    </r>
    <r>
      <rPr>
        <b/>
        <sz val="11"/>
        <rFont val="Arial"/>
        <family val="2"/>
      </rPr>
      <t>Row 12</t>
    </r>
    <r>
      <rPr>
        <sz val="11"/>
        <rFont val="Arial"/>
        <family val="2"/>
      </rPr>
      <t xml:space="preserve"> (HS), the increase in enrollment is calculated. For the fiscal years noted in </t>
    </r>
    <r>
      <rPr>
        <b/>
        <sz val="11"/>
        <rFont val="Arial"/>
        <family val="2"/>
      </rPr>
      <t>Columns D-H</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8 and 13</t>
    </r>
    <r>
      <rPr>
        <sz val="11"/>
        <rFont val="Arial"/>
        <family val="2"/>
      </rPr>
      <t xml:space="preserve"> are the estimated rates per student for elementary and high school respectively. In </t>
    </r>
    <r>
      <rPr>
        <b/>
        <sz val="11"/>
        <rFont val="Arial"/>
        <family val="2"/>
      </rPr>
      <t>Row 9</t>
    </r>
    <r>
      <rPr>
        <sz val="11"/>
        <rFont val="Arial"/>
        <family val="2"/>
      </rPr>
      <t xml:space="preserve"> and </t>
    </r>
    <r>
      <rPr>
        <b/>
        <sz val="11"/>
        <rFont val="Arial"/>
        <family val="2"/>
      </rPr>
      <t>Row 14</t>
    </r>
    <r>
      <rPr>
        <sz val="11"/>
        <rFont val="Arial"/>
        <family val="2"/>
      </rPr>
      <t xml:space="preserve">, the Expansion revenues are calculated by multiplying the expansion enrollment times the rate per pupil. </t>
    </r>
    <r>
      <rPr>
        <b/>
        <sz val="11"/>
        <rFont val="Arial"/>
        <family val="2"/>
      </rPr>
      <t>Row 16</t>
    </r>
    <r>
      <rPr>
        <sz val="11"/>
        <rFont val="Arial"/>
        <family val="2"/>
      </rPr>
      <t xml:space="preserve"> totals the Expansion revenue for elementary and high schools (</t>
    </r>
    <r>
      <rPr>
        <b/>
        <sz val="11"/>
        <rFont val="Arial"/>
        <family val="2"/>
      </rPr>
      <t>Rows 9 and 14</t>
    </r>
    <r>
      <rPr>
        <sz val="11"/>
        <rFont val="Arial"/>
        <family val="2"/>
      </rPr>
      <t xml:space="preserve">), and the total populates </t>
    </r>
    <r>
      <rPr>
        <b/>
        <sz val="11"/>
        <rFont val="Arial"/>
        <family val="2"/>
      </rPr>
      <t>Row 19</t>
    </r>
    <r>
      <rPr>
        <sz val="11"/>
        <rFont val="Arial"/>
        <family val="2"/>
      </rPr>
      <t xml:space="preserve"> of the Detailed Budget.</t>
    </r>
  </si>
  <si>
    <t>RFP Budget Instructions for Charter Schools that are Proposing Grade Expansion</t>
  </si>
  <si>
    <r>
      <t xml:space="preserve">This budget template is for </t>
    </r>
    <r>
      <rPr>
        <b/>
        <i/>
        <sz val="12"/>
        <rFont val="Arial"/>
        <family val="2"/>
      </rPr>
      <t>Charter Schools</t>
    </r>
    <r>
      <rPr>
        <sz val="12"/>
        <rFont val="Arial"/>
        <family val="2"/>
      </rPr>
      <t xml:space="preserve"> that are </t>
    </r>
    <r>
      <rPr>
        <b/>
        <i/>
        <sz val="12"/>
        <rFont val="Arial"/>
        <family val="2"/>
      </rPr>
      <t>proposing grade expansion</t>
    </r>
    <r>
      <rPr>
        <sz val="12"/>
        <rFont val="Arial"/>
        <family val="2"/>
      </rPr>
      <t>.</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</si>
  <si>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val="single"/>
        <sz val="11"/>
        <rFont val="Arial"/>
        <family val="2"/>
      </rPr>
      <t>darker</t>
    </r>
    <r>
      <rPr>
        <b/>
        <i/>
        <sz val="11"/>
        <rFont val="Arial"/>
        <family val="2"/>
      </rPr>
      <t xml:space="preserve"> blue. These are for the reimbursable SPED positions that are based on your Special Education students' IEPs. The number of SPED positions and salaries will populate the "Revenues-Per Capita and SPED" worksheet to calculate the estimated reimbursable amounts. </t>
    </r>
  </si>
  <si>
    <t>Low Voltage Wiring</t>
  </si>
  <si>
    <t>Technology</t>
  </si>
  <si>
    <t>Subs</t>
  </si>
  <si>
    <t>Other - Student Activities</t>
  </si>
  <si>
    <t>Other- Mettings/Travel</t>
  </si>
  <si>
    <t>Other-Bank/Payroll Fees</t>
  </si>
  <si>
    <t>Facil Supp based on CPS rate and all others based on figures supplied in budget template.</t>
  </si>
  <si>
    <t>Based on figures in budget template and CPS stated rates.</t>
  </si>
  <si>
    <t>Taffy Apple and World's Finest, based on historical average and applied to High School.</t>
  </si>
  <si>
    <t>75% collection rate for students Fees.  Student Activity and After School Fees make up the bulk.</t>
  </si>
  <si>
    <t>Estimate based Money Market rate of return.</t>
  </si>
  <si>
    <t>Based on historical average and school's needs, as well as what is planned in Grant Budgets and based on the addition of High School grades.</t>
  </si>
  <si>
    <t>All benefits calculated per estimated rates and salaries.</t>
  </si>
  <si>
    <t>Based on historical average as well as contract costs.</t>
  </si>
  <si>
    <t>Lease payments made to Archdiocese.  School pays for maintenance and utilities.</t>
  </si>
  <si>
    <t>Based on estimated costs from actual for the Elementary school.</t>
  </si>
  <si>
    <t>7% AQS, 5% AHS</t>
  </si>
  <si>
    <t>There is no need for mitigation as the budgets are always prepared to be at least break even.  However, if additonal funds were needed to balance the budget or pay for an unexpected cost, Passages Elementary School has a Reserve Fund that can be used.  Also, the charter holder AHS or the EMO AQS would be able to provide temporary assistance when needed for cash flow.</t>
  </si>
  <si>
    <t>Teachers from 9-12th Grade, including Sped, ELL and Specials.</t>
  </si>
  <si>
    <t>Principal is paid from the Elementary school budget, which is why there is no positon in this budget.  The Dean is included to cover the High School grades.</t>
  </si>
  <si>
    <t>Based on CPS High School rates in this budget template.</t>
  </si>
  <si>
    <t>Social Worker/Counselor, Administration and Tech Staff.  There is also a budget to pay for Teacher Subs.  Additional Security and Shared staff to be paid out of Elementary school budget.</t>
  </si>
  <si>
    <t>Passages Charter School - High School Campus</t>
  </si>
  <si>
    <t>Other-Afterschool</t>
  </si>
  <si>
    <t>Other-SS Reimb and Misc.</t>
  </si>
  <si>
    <t>Other- Computers and Equipment</t>
  </si>
  <si>
    <t>All calculations are included in the worksheets.</t>
  </si>
  <si>
    <t>Once the school is at max enrollment, some costs are estimated to increase by 3% annually.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</si>
</sst>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0.0"/>
    <numFmt numFmtId="172" formatCode="##."/>
    <numFmt numFmtId="173" formatCode="0_);\(0\)"/>
    <numFmt numFmtId="174" formatCode="&quot;$&quot;#,##0.0"/>
  </numFmts>
  <fonts count="6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2"/>
      <name val="Arial"/>
      <family val="2"/>
    </font>
    <font>
      <b/>
      <sz val="16"/>
      <name val="Arial"/>
      <family val="2"/>
    </font>
    <font>
      <sz val="11"/>
      <name val="Arial"/>
      <family val="2"/>
    </font>
    <font>
      <i/>
      <sz val="12"/>
      <name val="Arial"/>
      <family val="2"/>
    </font>
    <font>
      <b/>
      <sz val="12"/>
      <color indexed="9"/>
      <name val="Arial"/>
      <family val="2"/>
    </font>
    <font>
      <u val="single"/>
      <sz val="12"/>
      <name val="Arial"/>
      <family val="2"/>
    </font>
    <font>
      <b/>
      <sz val="18"/>
      <name val="Verdana"/>
      <family val="2"/>
    </font>
    <font>
      <sz val="18"/>
      <name val="Verdana"/>
      <family val="2"/>
    </font>
    <font>
      <u val="single"/>
      <sz val="18"/>
      <name val="Verdana"/>
      <family val="2"/>
    </font>
    <font>
      <b/>
      <i/>
      <sz val="12"/>
      <name val="Arial"/>
      <family val="2"/>
    </font>
    <font>
      <b/>
      <sz val="11"/>
      <name val="Arial"/>
      <family val="2"/>
    </font>
    <font>
      <b/>
      <sz val="10"/>
      <name val="Arial"/>
      <family val="2"/>
    </font>
    <font>
      <b/>
      <sz val="14"/>
      <name val="Arial"/>
      <family val="2"/>
    </font>
    <font>
      <sz val="18"/>
      <name val="Arial"/>
      <family val="2"/>
    </font>
    <font>
      <b/>
      <i/>
      <sz val="14"/>
      <name val="Arial"/>
      <family val="2"/>
    </font>
    <font>
      <b/>
      <u val="single"/>
      <sz val="16"/>
      <name val="Verdana"/>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sz val="16"/>
      <name val="Verdana"/>
      <family val="2"/>
    </font>
    <font>
      <sz val="9"/>
      <color indexed="8"/>
      <name val="Arial"/>
      <family val="2"/>
    </font>
    <font>
      <b/>
      <sz val="9"/>
      <color indexed="8"/>
      <name val="Arial"/>
      <family val="2"/>
    </font>
    <font>
      <b/>
      <u val="single"/>
      <sz val="9"/>
      <color indexed="8"/>
      <name val="Arial"/>
      <family val="2"/>
    </font>
    <font>
      <b/>
      <i/>
      <sz val="9"/>
      <color indexed="8"/>
      <name val="Arial"/>
      <family val="2"/>
    </font>
    <font>
      <sz val="9"/>
      <color indexed="10"/>
      <name val="Arial"/>
      <family val="2"/>
    </font>
    <font>
      <b/>
      <u val="single"/>
      <sz val="9"/>
      <name val="Arial"/>
      <family val="2"/>
    </font>
    <font>
      <b/>
      <sz val="11"/>
      <color indexed="8"/>
      <name val="Arial"/>
      <family val="2"/>
    </font>
    <font>
      <i/>
      <sz val="9"/>
      <color indexed="8"/>
      <name val="Arial"/>
      <family val="2"/>
    </font>
    <font>
      <sz val="10"/>
      <color indexed="55"/>
      <name val="Arial"/>
      <family val="2"/>
    </font>
    <font>
      <sz val="10"/>
      <color indexed="10"/>
      <name val="Arial"/>
      <family val="2"/>
    </font>
    <font>
      <b/>
      <i/>
      <sz val="11"/>
      <name val="Arial"/>
      <family val="2"/>
    </font>
    <font>
      <b/>
      <i/>
      <sz val="10"/>
      <name val="Arial"/>
      <family val="2"/>
    </font>
    <font>
      <b/>
      <u val="single"/>
      <sz val="11"/>
      <name val="Arial"/>
      <family val="2"/>
    </font>
    <font>
      <i/>
      <sz val="10"/>
      <name val="Arial"/>
      <family val="2"/>
    </font>
    <font>
      <i/>
      <sz val="11"/>
      <name val="Arial"/>
      <family val="2"/>
    </font>
    <font>
      <sz val="11"/>
      <color indexed="56"/>
      <name val="Arial"/>
      <family val="2"/>
    </font>
    <font>
      <b/>
      <i/>
      <u val="single"/>
      <sz val="11"/>
      <name val="Arial"/>
      <family val="2"/>
    </font>
    <font>
      <b/>
      <i/>
      <sz val="11"/>
      <color indexed="30"/>
      <name val="Arial"/>
      <family val="2"/>
    </font>
    <font>
      <sz val="11"/>
      <color theme="1"/>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indexed="8"/>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right/>
      <top style="thin"/>
      <bottom style="thin"/>
    </border>
    <border>
      <left style="thin"/>
      <right/>
      <top/>
      <bottom style="thin"/>
    </border>
    <border>
      <left style="thin"/>
      <right/>
      <top style="thin"/>
      <bottom style="thin"/>
    </border>
    <border>
      <left style="thin"/>
      <right/>
      <top style="thin"/>
      <botto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right style="thin"/>
      <top style="thin"/>
      <bottom style="thin"/>
    </border>
    <border>
      <left/>
      <right style="thin"/>
      <top style="thin"/>
      <bottom/>
    </border>
    <border>
      <left/>
      <right style="thin"/>
      <top/>
      <bottom style="thin"/>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bottom style="thin"/>
    </border>
    <border>
      <left style="medium"/>
      <right style="thin"/>
      <top style="thin"/>
      <bottom/>
    </border>
    <border>
      <left style="medium"/>
      <right style="thin"/>
      <top style="thin"/>
      <bottom style="thin"/>
    </border>
    <border>
      <left style="medium"/>
      <right>
        <color indexed="63"/>
      </right>
      <top>
        <color indexed="63"/>
      </top>
      <bottom>
        <color indexed="63"/>
      </bottom>
    </border>
    <border>
      <left/>
      <right/>
      <top/>
      <bottom style="medium"/>
    </border>
    <border>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right/>
      <top style="thin"/>
      <bottom/>
    </border>
    <border>
      <left style="thin"/>
      <right style="medium"/>
      <top style="thin"/>
      <bottom style="medium"/>
    </border>
    <border>
      <left/>
      <right style="thin"/>
      <top/>
      <bottom/>
    </border>
    <border>
      <left/>
      <right style="thin"/>
      <top style="thin"/>
      <bottom style="medium"/>
    </border>
    <border>
      <left/>
      <right style="thin"/>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right/>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81">
    <xf numFmtId="0" fontId="0" fillId="0" borderId="0" xfId="0" applyAlignment="1">
      <alignment/>
    </xf>
    <xf numFmtId="0" fontId="21" fillId="0" borderId="0" xfId="0" applyFont="1" applyBorder="1" applyAlignment="1">
      <alignment horizontal="center"/>
    </xf>
    <xf numFmtId="0" fontId="23" fillId="0" borderId="0" xfId="0" applyFont="1" applyAlignment="1">
      <alignment horizontal="center" vertical="center"/>
    </xf>
    <xf numFmtId="0" fontId="24" fillId="0" borderId="0" xfId="0" applyFont="1" applyAlignment="1">
      <alignment/>
    </xf>
    <xf numFmtId="0" fontId="22" fillId="0" borderId="0" xfId="0" applyFont="1" applyBorder="1" applyAlignment="1">
      <alignment/>
    </xf>
    <xf numFmtId="0" fontId="22" fillId="0" borderId="0" xfId="0" applyFont="1" applyAlignment="1">
      <alignment/>
    </xf>
    <xf numFmtId="0" fontId="25" fillId="0" borderId="0" xfId="0" applyFont="1" applyBorder="1" applyAlignment="1">
      <alignment horizontal="left" vertical="top" wrapText="1"/>
    </xf>
    <xf numFmtId="0" fontId="27" fillId="0" borderId="0" xfId="0" applyFont="1" applyBorder="1" applyAlignment="1">
      <alignment horizontal="center"/>
    </xf>
    <xf numFmtId="0" fontId="21" fillId="0" borderId="0" xfId="0" applyFont="1" applyBorder="1" applyAlignment="1">
      <alignment horizontal="center" wrapText="1"/>
    </xf>
    <xf numFmtId="0" fontId="22" fillId="0" borderId="0" xfId="0" applyFont="1" applyAlignment="1">
      <alignment horizontal="right"/>
    </xf>
    <xf numFmtId="0" fontId="22" fillId="0" borderId="0" xfId="0" applyFont="1" applyBorder="1" applyAlignment="1">
      <alignment/>
    </xf>
    <xf numFmtId="0" fontId="29" fillId="0" borderId="0" xfId="0" applyFont="1" applyAlignment="1">
      <alignment/>
    </xf>
    <xf numFmtId="0" fontId="30" fillId="0" borderId="0" xfId="0" applyFont="1" applyAlignment="1">
      <alignment horizontal="center"/>
    </xf>
    <xf numFmtId="0" fontId="0" fillId="24" borderId="10" xfId="0" applyFont="1" applyFill="1" applyBorder="1" applyAlignment="1">
      <alignment horizontal="left" vertical="center" wrapText="1" indent="1"/>
    </xf>
    <xf numFmtId="0" fontId="22" fillId="24" borderId="10" xfId="0" applyFont="1" applyFill="1" applyBorder="1" applyAlignment="1">
      <alignment/>
    </xf>
    <xf numFmtId="0" fontId="34" fillId="0" borderId="0" xfId="0" applyFont="1" applyAlignment="1">
      <alignment/>
    </xf>
    <xf numFmtId="0" fontId="21" fillId="0" borderId="0" xfId="0" applyFont="1" applyAlignment="1">
      <alignment/>
    </xf>
    <xf numFmtId="0" fontId="34" fillId="0" borderId="0" xfId="0" applyFont="1" applyAlignment="1" applyProtection="1">
      <alignment/>
      <protection/>
    </xf>
    <xf numFmtId="0" fontId="36" fillId="0" borderId="0" xfId="0" applyFont="1" applyBorder="1" applyAlignment="1">
      <alignment horizontal="center"/>
    </xf>
    <xf numFmtId="0" fontId="0" fillId="0" borderId="0" xfId="0" applyAlignment="1" applyProtection="1">
      <alignment/>
      <protection locked="0"/>
    </xf>
    <xf numFmtId="0" fontId="37" fillId="0" borderId="0" xfId="0" applyFont="1" applyAlignment="1" applyProtection="1">
      <alignment horizontal="center"/>
      <protection locked="0"/>
    </xf>
    <xf numFmtId="5" fontId="38" fillId="0" borderId="10" xfId="0" applyNumberFormat="1" applyFont="1" applyBorder="1" applyAlignment="1" applyProtection="1">
      <alignment horizontal="right"/>
      <protection locked="0"/>
    </xf>
    <xf numFmtId="5" fontId="38" fillId="0" borderId="0" xfId="0" applyNumberFormat="1" applyFont="1" applyAlignment="1" applyProtection="1">
      <alignment horizontal="right"/>
      <protection locked="0"/>
    </xf>
    <xf numFmtId="5" fontId="38" fillId="0" borderId="0" xfId="0" applyNumberFormat="1" applyFont="1" applyAlignment="1" applyProtection="1">
      <alignment horizontal="left"/>
      <protection locked="0"/>
    </xf>
    <xf numFmtId="5" fontId="38" fillId="0" borderId="0" xfId="0" applyNumberFormat="1" applyFont="1" applyAlignment="1">
      <alignment horizontal="right"/>
    </xf>
    <xf numFmtId="5" fontId="38" fillId="0" borderId="0" xfId="0" applyNumberFormat="1" applyFont="1" applyAlignment="1" applyProtection="1">
      <alignment horizontal="right"/>
      <protection/>
    </xf>
    <xf numFmtId="5" fontId="38" fillId="0" borderId="0" xfId="0" applyNumberFormat="1" applyFont="1" applyAlignment="1" applyProtection="1">
      <alignment horizontal="left"/>
      <protection/>
    </xf>
    <xf numFmtId="5" fontId="38" fillId="0" borderId="0" xfId="0" applyNumberFormat="1" applyFont="1" applyAlignment="1">
      <alignment horizontal="left"/>
    </xf>
    <xf numFmtId="0" fontId="38" fillId="0" borderId="0" xfId="0" applyFont="1" applyAlignment="1">
      <alignment/>
    </xf>
    <xf numFmtId="0" fontId="33" fillId="0" borderId="0" xfId="0" applyFont="1" applyAlignment="1">
      <alignment horizontal="center"/>
    </xf>
    <xf numFmtId="0" fontId="33" fillId="0" borderId="0" xfId="0" applyFont="1" applyBorder="1" applyAlignment="1" applyProtection="1">
      <alignment/>
      <protection/>
    </xf>
    <xf numFmtId="0" fontId="33" fillId="0" borderId="0" xfId="0" applyFont="1" applyBorder="1" applyAlignment="1">
      <alignment/>
    </xf>
    <xf numFmtId="0" fontId="0" fillId="0" borderId="0" xfId="0" applyFont="1" applyAlignment="1">
      <alignment/>
    </xf>
    <xf numFmtId="5" fontId="0" fillId="0" borderId="0" xfId="0" applyNumberFormat="1" applyBorder="1" applyAlignment="1" applyProtection="1">
      <alignment/>
      <protection locked="0"/>
    </xf>
    <xf numFmtId="5" fontId="0" fillId="0" borderId="0" xfId="0" applyNumberFormat="1" applyBorder="1" applyAlignment="1">
      <alignment/>
    </xf>
    <xf numFmtId="5" fontId="0" fillId="0" borderId="0" xfId="0" applyNumberFormat="1" applyBorder="1" applyAlignment="1" applyProtection="1">
      <alignment/>
      <protection/>
    </xf>
    <xf numFmtId="0" fontId="33" fillId="0" borderId="0" xfId="0" applyFont="1" applyAlignment="1" quotePrefix="1">
      <alignment horizontal="center"/>
    </xf>
    <xf numFmtId="0" fontId="33" fillId="0" borderId="0" xfId="0" applyFont="1" applyAlignment="1" applyProtection="1">
      <alignment/>
      <protection locked="0"/>
    </xf>
    <xf numFmtId="5" fontId="0" fillId="0" borderId="10" xfId="0" applyNumberFormat="1" applyBorder="1" applyAlignment="1" applyProtection="1">
      <alignment/>
      <protection locked="0"/>
    </xf>
    <xf numFmtId="5" fontId="0" fillId="0" borderId="0" xfId="0" applyNumberFormat="1" applyAlignment="1">
      <alignment/>
    </xf>
    <xf numFmtId="5" fontId="0" fillId="0" borderId="0" xfId="0" applyNumberFormat="1" applyAlignment="1" applyProtection="1">
      <alignment/>
      <protection locked="0"/>
    </xf>
    <xf numFmtId="5" fontId="0" fillId="0" borderId="0" xfId="0" applyNumberFormat="1" applyAlignment="1" applyProtection="1">
      <alignment/>
      <protection/>
    </xf>
    <xf numFmtId="164" fontId="28" fillId="0" borderId="0" xfId="0" applyNumberFormat="1" applyFont="1" applyFill="1" applyBorder="1" applyAlignment="1" applyProtection="1">
      <alignment horizontal="left" indent="2"/>
      <protection locked="0"/>
    </xf>
    <xf numFmtId="14" fontId="29" fillId="0" borderId="0" xfId="0" applyNumberFormat="1" applyFont="1" applyFill="1" applyBorder="1" applyAlignment="1" applyProtection="1">
      <alignment horizontal="left" indent="2"/>
      <protection locked="0"/>
    </xf>
    <xf numFmtId="0" fontId="33" fillId="0" borderId="0" xfId="0" applyFont="1" applyAlignment="1">
      <alignment/>
    </xf>
    <xf numFmtId="0" fontId="33" fillId="0" borderId="11" xfId="0" applyFont="1" applyBorder="1" applyAlignment="1">
      <alignment/>
    </xf>
    <xf numFmtId="0" fontId="36" fillId="0" borderId="0" xfId="0" applyFont="1" applyAlignment="1">
      <alignment/>
    </xf>
    <xf numFmtId="0" fontId="40" fillId="0" borderId="0" xfId="0" applyFont="1" applyFill="1" applyBorder="1" applyAlignment="1" applyProtection="1">
      <alignment horizontal="left" indent="2"/>
      <protection locked="0"/>
    </xf>
    <xf numFmtId="0" fontId="39" fillId="0" borderId="0" xfId="0" applyFont="1" applyFill="1" applyBorder="1" applyAlignment="1">
      <alignment horizontal="left" indent="2"/>
    </xf>
    <xf numFmtId="0" fontId="22" fillId="0" borderId="0" xfId="0" applyFont="1" applyAlignment="1">
      <alignment/>
    </xf>
    <xf numFmtId="0" fontId="40" fillId="0" borderId="0" xfId="0" applyNumberFormat="1" applyFont="1" applyFill="1" applyBorder="1" applyAlignment="1" applyProtection="1">
      <alignment horizontal="left" indent="2"/>
      <protection locked="0"/>
    </xf>
    <xf numFmtId="14" fontId="39" fillId="0" borderId="0" xfId="0" applyNumberFormat="1" applyFont="1" applyFill="1" applyBorder="1" applyAlignment="1">
      <alignment horizontal="left" indent="2"/>
    </xf>
    <xf numFmtId="14" fontId="39" fillId="0" borderId="0" xfId="0" applyNumberFormat="1" applyFont="1" applyFill="1" applyBorder="1" applyAlignment="1" applyProtection="1">
      <alignment horizontal="left" indent="2"/>
      <protection locked="0"/>
    </xf>
    <xf numFmtId="0" fontId="22" fillId="0" borderId="0" xfId="0" applyFont="1" applyAlignment="1" applyProtection="1">
      <alignment/>
      <protection locked="0"/>
    </xf>
    <xf numFmtId="0" fontId="35" fillId="0" borderId="0" xfId="0" applyFont="1" applyAlignment="1" applyProtection="1">
      <alignment/>
      <protection locked="0"/>
    </xf>
    <xf numFmtId="0" fontId="38" fillId="0" borderId="0" xfId="0" applyFont="1" applyAlignment="1">
      <alignment horizontal="left" indent="1"/>
    </xf>
    <xf numFmtId="165" fontId="38" fillId="0" borderId="10" xfId="0" applyNumberFormat="1" applyFont="1" applyBorder="1" applyAlignment="1" applyProtection="1">
      <alignment horizontal="right"/>
      <protection locked="0"/>
    </xf>
    <xf numFmtId="165" fontId="38" fillId="0" borderId="0" xfId="0" applyNumberFormat="1" applyFont="1" applyAlignment="1">
      <alignment horizontal="left" indent="1"/>
    </xf>
    <xf numFmtId="165" fontId="38" fillId="0" borderId="0" xfId="0" applyNumberFormat="1" applyFont="1" applyAlignment="1" applyProtection="1">
      <alignment horizontal="right"/>
      <protection locked="0"/>
    </xf>
    <xf numFmtId="165" fontId="38" fillId="0" borderId="0" xfId="0" applyNumberFormat="1" applyFont="1" applyAlignment="1" applyProtection="1">
      <alignment horizontal="left"/>
      <protection locked="0"/>
    </xf>
    <xf numFmtId="0" fontId="38" fillId="0" borderId="0" xfId="0" applyFont="1" applyAlignment="1" applyProtection="1">
      <alignment horizontal="left" indent="1"/>
      <protection locked="0"/>
    </xf>
    <xf numFmtId="165" fontId="38" fillId="0" borderId="0" xfId="0" applyNumberFormat="1" applyFont="1" applyAlignment="1" applyProtection="1">
      <alignment horizontal="left" indent="1"/>
      <protection locked="0"/>
    </xf>
    <xf numFmtId="165" fontId="38" fillId="0" borderId="0" xfId="0" applyNumberFormat="1" applyFont="1" applyBorder="1" applyAlignment="1" applyProtection="1">
      <alignment horizontal="right"/>
      <protection locked="0"/>
    </xf>
    <xf numFmtId="165" fontId="38" fillId="0" borderId="0" xfId="0" applyNumberFormat="1" applyFont="1" applyAlignment="1">
      <alignment horizontal="left"/>
    </xf>
    <xf numFmtId="165" fontId="38" fillId="0" borderId="0" xfId="0" applyNumberFormat="1" applyFont="1" applyAlignment="1">
      <alignment horizontal="right"/>
    </xf>
    <xf numFmtId="165" fontId="38" fillId="0" borderId="0" xfId="0" applyNumberFormat="1" applyFont="1" applyAlignment="1">
      <alignment/>
    </xf>
    <xf numFmtId="165" fontId="41" fillId="0" borderId="0" xfId="0" applyNumberFormat="1" applyFont="1" applyAlignment="1">
      <alignment horizontal="left" indent="1"/>
    </xf>
    <xf numFmtId="165" fontId="38" fillId="0" borderId="0" xfId="0" applyNumberFormat="1" applyFont="1" applyAlignment="1" applyProtection="1">
      <alignment/>
      <protection locked="0"/>
    </xf>
    <xf numFmtId="0" fontId="38" fillId="0" borderId="0" xfId="0" applyFont="1" applyAlignment="1" applyProtection="1">
      <alignment/>
      <protection locked="0"/>
    </xf>
    <xf numFmtId="0" fontId="41" fillId="0" borderId="0" xfId="0" applyFont="1" applyAlignment="1" applyProtection="1">
      <alignment/>
      <protection locked="0"/>
    </xf>
    <xf numFmtId="165" fontId="42" fillId="0" borderId="0" xfId="0" applyNumberFormat="1" applyFont="1" applyAlignment="1">
      <alignment horizontal="center"/>
    </xf>
    <xf numFmtId="165" fontId="38" fillId="0" borderId="0" xfId="59" applyNumberFormat="1" applyFont="1" applyAlignment="1">
      <alignment horizontal="right"/>
      <protection/>
    </xf>
    <xf numFmtId="165" fontId="41" fillId="0" borderId="0" xfId="59" applyNumberFormat="1" applyFont="1" applyAlignment="1">
      <alignment horizontal="left" indent="1"/>
      <protection/>
    </xf>
    <xf numFmtId="165" fontId="38" fillId="0" borderId="0" xfId="59" applyNumberFormat="1" applyFont="1" applyAlignment="1">
      <alignment horizontal="left"/>
      <protection/>
    </xf>
    <xf numFmtId="0" fontId="43" fillId="0" borderId="0" xfId="59" applyFont="1" applyAlignment="1">
      <alignment horizontal="left" indent="2"/>
      <protection/>
    </xf>
    <xf numFmtId="165" fontId="38" fillId="0" borderId="10" xfId="59" applyNumberFormat="1" applyFont="1" applyBorder="1" applyAlignment="1" applyProtection="1">
      <alignment horizontal="right"/>
      <protection locked="0"/>
    </xf>
    <xf numFmtId="165" fontId="43" fillId="0" borderId="0" xfId="59" applyNumberFormat="1" applyFont="1" applyAlignment="1">
      <alignment horizontal="left" indent="2"/>
      <protection/>
    </xf>
    <xf numFmtId="165" fontId="38" fillId="0" borderId="0" xfId="59" applyNumberFormat="1" applyFont="1" applyAlignment="1" applyProtection="1">
      <alignment horizontal="left"/>
      <protection locked="0"/>
    </xf>
    <xf numFmtId="165" fontId="38" fillId="0" borderId="0" xfId="59" applyNumberFormat="1" applyFont="1" applyAlignment="1" applyProtection="1">
      <alignment horizontal="right"/>
      <protection locked="0"/>
    </xf>
    <xf numFmtId="0" fontId="43" fillId="0" borderId="0" xfId="59" applyFont="1" applyAlignment="1" applyProtection="1">
      <alignment horizontal="left" indent="2"/>
      <protection locked="0"/>
    </xf>
    <xf numFmtId="165" fontId="43" fillId="0" borderId="0" xfId="59" applyNumberFormat="1" applyFont="1" applyAlignment="1" applyProtection="1">
      <alignment horizontal="left" indent="2"/>
      <protection locked="0"/>
    </xf>
    <xf numFmtId="165" fontId="38" fillId="0" borderId="0" xfId="59" applyNumberFormat="1" applyFont="1" applyBorder="1" applyAlignment="1">
      <alignment horizontal="right"/>
      <protection/>
    </xf>
    <xf numFmtId="165" fontId="38" fillId="0" borderId="0" xfId="0" applyNumberFormat="1" applyFont="1" applyBorder="1" applyAlignment="1">
      <alignment/>
    </xf>
    <xf numFmtId="0" fontId="38" fillId="0" borderId="0" xfId="59" applyFont="1" applyAlignment="1" applyProtection="1">
      <alignment horizontal="left" indent="1"/>
      <protection locked="0"/>
    </xf>
    <xf numFmtId="165" fontId="38" fillId="0" borderId="0" xfId="59" applyNumberFormat="1" applyFont="1" applyAlignment="1" applyProtection="1">
      <alignment horizontal="left" indent="1"/>
      <protection locked="0"/>
    </xf>
    <xf numFmtId="0" fontId="38" fillId="0" borderId="0" xfId="59" applyFont="1" applyAlignment="1" applyProtection="1">
      <alignment horizontal="left" indent="2"/>
      <protection locked="0"/>
    </xf>
    <xf numFmtId="165" fontId="38" fillId="0" borderId="10" xfId="0" applyNumberFormat="1" applyFont="1" applyBorder="1" applyAlignment="1" applyProtection="1">
      <alignment/>
      <protection locked="0"/>
    </xf>
    <xf numFmtId="165" fontId="38" fillId="0" borderId="0" xfId="59" applyNumberFormat="1" applyFont="1" applyAlignment="1" applyProtection="1">
      <alignment horizontal="left" indent="2"/>
      <protection locked="0"/>
    </xf>
    <xf numFmtId="0" fontId="41" fillId="0" borderId="0" xfId="59" applyFont="1" applyAlignment="1" applyProtection="1">
      <alignment horizontal="left" indent="1"/>
      <protection locked="0"/>
    </xf>
    <xf numFmtId="165" fontId="38" fillId="0" borderId="0" xfId="59" applyNumberFormat="1" applyFont="1" applyBorder="1" applyAlignment="1" applyProtection="1">
      <alignment horizontal="right"/>
      <protection locked="0"/>
    </xf>
    <xf numFmtId="165" fontId="41" fillId="0" borderId="0" xfId="59" applyNumberFormat="1" applyFont="1" applyAlignment="1" applyProtection="1">
      <alignment horizontal="left" indent="1"/>
      <protection locked="0"/>
    </xf>
    <xf numFmtId="165" fontId="38" fillId="0" borderId="0" xfId="0" applyNumberFormat="1" applyFont="1" applyBorder="1" applyAlignment="1" applyProtection="1">
      <alignment/>
      <protection locked="0"/>
    </xf>
    <xf numFmtId="0" fontId="38" fillId="0" borderId="0" xfId="59" applyFont="1" applyBorder="1" applyAlignment="1" applyProtection="1">
      <alignment horizontal="left" indent="1"/>
      <protection locked="0"/>
    </xf>
    <xf numFmtId="165" fontId="38" fillId="0" borderId="0" xfId="59" applyNumberFormat="1" applyFont="1" applyBorder="1" applyAlignment="1" applyProtection="1">
      <alignment horizontal="left" indent="1"/>
      <protection locked="0"/>
    </xf>
    <xf numFmtId="165" fontId="38" fillId="0" borderId="0" xfId="59" applyNumberFormat="1" applyFont="1" applyBorder="1" applyAlignment="1" applyProtection="1">
      <alignment horizontal="left"/>
      <protection locked="0"/>
    </xf>
    <xf numFmtId="0" fontId="38" fillId="0" borderId="0" xfId="0" applyFont="1" applyBorder="1" applyAlignment="1" applyProtection="1">
      <alignment/>
      <protection locked="0"/>
    </xf>
    <xf numFmtId="0" fontId="38" fillId="0" borderId="0" xfId="0" applyFont="1" applyBorder="1" applyAlignment="1" applyProtection="1">
      <alignment horizontal="left" indent="1"/>
      <protection locked="0"/>
    </xf>
    <xf numFmtId="165" fontId="38" fillId="0" borderId="0" xfId="0" applyNumberFormat="1" applyFont="1" applyBorder="1" applyAlignment="1" applyProtection="1">
      <alignment horizontal="left" indent="1"/>
      <protection locked="0"/>
    </xf>
    <xf numFmtId="165" fontId="38" fillId="0" borderId="0" xfId="0" applyNumberFormat="1" applyFont="1" applyBorder="1" applyAlignment="1" applyProtection="1">
      <alignment horizontal="left"/>
      <protection locked="0"/>
    </xf>
    <xf numFmtId="165" fontId="41" fillId="0" borderId="0" xfId="0" applyNumberFormat="1" applyFont="1" applyBorder="1" applyAlignment="1">
      <alignment horizontal="left" indent="1"/>
    </xf>
    <xf numFmtId="165" fontId="38" fillId="0" borderId="0" xfId="0" applyNumberFormat="1" applyFont="1" applyBorder="1" applyAlignment="1">
      <alignment horizontal="left"/>
    </xf>
    <xf numFmtId="0" fontId="38" fillId="0" borderId="0" xfId="0" applyFont="1" applyBorder="1" applyAlignment="1">
      <alignment/>
    </xf>
    <xf numFmtId="165" fontId="38" fillId="0" borderId="0" xfId="0" applyNumberFormat="1" applyFont="1" applyBorder="1" applyAlignment="1">
      <alignment horizontal="left" indent="1"/>
    </xf>
    <xf numFmtId="165" fontId="38" fillId="0" borderId="0" xfId="59" applyNumberFormat="1" applyFont="1" applyFill="1" applyBorder="1" applyAlignment="1">
      <alignment horizontal="right"/>
      <protection/>
    </xf>
    <xf numFmtId="165" fontId="41" fillId="0" borderId="0" xfId="59" applyNumberFormat="1" applyFont="1" applyBorder="1" applyAlignment="1" applyProtection="1">
      <alignment horizontal="right"/>
      <protection locked="0"/>
    </xf>
    <xf numFmtId="5" fontId="38" fillId="0" borderId="0" xfId="0" applyNumberFormat="1" applyFont="1" applyBorder="1" applyAlignment="1">
      <alignment horizontal="right"/>
    </xf>
    <xf numFmtId="0" fontId="41" fillId="0" borderId="0" xfId="0" applyFont="1" applyBorder="1" applyAlignment="1">
      <alignment/>
    </xf>
    <xf numFmtId="165" fontId="41" fillId="0" borderId="0" xfId="0" applyNumberFormat="1" applyFont="1" applyBorder="1" applyAlignment="1">
      <alignment/>
    </xf>
    <xf numFmtId="165" fontId="38" fillId="0" borderId="10" xfId="0" applyNumberFormat="1" applyFont="1" applyBorder="1" applyAlignment="1" applyProtection="1">
      <alignment/>
      <protection/>
    </xf>
    <xf numFmtId="165" fontId="38" fillId="0" borderId="12" xfId="0" applyNumberFormat="1" applyFont="1" applyBorder="1" applyAlignment="1" applyProtection="1">
      <alignment/>
      <protection locked="0"/>
    </xf>
    <xf numFmtId="165" fontId="38" fillId="0" borderId="12" xfId="0" applyNumberFormat="1" applyFont="1" applyBorder="1" applyAlignment="1">
      <alignment/>
    </xf>
    <xf numFmtId="165" fontId="38" fillId="0" borderId="13" xfId="0" applyNumberFormat="1" applyFont="1" applyBorder="1" applyAlignment="1" applyProtection="1">
      <alignment/>
      <protection locked="0"/>
    </xf>
    <xf numFmtId="0" fontId="41" fillId="0" borderId="0" xfId="0" applyFont="1" applyAlignment="1">
      <alignment/>
    </xf>
    <xf numFmtId="165" fontId="41" fillId="0" borderId="0" xfId="0" applyNumberFormat="1" applyFont="1" applyAlignment="1">
      <alignment/>
    </xf>
    <xf numFmtId="165" fontId="41" fillId="0" borderId="0" xfId="0" applyNumberFormat="1" applyFont="1" applyAlignment="1" applyProtection="1">
      <alignment/>
      <protection locked="0"/>
    </xf>
    <xf numFmtId="0" fontId="41" fillId="0" borderId="0" xfId="0" applyFont="1" applyAlignment="1" applyProtection="1">
      <alignment/>
      <protection/>
    </xf>
    <xf numFmtId="165" fontId="41" fillId="0" borderId="0" xfId="0" applyNumberFormat="1" applyFont="1" applyAlignment="1" applyProtection="1">
      <alignment/>
      <protection/>
    </xf>
    <xf numFmtId="165" fontId="38" fillId="0" borderId="0" xfId="0" applyNumberFormat="1" applyFont="1" applyAlignment="1" applyProtection="1">
      <alignment/>
      <protection/>
    </xf>
    <xf numFmtId="0" fontId="38" fillId="0" borderId="0" xfId="0" applyFont="1" applyAlignment="1" applyProtection="1">
      <alignment/>
      <protection/>
    </xf>
    <xf numFmtId="165" fontId="41" fillId="0" borderId="0" xfId="0" applyNumberFormat="1" applyFont="1" applyBorder="1" applyAlignment="1" applyProtection="1">
      <alignment/>
      <protection locked="0"/>
    </xf>
    <xf numFmtId="5" fontId="41" fillId="0" borderId="0" xfId="0" applyNumberFormat="1" applyFont="1" applyBorder="1" applyAlignment="1" applyProtection="1">
      <alignment/>
      <protection locked="0"/>
    </xf>
    <xf numFmtId="0" fontId="46" fillId="0" borderId="0" xfId="0" applyFont="1" applyAlignment="1">
      <alignment/>
    </xf>
    <xf numFmtId="0" fontId="46"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33" fillId="0" borderId="0" xfId="0" applyFont="1" applyFill="1" applyAlignment="1" applyProtection="1">
      <alignment/>
      <protection locked="0"/>
    </xf>
    <xf numFmtId="0" fontId="33"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33" fillId="0" borderId="0" xfId="0" applyFont="1" applyFill="1" applyBorder="1" applyAlignment="1" applyProtection="1">
      <alignment/>
      <protection locked="0"/>
    </xf>
    <xf numFmtId="0" fontId="33" fillId="0" borderId="10" xfId="0" applyFont="1" applyFill="1" applyBorder="1" applyAlignment="1" applyProtection="1">
      <alignment/>
      <protection/>
    </xf>
    <xf numFmtId="10" fontId="33"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33" fillId="0" borderId="14" xfId="0" applyFont="1" applyBorder="1" applyAlignment="1">
      <alignment horizontal="center"/>
    </xf>
    <xf numFmtId="0" fontId="33" fillId="0" borderId="0" xfId="0" applyFont="1" applyBorder="1" applyAlignment="1">
      <alignment horizontal="center"/>
    </xf>
    <xf numFmtId="5" fontId="33" fillId="0" borderId="0" xfId="0" applyNumberFormat="1" applyFont="1" applyBorder="1" applyAlignment="1">
      <alignment/>
    </xf>
    <xf numFmtId="0" fontId="0" fillId="0" borderId="10" xfId="0" applyBorder="1" applyAlignment="1">
      <alignment/>
    </xf>
    <xf numFmtId="5" fontId="0" fillId="0" borderId="10" xfId="0" applyNumberFormat="1" applyBorder="1" applyAlignment="1">
      <alignment/>
    </xf>
    <xf numFmtId="5" fontId="0" fillId="0" borderId="13" xfId="0" applyNumberFormat="1" applyBorder="1" applyAlignment="1">
      <alignment/>
    </xf>
    <xf numFmtId="5" fontId="33" fillId="0" borderId="14" xfId="0" applyNumberFormat="1" applyFont="1" applyBorder="1" applyAlignment="1">
      <alignment/>
    </xf>
    <xf numFmtId="0" fontId="0" fillId="25" borderId="0" xfId="0" applyFill="1" applyAlignment="1">
      <alignment/>
    </xf>
    <xf numFmtId="0" fontId="21" fillId="25" borderId="0" xfId="0" applyFont="1" applyFill="1" applyAlignment="1" applyProtection="1">
      <alignment horizontal="left"/>
      <protection/>
    </xf>
    <xf numFmtId="0" fontId="21" fillId="25" borderId="0" xfId="0" applyFont="1" applyFill="1" applyAlignment="1" applyProtection="1">
      <alignment/>
      <protection/>
    </xf>
    <xf numFmtId="0" fontId="0" fillId="0" borderId="10" xfId="0" applyNumberFormat="1" applyBorder="1" applyAlignment="1">
      <alignment/>
    </xf>
    <xf numFmtId="0" fontId="0" fillId="25" borderId="0" xfId="0" applyFill="1" applyAlignment="1">
      <alignment wrapText="1"/>
    </xf>
    <xf numFmtId="0" fontId="48" fillId="25" borderId="14" xfId="0" applyFont="1" applyFill="1" applyBorder="1" applyAlignment="1">
      <alignment vertical="top" wrapText="1"/>
    </xf>
    <xf numFmtId="0" fontId="0" fillId="25" borderId="14" xfId="0" applyFill="1" applyBorder="1" applyAlignment="1">
      <alignment/>
    </xf>
    <xf numFmtId="0" fontId="48" fillId="25" borderId="0" xfId="0" applyFont="1" applyFill="1" applyBorder="1" applyAlignment="1" applyProtection="1">
      <alignment vertical="top" wrapText="1"/>
      <protection/>
    </xf>
    <xf numFmtId="0" fontId="48" fillId="25" borderId="0" xfId="0" applyFont="1" applyFill="1" applyBorder="1" applyAlignment="1">
      <alignment vertical="top" wrapText="1"/>
    </xf>
    <xf numFmtId="0" fontId="0" fillId="25" borderId="0" xfId="0" applyFill="1" applyBorder="1" applyAlignment="1">
      <alignment wrapText="1"/>
    </xf>
    <xf numFmtId="0" fontId="0" fillId="25" borderId="0" xfId="0" applyFill="1" applyBorder="1" applyAlignment="1">
      <alignment/>
    </xf>
    <xf numFmtId="0" fontId="0" fillId="25" borderId="0" xfId="0" applyFill="1" applyBorder="1" applyAlignment="1">
      <alignment vertical="top" wrapText="1"/>
    </xf>
    <xf numFmtId="0" fontId="0" fillId="8" borderId="15" xfId="0" applyFill="1" applyBorder="1" applyAlignment="1">
      <alignment/>
    </xf>
    <xf numFmtId="0" fontId="57" fillId="8" borderId="15" xfId="0" applyFont="1" applyFill="1" applyBorder="1" applyAlignment="1">
      <alignment/>
    </xf>
    <xf numFmtId="0" fontId="0" fillId="8" borderId="15" xfId="0" applyFill="1" applyBorder="1" applyAlignment="1">
      <alignment wrapText="1"/>
    </xf>
    <xf numFmtId="0" fontId="0" fillId="8" borderId="16" xfId="0" applyFill="1" applyBorder="1" applyAlignment="1">
      <alignment/>
    </xf>
    <xf numFmtId="0" fontId="33" fillId="25" borderId="0" xfId="0" applyFont="1" applyFill="1" applyAlignment="1">
      <alignment/>
    </xf>
    <xf numFmtId="0" fontId="0" fillId="25" borderId="15" xfId="0" applyFill="1" applyBorder="1" applyAlignment="1">
      <alignment/>
    </xf>
    <xf numFmtId="0" fontId="0" fillId="8" borderId="0" xfId="0" applyFill="1" applyAlignment="1">
      <alignment/>
    </xf>
    <xf numFmtId="0" fontId="0" fillId="8" borderId="15" xfId="0" applyFont="1" applyFill="1" applyBorder="1" applyAlignment="1">
      <alignment/>
    </xf>
    <xf numFmtId="0" fontId="48" fillId="25" borderId="14" xfId="0" applyFont="1" applyFill="1" applyBorder="1" applyAlignment="1" applyProtection="1">
      <alignment vertical="top" wrapText="1"/>
      <protection/>
    </xf>
    <xf numFmtId="0" fontId="0" fillId="25" borderId="14" xfId="0" applyFill="1" applyBorder="1" applyAlignment="1" applyProtection="1">
      <alignment wrapText="1"/>
      <protection locked="0"/>
    </xf>
    <xf numFmtId="0" fontId="0" fillId="25" borderId="14" xfId="0" applyFont="1" applyFill="1" applyBorder="1" applyAlignment="1" applyProtection="1">
      <alignment wrapText="1"/>
      <protection locked="0"/>
    </xf>
    <xf numFmtId="0" fontId="0" fillId="25" borderId="14" xfId="0" applyFill="1" applyBorder="1" applyAlignment="1" applyProtection="1">
      <alignment vertical="top" wrapText="1"/>
      <protection locked="0"/>
    </xf>
    <xf numFmtId="0" fontId="0" fillId="25" borderId="14" xfId="0" applyFont="1" applyFill="1" applyBorder="1" applyAlignment="1" applyProtection="1">
      <alignment vertical="top" wrapText="1"/>
      <protection locked="0"/>
    </xf>
    <xf numFmtId="0" fontId="0" fillId="25" borderId="0" xfId="0" applyFill="1" applyBorder="1" applyAlignment="1" applyProtection="1">
      <alignment/>
      <protection locked="0"/>
    </xf>
    <xf numFmtId="0" fontId="0" fillId="25" borderId="0" xfId="0" applyFill="1" applyAlignment="1" applyProtection="1">
      <alignment wrapText="1"/>
      <protection locked="0"/>
    </xf>
    <xf numFmtId="0" fontId="48" fillId="25" borderId="0" xfId="0" applyFont="1" applyFill="1" applyBorder="1" applyAlignment="1" applyProtection="1">
      <alignment vertical="top" wrapText="1"/>
      <protection locked="0"/>
    </xf>
    <xf numFmtId="0" fontId="0" fillId="25" borderId="0" xfId="0" applyFill="1" applyBorder="1" applyAlignment="1" applyProtection="1">
      <alignment wrapText="1"/>
      <protection locked="0"/>
    </xf>
    <xf numFmtId="0" fontId="0" fillId="25" borderId="0" xfId="0" applyFill="1" applyBorder="1" applyAlignment="1" applyProtection="1">
      <alignment vertical="top" wrapText="1"/>
      <protection locked="0"/>
    </xf>
    <xf numFmtId="0" fontId="0" fillId="0" borderId="14" xfId="0" applyBorder="1" applyAlignment="1">
      <alignment/>
    </xf>
    <xf numFmtId="0" fontId="0" fillId="0" borderId="0" xfId="0" applyBorder="1" applyAlignment="1">
      <alignment wrapText="1"/>
    </xf>
    <xf numFmtId="0" fontId="0" fillId="0" borderId="0" xfId="0" applyBorder="1" applyAlignment="1">
      <alignment/>
    </xf>
    <xf numFmtId="0" fontId="24"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33" fillId="0" borderId="17" xfId="0" applyFont="1" applyBorder="1" applyAlignment="1">
      <alignment horizontal="center"/>
    </xf>
    <xf numFmtId="167" fontId="0" fillId="25" borderId="10" xfId="42" applyNumberFormat="1" applyFont="1" applyFill="1" applyBorder="1" applyAlignment="1" applyProtection="1">
      <alignment/>
      <protection locked="0"/>
    </xf>
    <xf numFmtId="167" fontId="0" fillId="25" borderId="13" xfId="42" applyNumberFormat="1" applyFont="1" applyFill="1" applyBorder="1" applyAlignment="1" applyProtection="1">
      <alignment/>
      <protection locked="0"/>
    </xf>
    <xf numFmtId="37" fontId="0" fillId="0" borderId="10" xfId="0" applyNumberFormat="1" applyBorder="1" applyAlignment="1" applyProtection="1">
      <alignment/>
      <protection locked="0"/>
    </xf>
    <xf numFmtId="5" fontId="0" fillId="0" borderId="13" xfId="0" applyNumberFormat="1" applyBorder="1" applyAlignment="1" applyProtection="1">
      <alignment/>
      <protection locked="0"/>
    </xf>
    <xf numFmtId="0" fontId="0" fillId="0" borderId="0" xfId="0" applyBorder="1" applyAlignment="1" applyProtection="1">
      <alignment/>
      <protection locked="0"/>
    </xf>
    <xf numFmtId="165" fontId="38" fillId="25" borderId="10" xfId="0" applyNumberFormat="1" applyFont="1" applyFill="1" applyBorder="1" applyAlignment="1" applyProtection="1">
      <alignment horizontal="right"/>
      <protection locked="0"/>
    </xf>
    <xf numFmtId="165" fontId="38" fillId="25" borderId="0" xfId="0" applyNumberFormat="1" applyFont="1" applyFill="1" applyAlignment="1">
      <alignment horizontal="left"/>
    </xf>
    <xf numFmtId="165" fontId="38" fillId="25" borderId="0" xfId="0" applyNumberFormat="1" applyFont="1" applyFill="1" applyAlignment="1" applyProtection="1">
      <alignment horizontal="left"/>
      <protection locked="0"/>
    </xf>
    <xf numFmtId="165" fontId="42" fillId="25" borderId="0" xfId="0" applyNumberFormat="1" applyFont="1" applyFill="1" applyAlignment="1">
      <alignment horizontal="center"/>
    </xf>
    <xf numFmtId="165" fontId="38" fillId="25" borderId="0" xfId="59" applyNumberFormat="1" applyFont="1" applyFill="1" applyAlignment="1">
      <alignment horizontal="right"/>
      <protection/>
    </xf>
    <xf numFmtId="165" fontId="38" fillId="25" borderId="10" xfId="59" applyNumberFormat="1" applyFont="1" applyFill="1" applyBorder="1" applyAlignment="1" applyProtection="1">
      <alignment horizontal="right"/>
      <protection locked="0"/>
    </xf>
    <xf numFmtId="165" fontId="38" fillId="25" borderId="0" xfId="59" applyNumberFormat="1" applyFont="1" applyFill="1" applyBorder="1" applyAlignment="1">
      <alignment horizontal="right"/>
      <protection/>
    </xf>
    <xf numFmtId="165" fontId="38" fillId="25" borderId="0" xfId="59" applyNumberFormat="1" applyFont="1" applyFill="1" applyAlignment="1" applyProtection="1">
      <alignment horizontal="right"/>
      <protection locked="0"/>
    </xf>
    <xf numFmtId="165" fontId="38" fillId="25" borderId="10" xfId="0" applyNumberFormat="1" applyFont="1" applyFill="1" applyBorder="1" applyAlignment="1" applyProtection="1">
      <alignment/>
      <protection locked="0"/>
    </xf>
    <xf numFmtId="165" fontId="38" fillId="25" borderId="0" xfId="59" applyNumberFormat="1" applyFont="1" applyFill="1" applyBorder="1" applyAlignment="1" applyProtection="1">
      <alignment horizontal="right"/>
      <protection locked="0"/>
    </xf>
    <xf numFmtId="165" fontId="38" fillId="25" borderId="0" xfId="0" applyNumberFormat="1" applyFont="1" applyFill="1" applyBorder="1" applyAlignment="1" applyProtection="1">
      <alignment horizontal="right"/>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ont="1" applyAlignment="1" applyProtection="1">
      <alignment/>
      <protection locked="0"/>
    </xf>
    <xf numFmtId="10" fontId="33" fillId="26" borderId="10" xfId="0" applyNumberFormat="1" applyFont="1" applyFill="1" applyBorder="1" applyAlignment="1" applyProtection="1">
      <alignment/>
      <protection locked="0"/>
    </xf>
    <xf numFmtId="0" fontId="21" fillId="0" borderId="18" xfId="0" applyFont="1" applyFill="1" applyBorder="1" applyAlignment="1" applyProtection="1">
      <alignment/>
      <protection/>
    </xf>
    <xf numFmtId="0" fontId="21" fillId="0" borderId="19" xfId="0" applyFont="1" applyFill="1" applyBorder="1" applyAlignment="1" applyProtection="1">
      <alignment/>
      <protection/>
    </xf>
    <xf numFmtId="0" fontId="32" fillId="27" borderId="14" xfId="0" applyFont="1" applyFill="1" applyBorder="1" applyAlignment="1" applyProtection="1">
      <alignment horizontal="left" wrapText="1" readingOrder="1"/>
      <protection/>
    </xf>
    <xf numFmtId="167" fontId="0" fillId="27" borderId="14" xfId="42" applyNumberFormat="1" applyFont="1" applyFill="1" applyBorder="1" applyAlignment="1" applyProtection="1">
      <alignment/>
      <protection locked="0"/>
    </xf>
    <xf numFmtId="43" fontId="56" fillId="27" borderId="11" xfId="42" applyFont="1" applyFill="1" applyBorder="1" applyAlignment="1" applyProtection="1">
      <alignment/>
      <protection locked="0"/>
    </xf>
    <xf numFmtId="43" fontId="56" fillId="27" borderId="14" xfId="42" applyFont="1" applyFill="1" applyBorder="1" applyAlignment="1" applyProtection="1">
      <alignment/>
      <protection locked="0"/>
    </xf>
    <xf numFmtId="0" fontId="33" fillId="27" borderId="14" xfId="0" applyFont="1" applyFill="1" applyBorder="1" applyAlignment="1" applyProtection="1">
      <alignment horizontal="center" wrapText="1"/>
      <protection/>
    </xf>
    <xf numFmtId="0" fontId="0" fillId="0" borderId="20" xfId="0" applyFont="1" applyBorder="1" applyAlignment="1" applyProtection="1">
      <alignment vertical="top"/>
      <protection locked="0"/>
    </xf>
    <xf numFmtId="43" fontId="0" fillId="0" borderId="20" xfId="42" applyFont="1" applyFill="1" applyBorder="1" applyAlignment="1" applyProtection="1">
      <alignment/>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0" fontId="0" fillId="0" borderId="10" xfId="0" applyFont="1" applyBorder="1" applyAlignment="1" applyProtection="1">
      <alignment vertical="top"/>
      <protection locked="0"/>
    </xf>
    <xf numFmtId="0" fontId="33" fillId="0" borderId="20" xfId="0" applyFont="1" applyBorder="1" applyAlignment="1" applyProtection="1">
      <alignment vertical="top"/>
      <protection locked="0"/>
    </xf>
    <xf numFmtId="43" fontId="0" fillId="8" borderId="13" xfId="42"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167" fontId="0" fillId="28" borderId="21" xfId="42" applyNumberFormat="1" applyFont="1" applyFill="1" applyBorder="1" applyAlignment="1" applyProtection="1">
      <alignment/>
      <protection locked="0"/>
    </xf>
    <xf numFmtId="43" fontId="0" fillId="28" borderId="22" xfId="42" applyFont="1" applyFill="1" applyBorder="1" applyAlignment="1" applyProtection="1">
      <alignment/>
      <protection locked="0"/>
    </xf>
    <xf numFmtId="43" fontId="0" fillId="28" borderId="22" xfId="42" applyFont="1" applyFill="1" applyBorder="1" applyAlignment="1" applyProtection="1">
      <alignment/>
      <protection/>
    </xf>
    <xf numFmtId="43" fontId="0" fillId="28" borderId="23" xfId="42" applyFont="1" applyFill="1" applyBorder="1" applyAlignment="1" applyProtection="1">
      <alignment/>
      <protection/>
    </xf>
    <xf numFmtId="0" fontId="0" fillId="0" borderId="20" xfId="0" applyFont="1" applyBorder="1" applyAlignment="1" applyProtection="1">
      <alignment/>
      <protection locked="0"/>
    </xf>
    <xf numFmtId="43" fontId="0" fillId="8" borderId="20" xfId="42" applyFont="1" applyFill="1" applyBorder="1" applyAlignment="1" applyProtection="1">
      <alignment/>
      <protection locked="0"/>
    </xf>
    <xf numFmtId="0" fontId="33" fillId="0" borderId="10" xfId="0" applyFont="1" applyFill="1" applyBorder="1" applyAlignment="1" applyProtection="1">
      <alignment horizontal="left"/>
      <protection locked="0"/>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0" fillId="26" borderId="10" xfId="0" applyFont="1" applyFill="1" applyBorder="1" applyAlignment="1" applyProtection="1">
      <alignment horizontal="left"/>
      <protection locked="0"/>
    </xf>
    <xf numFmtId="0" fontId="0" fillId="29" borderId="24" xfId="0" applyFill="1" applyBorder="1" applyAlignment="1" applyProtection="1">
      <alignment wrapText="1"/>
      <protection/>
    </xf>
    <xf numFmtId="0" fontId="0" fillId="29" borderId="12" xfId="0" applyFont="1" applyFill="1" applyBorder="1" applyAlignment="1" applyProtection="1">
      <alignment horizontal="center" wrapText="1"/>
      <protection/>
    </xf>
    <xf numFmtId="0" fontId="33" fillId="27" borderId="20" xfId="0" applyFont="1" applyFill="1" applyBorder="1" applyAlignment="1" applyProtection="1">
      <alignment horizontal="center" wrapText="1"/>
      <protection/>
    </xf>
    <xf numFmtId="0" fontId="0" fillId="0" borderId="13" xfId="0" applyBorder="1" applyAlignment="1" applyProtection="1">
      <alignment/>
      <protection locked="0"/>
    </xf>
    <xf numFmtId="0" fontId="32" fillId="28" borderId="14" xfId="0" applyFont="1" applyFill="1" applyBorder="1" applyAlignment="1" applyProtection="1">
      <alignment/>
      <protection/>
    </xf>
    <xf numFmtId="167" fontId="0" fillId="27" borderId="25" xfId="42" applyNumberFormat="1" applyFont="1" applyFill="1" applyBorder="1" applyAlignment="1" applyProtection="1">
      <alignment/>
      <protection/>
    </xf>
    <xf numFmtId="167" fontId="0" fillId="27" borderId="21" xfId="42" applyNumberFormat="1" applyFont="1" applyFill="1" applyBorder="1" applyAlignment="1" applyProtection="1">
      <alignment/>
      <protection/>
    </xf>
    <xf numFmtId="167" fontId="0" fillId="27" borderId="22" xfId="42" applyNumberFormat="1" applyFont="1" applyFill="1" applyBorder="1" applyAlignment="1" applyProtection="1">
      <alignment/>
      <protection/>
    </xf>
    <xf numFmtId="167" fontId="0" fillId="27" borderId="23" xfId="42" applyNumberFormat="1" applyFont="1" applyFill="1" applyBorder="1" applyAlignment="1" applyProtection="1">
      <alignment/>
      <protection/>
    </xf>
    <xf numFmtId="167" fontId="0" fillId="26" borderId="26" xfId="42" applyNumberFormat="1" applyFont="1" applyFill="1" applyBorder="1" applyAlignment="1" applyProtection="1">
      <alignment/>
      <protection locked="0"/>
    </xf>
    <xf numFmtId="167" fontId="0" fillId="0" borderId="20" xfId="42" applyNumberFormat="1" applyFont="1" applyFill="1" applyBorder="1" applyAlignment="1" applyProtection="1">
      <alignment/>
      <protection locked="0"/>
    </xf>
    <xf numFmtId="0" fontId="0" fillId="30" borderId="20" xfId="0" applyFont="1" applyFill="1" applyBorder="1" applyAlignment="1" applyProtection="1">
      <alignment/>
      <protection/>
    </xf>
    <xf numFmtId="167" fontId="0" fillId="26" borderId="27"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167" fontId="0" fillId="26" borderId="28"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32" fillId="28" borderId="14" xfId="0" applyFont="1" applyFill="1" applyBorder="1" applyAlignment="1" applyProtection="1">
      <alignment horizontal="left" wrapText="1"/>
      <protection/>
    </xf>
    <xf numFmtId="167" fontId="0" fillId="28" borderId="15" xfId="42" applyNumberFormat="1" applyFont="1" applyFill="1" applyBorder="1" applyAlignment="1" applyProtection="1">
      <alignment/>
      <protection/>
    </xf>
    <xf numFmtId="167" fontId="0" fillId="28" borderId="22" xfId="42" applyNumberFormat="1" applyFont="1" applyFill="1" applyBorder="1" applyAlignment="1" applyProtection="1">
      <alignment/>
      <protection/>
    </xf>
    <xf numFmtId="167" fontId="0" fillId="28" borderId="23" xfId="42" applyNumberFormat="1" applyFont="1" applyFill="1" applyBorder="1" applyAlignment="1" applyProtection="1">
      <alignment/>
      <protection/>
    </xf>
    <xf numFmtId="0" fontId="0" fillId="30" borderId="20" xfId="0" applyFill="1" applyBorder="1" applyAlignment="1" applyProtection="1">
      <alignment/>
      <protection/>
    </xf>
    <xf numFmtId="0" fontId="0" fillId="26" borderId="0" xfId="0" applyFill="1" applyAlignment="1" applyProtection="1">
      <alignment/>
      <protection locked="0"/>
    </xf>
    <xf numFmtId="0" fontId="33" fillId="26" borderId="0" xfId="0" applyFont="1" applyFill="1" applyBorder="1" applyAlignment="1" applyProtection="1">
      <alignment/>
      <protection/>
    </xf>
    <xf numFmtId="0" fontId="32" fillId="28" borderId="17" xfId="0" applyFont="1" applyFill="1" applyBorder="1" applyAlignment="1" applyProtection="1">
      <alignment/>
      <protection/>
    </xf>
    <xf numFmtId="0" fontId="33" fillId="28" borderId="21" xfId="0" applyFont="1" applyFill="1" applyBorder="1" applyAlignment="1" applyProtection="1">
      <alignment wrapText="1"/>
      <protection/>
    </xf>
    <xf numFmtId="0" fontId="33" fillId="28" borderId="22" xfId="0" applyFont="1" applyFill="1" applyBorder="1" applyAlignment="1" applyProtection="1">
      <alignment horizontal="center" wrapText="1"/>
      <protection/>
    </xf>
    <xf numFmtId="0" fontId="33" fillId="28" borderId="23" xfId="0" applyFont="1" applyFill="1" applyBorder="1" applyAlignment="1" applyProtection="1">
      <alignment horizontal="center" wrapText="1"/>
      <protection/>
    </xf>
    <xf numFmtId="0" fontId="0" fillId="30" borderId="10" xfId="0" applyFont="1" applyFill="1" applyBorder="1" applyAlignment="1" applyProtection="1">
      <alignment/>
      <protection/>
    </xf>
    <xf numFmtId="167" fontId="0" fillId="29" borderId="10" xfId="42" applyNumberFormat="1" applyFont="1" applyFill="1" applyBorder="1" applyAlignment="1" applyProtection="1">
      <alignment/>
      <protection locked="0"/>
    </xf>
    <xf numFmtId="167" fontId="0" fillId="29" borderId="29" xfId="42" applyNumberFormat="1" applyFont="1" applyFill="1" applyBorder="1" applyAlignment="1" applyProtection="1">
      <alignment/>
      <protection locked="0"/>
    </xf>
    <xf numFmtId="167" fontId="0" fillId="29" borderId="20" xfId="42" applyNumberFormat="1" applyFont="1" applyFill="1" applyBorder="1" applyAlignment="1" applyProtection="1">
      <alignment/>
      <protection locked="0"/>
    </xf>
    <xf numFmtId="167" fontId="0" fillId="28" borderId="30" xfId="42" applyNumberFormat="1" applyFont="1" applyFill="1" applyBorder="1" applyAlignment="1" applyProtection="1">
      <alignment/>
      <protection locked="0"/>
    </xf>
    <xf numFmtId="167" fontId="0" fillId="28" borderId="31" xfId="42" applyNumberFormat="1" applyFont="1" applyFill="1" applyBorder="1" applyAlignment="1" applyProtection="1">
      <alignment/>
      <protection locked="0"/>
    </xf>
    <xf numFmtId="167" fontId="0" fillId="28" borderId="31" xfId="42" applyNumberFormat="1" applyFont="1" applyFill="1" applyBorder="1" applyAlignment="1" applyProtection="1">
      <alignment/>
      <protection/>
    </xf>
    <xf numFmtId="167" fontId="0" fillId="28" borderId="32" xfId="42" applyNumberFormat="1" applyFont="1" applyFill="1" applyBorder="1" applyAlignment="1" applyProtection="1">
      <alignment/>
      <protection/>
    </xf>
    <xf numFmtId="167" fontId="0" fillId="26" borderId="10" xfId="42" applyNumberFormat="1" applyFont="1" applyFill="1" applyBorder="1" applyAlignment="1" applyProtection="1">
      <alignment/>
      <protection locked="0"/>
    </xf>
    <xf numFmtId="0" fontId="0" fillId="29" borderId="10" xfId="0" applyFill="1" applyBorder="1" applyAlignment="1" applyProtection="1">
      <alignment wrapText="1"/>
      <protection locked="0"/>
    </xf>
    <xf numFmtId="3" fontId="0" fillId="26" borderId="10" xfId="0" applyNumberFormat="1" applyFill="1" applyBorder="1" applyAlignment="1" applyProtection="1">
      <alignment wrapText="1"/>
      <protection locked="0"/>
    </xf>
    <xf numFmtId="0" fontId="0" fillId="29" borderId="0" xfId="0" applyFill="1" applyBorder="1" applyAlignment="1" applyProtection="1">
      <alignment wrapText="1"/>
      <protection locked="0"/>
    </xf>
    <xf numFmtId="3" fontId="33" fillId="26" borderId="0" xfId="0" applyNumberFormat="1" applyFont="1" applyFill="1" applyBorder="1" applyAlignment="1" applyProtection="1">
      <alignment wrapText="1"/>
      <protection locked="0"/>
    </xf>
    <xf numFmtId="0" fontId="0" fillId="29" borderId="12" xfId="0" applyFill="1" applyBorder="1" applyAlignment="1" applyProtection="1">
      <alignment/>
      <protection locked="0"/>
    </xf>
    <xf numFmtId="0" fontId="0" fillId="29" borderId="0" xfId="0" applyFill="1" applyAlignment="1" applyProtection="1">
      <alignment/>
      <protection locked="0"/>
    </xf>
    <xf numFmtId="0" fontId="0" fillId="29" borderId="0" xfId="0" applyFill="1" applyBorder="1" applyAlignment="1" applyProtection="1">
      <alignment/>
      <protection locked="0"/>
    </xf>
    <xf numFmtId="167" fontId="33" fillId="29" borderId="25" xfId="42" applyNumberFormat="1" applyFont="1" applyFill="1" applyBorder="1" applyAlignment="1" applyProtection="1">
      <alignment/>
      <protection/>
    </xf>
    <xf numFmtId="167" fontId="33" fillId="29" borderId="0" xfId="42" applyNumberFormat="1" applyFont="1" applyFill="1" applyBorder="1" applyAlignment="1" applyProtection="1">
      <alignment/>
      <protection/>
    </xf>
    <xf numFmtId="5" fontId="33" fillId="29" borderId="33" xfId="42" applyNumberFormat="1" applyFont="1" applyFill="1" applyBorder="1" applyAlignment="1" applyProtection="1">
      <alignment/>
      <protection/>
    </xf>
    <xf numFmtId="5" fontId="33" fillId="29" borderId="10" xfId="42" applyNumberFormat="1" applyFont="1" applyFill="1" applyBorder="1" applyAlignment="1" applyProtection="1">
      <alignment/>
      <protection/>
    </xf>
    <xf numFmtId="5" fontId="33" fillId="29" borderId="0" xfId="42" applyNumberFormat="1" applyFont="1" applyFill="1" applyBorder="1" applyAlignment="1" applyProtection="1">
      <alignment/>
      <protection/>
    </xf>
    <xf numFmtId="0" fontId="33" fillId="29" borderId="0" xfId="0" applyFont="1" applyFill="1" applyAlignment="1" applyProtection="1">
      <alignment/>
      <protection locked="0"/>
    </xf>
    <xf numFmtId="167" fontId="33" fillId="29" borderId="14" xfId="0" applyNumberFormat="1" applyFont="1" applyFill="1" applyBorder="1" applyAlignment="1" applyProtection="1">
      <alignment horizontal="center"/>
      <protection/>
    </xf>
    <xf numFmtId="167" fontId="33" fillId="29" borderId="33" xfId="0" applyNumberFormat="1" applyFont="1" applyFill="1" applyBorder="1" applyAlignment="1" applyProtection="1">
      <alignment/>
      <protection/>
    </xf>
    <xf numFmtId="167" fontId="33" fillId="29" borderId="27" xfId="0" applyNumberFormat="1" applyFont="1" applyFill="1" applyBorder="1" applyAlignment="1" applyProtection="1">
      <alignment/>
      <protection/>
    </xf>
    <xf numFmtId="167" fontId="33" fillId="29" borderId="25" xfId="0" applyNumberFormat="1" applyFont="1" applyFill="1" applyBorder="1" applyAlignment="1" applyProtection="1">
      <alignment/>
      <protection/>
    </xf>
    <xf numFmtId="10" fontId="33" fillId="26" borderId="34" xfId="62" applyNumberFormat="1" applyFont="1" applyFill="1" applyBorder="1" applyAlignment="1" applyProtection="1">
      <alignment horizontal="center"/>
      <protection locked="0"/>
    </xf>
    <xf numFmtId="37" fontId="0" fillId="29" borderId="0" xfId="0" applyNumberFormat="1" applyFill="1" applyAlignment="1" applyProtection="1">
      <alignment/>
      <protection locked="0"/>
    </xf>
    <xf numFmtId="0" fontId="0" fillId="29" borderId="35" xfId="0" applyFont="1" applyFill="1" applyBorder="1" applyAlignment="1" applyProtection="1">
      <alignment horizontal="center"/>
      <protection locked="0"/>
    </xf>
    <xf numFmtId="37" fontId="0" fillId="29" borderId="27" xfId="0" applyNumberFormat="1" applyFill="1" applyBorder="1" applyAlignment="1" applyProtection="1">
      <alignment/>
      <protection locked="0"/>
    </xf>
    <xf numFmtId="37" fontId="0" fillId="29" borderId="0" xfId="0" applyNumberFormat="1" applyFill="1" applyBorder="1" applyAlignment="1" applyProtection="1">
      <alignment/>
      <protection locked="0"/>
    </xf>
    <xf numFmtId="5" fontId="33" fillId="29" borderId="25" xfId="0" applyNumberFormat="1" applyFont="1" applyFill="1" applyBorder="1" applyAlignment="1" applyProtection="1">
      <alignment/>
      <protection locked="0"/>
    </xf>
    <xf numFmtId="5" fontId="33" fillId="29" borderId="0" xfId="0" applyNumberFormat="1" applyFont="1" applyFill="1" applyAlignment="1" applyProtection="1">
      <alignment/>
      <protection locked="0"/>
    </xf>
    <xf numFmtId="37" fontId="0" fillId="29" borderId="25" xfId="0" applyNumberFormat="1" applyFill="1" applyBorder="1" applyAlignment="1" applyProtection="1">
      <alignment/>
      <protection locked="0"/>
    </xf>
    <xf numFmtId="5" fontId="33" fillId="29" borderId="33" xfId="0" applyNumberFormat="1" applyFont="1" applyFill="1" applyBorder="1" applyAlignment="1" applyProtection="1">
      <alignment/>
      <protection locked="0"/>
    </xf>
    <xf numFmtId="5" fontId="33" fillId="29" borderId="10" xfId="0" applyNumberFormat="1" applyFont="1" applyFill="1" applyBorder="1" applyAlignment="1" applyProtection="1">
      <alignment/>
      <protection locked="0"/>
    </xf>
    <xf numFmtId="5" fontId="0" fillId="29" borderId="0" xfId="0" applyNumberFormat="1" applyFill="1" applyAlignment="1" applyProtection="1">
      <alignment/>
      <protection locked="0"/>
    </xf>
    <xf numFmtId="5" fontId="33" fillId="29" borderId="0" xfId="0" applyNumberFormat="1" applyFont="1" applyFill="1" applyBorder="1" applyAlignment="1" applyProtection="1">
      <alignment/>
      <protection/>
    </xf>
    <xf numFmtId="5" fontId="0" fillId="29" borderId="33" xfId="0" applyNumberFormat="1" applyFill="1" applyBorder="1" applyAlignment="1" applyProtection="1">
      <alignment/>
      <protection locked="0"/>
    </xf>
    <xf numFmtId="5" fontId="0" fillId="29" borderId="10" xfId="0" applyNumberFormat="1" applyFill="1" applyBorder="1" applyAlignment="1" applyProtection="1">
      <alignment/>
      <protection locked="0"/>
    </xf>
    <xf numFmtId="0" fontId="0" fillId="29" borderId="10" xfId="0" applyFill="1" applyBorder="1" applyAlignment="1" applyProtection="1">
      <alignment/>
      <protection locked="0"/>
    </xf>
    <xf numFmtId="0" fontId="0" fillId="29" borderId="26" xfId="0" applyFill="1" applyBorder="1" applyAlignment="1" applyProtection="1">
      <alignment/>
      <protection locked="0"/>
    </xf>
    <xf numFmtId="0" fontId="33" fillId="30" borderId="14" xfId="0" applyFont="1" applyFill="1" applyBorder="1" applyAlignment="1" applyProtection="1">
      <alignment/>
      <protection locked="0"/>
    </xf>
    <xf numFmtId="10" fontId="33" fillId="0" borderId="14" xfId="0" applyNumberFormat="1" applyFont="1" applyBorder="1" applyAlignment="1" applyProtection="1">
      <alignment/>
      <protection locked="0"/>
    </xf>
    <xf numFmtId="0" fontId="33"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32" fillId="26" borderId="0" xfId="0" applyFont="1" applyFill="1" applyBorder="1" applyAlignment="1">
      <alignment horizontal="left"/>
    </xf>
    <xf numFmtId="0" fontId="32" fillId="26" borderId="0" xfId="0" applyFont="1" applyFill="1" applyBorder="1" applyAlignment="1" quotePrefix="1">
      <alignment horizontal="left"/>
    </xf>
    <xf numFmtId="0" fontId="0" fillId="0" borderId="36" xfId="0" applyBorder="1" applyAlignment="1">
      <alignment/>
    </xf>
    <xf numFmtId="0" fontId="0" fillId="29" borderId="0" xfId="0" applyFill="1" applyBorder="1" applyAlignment="1">
      <alignment/>
    </xf>
    <xf numFmtId="0" fontId="0" fillId="29" borderId="36" xfId="0" applyFill="1" applyBorder="1" applyAlignment="1">
      <alignment/>
    </xf>
    <xf numFmtId="0" fontId="32" fillId="26" borderId="18" xfId="0" applyFont="1" applyFill="1" applyBorder="1" applyAlignment="1" quotePrefix="1">
      <alignment horizontal="left"/>
    </xf>
    <xf numFmtId="0" fontId="33" fillId="26" borderId="19" xfId="0" applyFont="1" applyFill="1" applyBorder="1" applyAlignment="1">
      <alignment horizontal="left"/>
    </xf>
    <xf numFmtId="0" fontId="0" fillId="26" borderId="19" xfId="0" applyFill="1" applyBorder="1" applyAlignment="1">
      <alignment horizontal="center"/>
    </xf>
    <xf numFmtId="0" fontId="0" fillId="26" borderId="37" xfId="0" applyFill="1" applyBorder="1" applyAlignment="1">
      <alignment/>
    </xf>
    <xf numFmtId="0" fontId="0" fillId="0" borderId="18" xfId="0" applyBorder="1" applyAlignment="1">
      <alignment/>
    </xf>
    <xf numFmtId="0" fontId="0" fillId="0" borderId="19" xfId="0" applyBorder="1" applyAlignment="1">
      <alignment/>
    </xf>
    <xf numFmtId="0" fontId="0" fillId="29" borderId="17" xfId="0" applyFill="1" applyBorder="1" applyAlignment="1">
      <alignment/>
    </xf>
    <xf numFmtId="0" fontId="33"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38" xfId="0" applyFill="1" applyBorder="1" applyAlignment="1" applyProtection="1">
      <alignment/>
      <protection locked="0"/>
    </xf>
    <xf numFmtId="0" fontId="0" fillId="29" borderId="36" xfId="0" applyFill="1" applyBorder="1" applyAlignment="1" applyProtection="1">
      <alignment/>
      <protection locked="0"/>
    </xf>
    <xf numFmtId="0" fontId="32" fillId="27" borderId="14" xfId="0" applyFont="1" applyFill="1" applyBorder="1" applyAlignment="1">
      <alignment horizontal="center"/>
    </xf>
    <xf numFmtId="0" fontId="33" fillId="27" borderId="14" xfId="0" applyFont="1" applyFill="1" applyBorder="1" applyAlignment="1">
      <alignment horizontal="center"/>
    </xf>
    <xf numFmtId="0" fontId="32" fillId="30" borderId="39" xfId="0" applyFont="1" applyFill="1" applyBorder="1" applyAlignment="1">
      <alignment horizontal="left"/>
    </xf>
    <xf numFmtId="0" fontId="32" fillId="30" borderId="40" xfId="0" applyFont="1" applyFill="1" applyBorder="1" applyAlignment="1">
      <alignment horizontal="left"/>
    </xf>
    <xf numFmtId="0" fontId="32" fillId="27" borderId="41" xfId="0" applyFont="1" applyFill="1" applyBorder="1" applyAlignment="1">
      <alignment horizontal="left"/>
    </xf>
    <xf numFmtId="0" fontId="0" fillId="29" borderId="38" xfId="0" applyFill="1" applyBorder="1" applyAlignment="1">
      <alignment/>
    </xf>
    <xf numFmtId="0" fontId="0" fillId="29" borderId="42" xfId="0" applyFill="1" applyBorder="1" applyAlignment="1">
      <alignment/>
    </xf>
    <xf numFmtId="0" fontId="32" fillId="26" borderId="42" xfId="0" applyFont="1" applyFill="1" applyBorder="1" applyAlignment="1">
      <alignment horizontal="left"/>
    </xf>
    <xf numFmtId="5" fontId="33" fillId="26" borderId="0" xfId="0" applyNumberFormat="1" applyFont="1" applyFill="1" applyBorder="1" applyAlignment="1" applyProtection="1">
      <alignment horizontal="center"/>
      <protection locked="0"/>
    </xf>
    <xf numFmtId="0" fontId="32" fillId="26" borderId="42" xfId="0" applyFont="1" applyFill="1" applyBorder="1" applyAlignment="1" applyProtection="1" quotePrefix="1">
      <alignment horizontal="left"/>
      <protection locked="0"/>
    </xf>
    <xf numFmtId="0" fontId="32" fillId="26" borderId="0" xfId="0" applyFont="1" applyFill="1" applyBorder="1" applyAlignment="1" applyProtection="1" quotePrefix="1">
      <alignment horizontal="left"/>
      <protection locked="0"/>
    </xf>
    <xf numFmtId="0" fontId="21" fillId="26" borderId="42" xfId="0" applyFont="1" applyFill="1" applyBorder="1" applyAlignment="1" applyProtection="1">
      <alignment/>
      <protection locked="0"/>
    </xf>
    <xf numFmtId="0" fontId="33" fillId="26" borderId="0" xfId="0" applyFont="1" applyFill="1" applyBorder="1" applyAlignment="1" applyProtection="1">
      <alignment/>
      <protection locked="0"/>
    </xf>
    <xf numFmtId="0" fontId="21" fillId="26" borderId="0" xfId="0" applyFont="1" applyFill="1" applyBorder="1" applyAlignment="1" applyProtection="1">
      <alignment/>
      <protection locked="0"/>
    </xf>
    <xf numFmtId="0" fontId="21" fillId="29" borderId="36" xfId="0" applyFont="1" applyFill="1" applyBorder="1" applyAlignment="1">
      <alignment horizontal="center" wrapText="1"/>
    </xf>
    <xf numFmtId="0" fontId="21" fillId="26" borderId="42" xfId="0" applyFont="1" applyFill="1" applyBorder="1" applyAlignment="1">
      <alignment horizontal="center" wrapText="1"/>
    </xf>
    <xf numFmtId="0" fontId="21" fillId="26" borderId="43" xfId="0" applyFont="1" applyFill="1" applyBorder="1" applyAlignment="1">
      <alignment horizontal="center" wrapText="1"/>
    </xf>
    <xf numFmtId="0" fontId="21" fillId="26" borderId="0" xfId="0" applyFont="1" applyFill="1" applyBorder="1" applyAlignment="1">
      <alignment horizontal="center" wrapText="1"/>
    </xf>
    <xf numFmtId="0" fontId="21" fillId="29" borderId="36" xfId="0" applyFont="1" applyFill="1" applyBorder="1" applyAlignment="1" applyProtection="1">
      <alignment horizontal="center" wrapText="1"/>
      <protection locked="0"/>
    </xf>
    <xf numFmtId="0" fontId="0" fillId="0" borderId="20" xfId="0" applyBorder="1" applyAlignment="1" applyProtection="1">
      <alignment horizontal="right"/>
      <protection locked="0"/>
    </xf>
    <xf numFmtId="0" fontId="33" fillId="29" borderId="36"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13" xfId="0" applyBorder="1" applyAlignment="1">
      <alignment/>
    </xf>
    <xf numFmtId="0" fontId="0" fillId="0" borderId="42" xfId="0" applyBorder="1" applyAlignment="1" applyProtection="1">
      <alignment horizontal="center"/>
      <protection locked="0"/>
    </xf>
    <xf numFmtId="0" fontId="0" fillId="0" borderId="0" xfId="0" applyBorder="1" applyAlignment="1" applyProtection="1">
      <alignment horizontal="center"/>
      <protection locked="0"/>
    </xf>
    <xf numFmtId="0" fontId="33" fillId="0" borderId="44" xfId="0" applyFont="1" applyBorder="1" applyAlignment="1">
      <alignment/>
    </xf>
    <xf numFmtId="0" fontId="33" fillId="0" borderId="42" xfId="0" applyFont="1" applyBorder="1" applyAlignment="1">
      <alignment/>
    </xf>
    <xf numFmtId="165" fontId="32" fillId="0" borderId="0" xfId="0" applyNumberFormat="1" applyFont="1" applyBorder="1" applyAlignment="1">
      <alignment/>
    </xf>
    <xf numFmtId="0" fontId="0" fillId="26" borderId="42"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33" fillId="26" borderId="0"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33" fillId="26" borderId="45" xfId="0" applyFont="1" applyFill="1" applyBorder="1" applyAlignment="1">
      <alignment horizontal="center"/>
    </xf>
    <xf numFmtId="0" fontId="33" fillId="26" borderId="43" xfId="0" applyFont="1" applyFill="1" applyBorder="1" applyAlignment="1">
      <alignment horizontal="center"/>
    </xf>
    <xf numFmtId="0" fontId="33" fillId="26" borderId="43" xfId="0" applyFont="1" applyFill="1" applyBorder="1" applyAlignment="1" applyProtection="1">
      <alignment horizontal="center"/>
      <protection locked="0"/>
    </xf>
    <xf numFmtId="37" fontId="0" fillId="26" borderId="43" xfId="0" applyNumberFormat="1" applyFill="1" applyBorder="1" applyAlignment="1" applyProtection="1">
      <alignment horizontal="center"/>
      <protection locked="0"/>
    </xf>
    <xf numFmtId="0" fontId="0" fillId="26" borderId="42" xfId="0" applyFill="1" applyBorder="1" applyAlignment="1" applyProtection="1">
      <alignment/>
      <protection locked="0"/>
    </xf>
    <xf numFmtId="0" fontId="0" fillId="26" borderId="0" xfId="0" applyFill="1" applyBorder="1" applyAlignment="1" applyProtection="1">
      <alignment/>
      <protection locked="0"/>
    </xf>
    <xf numFmtId="0" fontId="33" fillId="31" borderId="14" xfId="0" applyFont="1" applyFill="1" applyBorder="1" applyAlignment="1" applyProtection="1">
      <alignment horizontal="center"/>
      <protection locked="0"/>
    </xf>
    <xf numFmtId="0" fontId="0" fillId="31" borderId="14" xfId="0" applyFill="1" applyBorder="1" applyAlignment="1">
      <alignment/>
    </xf>
    <xf numFmtId="0" fontId="33" fillId="0" borderId="42" xfId="0" applyFont="1" applyBorder="1" applyAlignment="1" applyProtection="1">
      <alignment/>
      <protection locked="0"/>
    </xf>
    <xf numFmtId="165" fontId="32" fillId="0" borderId="0" xfId="0" applyNumberFormat="1" applyFont="1" applyBorder="1" applyAlignment="1" applyProtection="1">
      <alignment/>
      <protection locked="0"/>
    </xf>
    <xf numFmtId="0" fontId="33" fillId="29" borderId="36" xfId="0" applyFont="1" applyFill="1" applyBorder="1" applyAlignment="1" applyProtection="1">
      <alignment horizontal="center" wrapText="1"/>
      <protection locked="0"/>
    </xf>
    <xf numFmtId="0" fontId="33" fillId="0" borderId="0" xfId="0" applyFont="1" applyBorder="1" applyAlignment="1" applyProtection="1">
      <alignment/>
      <protection locked="0"/>
    </xf>
    <xf numFmtId="0" fontId="0" fillId="26" borderId="42" xfId="0" applyFont="1" applyFill="1" applyBorder="1" applyAlignment="1" applyProtection="1" quotePrefix="1">
      <alignment horizontal="center"/>
      <protection locked="0"/>
    </xf>
    <xf numFmtId="0" fontId="21" fillId="31" borderId="15" xfId="0" applyFont="1" applyFill="1" applyBorder="1" applyAlignment="1">
      <alignment wrapText="1"/>
    </xf>
    <xf numFmtId="0" fontId="21" fillId="31" borderId="16" xfId="0" applyFont="1" applyFill="1" applyBorder="1" applyAlignment="1">
      <alignment wrapText="1"/>
    </xf>
    <xf numFmtId="0" fontId="32" fillId="26" borderId="18" xfId="0" applyFont="1" applyFill="1" applyBorder="1" applyAlignment="1">
      <alignment wrapText="1"/>
    </xf>
    <xf numFmtId="0" fontId="32" fillId="26" borderId="37" xfId="0" applyFont="1" applyFill="1" applyBorder="1" applyAlignment="1">
      <alignment wrapText="1"/>
    </xf>
    <xf numFmtId="0" fontId="21" fillId="26" borderId="38" xfId="0" applyFont="1" applyFill="1" applyBorder="1" applyAlignment="1">
      <alignment horizontal="center" wrapText="1"/>
    </xf>
    <xf numFmtId="0" fontId="0" fillId="0" borderId="38" xfId="0" applyBorder="1" applyAlignment="1">
      <alignment/>
    </xf>
    <xf numFmtId="0" fontId="33" fillId="0" borderId="42" xfId="0" applyFont="1" applyBorder="1" applyAlignment="1">
      <alignment horizontal="center"/>
    </xf>
    <xf numFmtId="0" fontId="33" fillId="0" borderId="38" xfId="0" applyFont="1" applyBorder="1" applyAlignment="1">
      <alignment horizontal="center" wrapText="1"/>
    </xf>
    <xf numFmtId="0" fontId="0" fillId="0" borderId="42" xfId="0" applyBorder="1" applyAlignment="1">
      <alignment horizontal="center"/>
    </xf>
    <xf numFmtId="0" fontId="0" fillId="0" borderId="38" xfId="0" applyBorder="1" applyAlignment="1" applyProtection="1">
      <alignment horizontal="right"/>
      <protection locked="0"/>
    </xf>
    <xf numFmtId="0" fontId="0" fillId="0" borderId="42" xfId="0" applyFont="1" applyBorder="1" applyAlignment="1">
      <alignment horizontal="center"/>
    </xf>
    <xf numFmtId="0" fontId="33" fillId="0" borderId="38" xfId="0" applyFont="1" applyBorder="1" applyAlignment="1">
      <alignment horizontal="right"/>
    </xf>
    <xf numFmtId="9" fontId="33" fillId="0" borderId="38" xfId="0" applyNumberFormat="1" applyFont="1" applyBorder="1" applyAlignment="1">
      <alignment horizontal="right"/>
    </xf>
    <xf numFmtId="0" fontId="0" fillId="0" borderId="38" xfId="0" applyBorder="1" applyAlignment="1" applyProtection="1">
      <alignment/>
      <protection locked="0"/>
    </xf>
    <xf numFmtId="0" fontId="0" fillId="0" borderId="38" xfId="0" applyBorder="1" applyAlignment="1" applyProtection="1">
      <alignment horizontal="center"/>
      <protection locked="0"/>
    </xf>
    <xf numFmtId="0" fontId="0" fillId="0" borderId="42" xfId="0" applyFont="1" applyBorder="1" applyAlignment="1">
      <alignment wrapText="1"/>
    </xf>
    <xf numFmtId="0" fontId="33" fillId="0" borderId="38" xfId="0" applyFont="1" applyBorder="1" applyAlignment="1">
      <alignment/>
    </xf>
    <xf numFmtId="0" fontId="0" fillId="0" borderId="42" xfId="0" applyFont="1" applyBorder="1" applyAlignment="1">
      <alignment/>
    </xf>
    <xf numFmtId="165" fontId="33" fillId="0" borderId="38" xfId="0" applyNumberFormat="1" applyFont="1" applyBorder="1" applyAlignment="1">
      <alignment/>
    </xf>
    <xf numFmtId="165" fontId="32" fillId="0" borderId="38" xfId="0" applyNumberFormat="1" applyFont="1" applyBorder="1" applyAlignment="1">
      <alignment/>
    </xf>
    <xf numFmtId="165" fontId="32" fillId="0" borderId="38" xfId="0" applyNumberFormat="1" applyFont="1" applyBorder="1" applyAlignment="1" applyProtection="1">
      <alignment/>
      <protection locked="0"/>
    </xf>
    <xf numFmtId="37" fontId="0" fillId="26" borderId="38" xfId="0" applyNumberFormat="1" applyFill="1" applyBorder="1" applyAlignment="1" applyProtection="1">
      <alignment horizontal="center"/>
      <protection locked="0"/>
    </xf>
    <xf numFmtId="0" fontId="0" fillId="26" borderId="38" xfId="0" applyFont="1" applyFill="1" applyBorder="1" applyAlignment="1" applyProtection="1" quotePrefix="1">
      <alignment horizontal="center"/>
      <protection locked="0"/>
    </xf>
    <xf numFmtId="165" fontId="0" fillId="0" borderId="38" xfId="0" applyNumberFormat="1" applyBorder="1" applyAlignment="1">
      <alignment/>
    </xf>
    <xf numFmtId="0" fontId="0" fillId="26" borderId="43" xfId="0" applyFont="1" applyFill="1" applyBorder="1" applyAlignment="1" applyProtection="1" quotePrefix="1">
      <alignment horizontal="center"/>
      <protection locked="0"/>
    </xf>
    <xf numFmtId="37" fontId="0" fillId="26" borderId="46" xfId="0" applyNumberFormat="1" applyFill="1" applyBorder="1" applyAlignment="1" applyProtection="1">
      <alignment horizontal="center"/>
      <protection locked="0"/>
    </xf>
    <xf numFmtId="0" fontId="33" fillId="0" borderId="45" xfId="0" applyFont="1" applyBorder="1" applyAlignment="1">
      <alignment/>
    </xf>
    <xf numFmtId="165" fontId="32" fillId="0" borderId="46" xfId="0" applyNumberFormat="1" applyFont="1" applyBorder="1" applyAlignment="1">
      <alignment/>
    </xf>
    <xf numFmtId="0" fontId="0" fillId="26" borderId="18" xfId="0" applyFont="1" applyFill="1" applyBorder="1" applyAlignment="1" applyProtection="1" quotePrefix="1">
      <alignment horizontal="center"/>
      <protection locked="0"/>
    </xf>
    <xf numFmtId="37" fontId="0" fillId="26" borderId="19" xfId="0" applyNumberFormat="1" applyFill="1" applyBorder="1" applyAlignment="1" applyProtection="1">
      <alignment horizontal="center"/>
      <protection locked="0"/>
    </xf>
    <xf numFmtId="0" fontId="0" fillId="26" borderId="19" xfId="0" applyFont="1" applyFill="1" applyBorder="1" applyAlignment="1" applyProtection="1" quotePrefix="1">
      <alignment horizontal="center"/>
      <protection locked="0"/>
    </xf>
    <xf numFmtId="0" fontId="0" fillId="26" borderId="37" xfId="0" applyFill="1" applyBorder="1" applyAlignment="1" applyProtection="1">
      <alignment horizontal="center"/>
      <protection locked="0"/>
    </xf>
    <xf numFmtId="0" fontId="0" fillId="26" borderId="38" xfId="0" applyFill="1" applyBorder="1" applyAlignment="1" applyProtection="1">
      <alignment horizontal="center"/>
      <protection locked="0"/>
    </xf>
    <xf numFmtId="0" fontId="0" fillId="26" borderId="45" xfId="0" applyFont="1" applyFill="1" applyBorder="1" applyAlignment="1" applyProtection="1" quotePrefix="1">
      <alignment horizontal="center"/>
      <protection locked="0"/>
    </xf>
    <xf numFmtId="0" fontId="0" fillId="26" borderId="46" xfId="0" applyFill="1" applyBorder="1" applyAlignment="1" applyProtection="1">
      <alignment horizontal="center"/>
      <protection locked="0"/>
    </xf>
    <xf numFmtId="0" fontId="21" fillId="26" borderId="15" xfId="0" applyFont="1" applyFill="1" applyBorder="1" applyAlignment="1">
      <alignment horizontal="center" wrapText="1"/>
    </xf>
    <xf numFmtId="0" fontId="21" fillId="26" borderId="16" xfId="0" applyFont="1" applyFill="1" applyBorder="1" applyAlignment="1">
      <alignment horizontal="center" wrapText="1"/>
    </xf>
    <xf numFmtId="0" fontId="33" fillId="26" borderId="14" xfId="0" applyFont="1" applyFill="1" applyBorder="1" applyAlignment="1">
      <alignment horizontal="center"/>
    </xf>
    <xf numFmtId="0" fontId="0" fillId="0" borderId="20" xfId="0" applyBorder="1" applyAlignment="1" applyProtection="1">
      <alignment/>
      <protection locked="0"/>
    </xf>
    <xf numFmtId="0" fontId="0" fillId="26" borderId="20" xfId="0" applyFill="1" applyBorder="1" applyAlignment="1" applyProtection="1">
      <alignment horizontal="right"/>
      <protection locked="0"/>
    </xf>
    <xf numFmtId="0" fontId="0" fillId="26" borderId="20" xfId="0" applyFill="1" applyBorder="1" applyAlignment="1" applyProtection="1">
      <alignment/>
      <protection locked="0"/>
    </xf>
    <xf numFmtId="0" fontId="0" fillId="0" borderId="0" xfId="0" applyBorder="1" applyAlignment="1">
      <alignment horizontal="center"/>
    </xf>
    <xf numFmtId="0" fontId="21" fillId="29" borderId="36" xfId="0" applyFont="1" applyFill="1" applyBorder="1" applyAlignment="1" applyProtection="1">
      <alignment/>
      <protection locked="0"/>
    </xf>
    <xf numFmtId="0" fontId="21" fillId="29" borderId="36" xfId="0" applyFont="1" applyFill="1" applyBorder="1" applyAlignment="1" applyProtection="1">
      <alignment horizontal="center"/>
      <protection locked="0"/>
    </xf>
    <xf numFmtId="0" fontId="33" fillId="26" borderId="0" xfId="0" applyFont="1" applyFill="1" applyBorder="1" applyAlignment="1">
      <alignment horizontal="center"/>
    </xf>
    <xf numFmtId="37" fontId="0" fillId="26" borderId="0" xfId="0" applyNumberFormat="1" applyFill="1" applyBorder="1" applyAlignment="1">
      <alignment horizontal="center"/>
    </xf>
    <xf numFmtId="37" fontId="0" fillId="29" borderId="36" xfId="0" applyNumberFormat="1" applyFill="1" applyBorder="1" applyAlignment="1" applyProtection="1">
      <alignment/>
      <protection locked="0"/>
    </xf>
    <xf numFmtId="37" fontId="33" fillId="29" borderId="36" xfId="0" applyNumberFormat="1" applyFont="1" applyFill="1" applyBorder="1" applyAlignment="1" applyProtection="1">
      <alignment/>
      <protection locked="0"/>
    </xf>
    <xf numFmtId="37" fontId="33" fillId="29" borderId="47" xfId="0" applyNumberFormat="1" applyFont="1" applyFill="1" applyBorder="1" applyAlignment="1" applyProtection="1">
      <alignment/>
      <protection locked="0"/>
    </xf>
    <xf numFmtId="165" fontId="32" fillId="0" borderId="43" xfId="0" applyNumberFormat="1" applyFont="1" applyBorder="1" applyAlignment="1">
      <alignment/>
    </xf>
    <xf numFmtId="0" fontId="0" fillId="26" borderId="43" xfId="0" applyFont="1" applyFill="1" applyBorder="1" applyAlignment="1" quotePrefix="1">
      <alignment horizontal="center"/>
    </xf>
    <xf numFmtId="37" fontId="0" fillId="26" borderId="43" xfId="0" applyNumberFormat="1" applyFill="1" applyBorder="1" applyAlignment="1">
      <alignment horizontal="center"/>
    </xf>
    <xf numFmtId="0" fontId="33" fillId="0" borderId="43" xfId="0" applyFont="1" applyBorder="1" applyAlignment="1">
      <alignment/>
    </xf>
    <xf numFmtId="0" fontId="0" fillId="26" borderId="36" xfId="0" applyFill="1" applyBorder="1" applyAlignment="1">
      <alignment/>
    </xf>
    <xf numFmtId="5" fontId="33" fillId="26" borderId="38" xfId="0" applyNumberFormat="1" applyFont="1" applyFill="1" applyBorder="1" applyAlignment="1" applyProtection="1">
      <alignment/>
      <protection locked="0"/>
    </xf>
    <xf numFmtId="5" fontId="33" fillId="29" borderId="17" xfId="0" applyNumberFormat="1" applyFont="1" applyFill="1" applyBorder="1" applyAlignment="1" applyProtection="1">
      <alignment/>
      <protection locked="0"/>
    </xf>
    <xf numFmtId="0" fontId="0" fillId="0" borderId="42" xfId="0" applyBorder="1" applyAlignment="1" applyProtection="1">
      <alignment/>
      <protection locked="0"/>
    </xf>
    <xf numFmtId="37" fontId="33" fillId="0" borderId="14" xfId="0" applyNumberFormat="1" applyFont="1" applyBorder="1" applyAlignment="1" applyProtection="1">
      <alignment/>
      <protection locked="0"/>
    </xf>
    <xf numFmtId="0" fontId="21" fillId="26" borderId="38" xfId="0" applyFont="1" applyFill="1" applyBorder="1" applyAlignment="1" applyProtection="1">
      <alignment/>
      <protection locked="0"/>
    </xf>
    <xf numFmtId="0" fontId="33" fillId="26" borderId="38" xfId="0" applyFont="1" applyFill="1" applyBorder="1" applyAlignment="1" applyProtection="1">
      <alignment horizontal="center"/>
      <protection locked="0"/>
    </xf>
    <xf numFmtId="0" fontId="0" fillId="0" borderId="42" xfId="0" applyBorder="1" applyAlignment="1">
      <alignment/>
    </xf>
    <xf numFmtId="0" fontId="0" fillId="0" borderId="0" xfId="0" applyBorder="1" applyAlignment="1" applyProtection="1">
      <alignment/>
      <protection/>
    </xf>
    <xf numFmtId="0" fontId="0" fillId="0" borderId="38"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Border="1" applyAlignment="1" applyProtection="1">
      <alignment/>
      <protection/>
    </xf>
    <xf numFmtId="37" fontId="0" fillId="0" borderId="38" xfId="0" applyNumberFormat="1" applyBorder="1" applyAlignment="1" applyProtection="1">
      <alignment horizontal="center"/>
      <protection/>
    </xf>
    <xf numFmtId="37" fontId="0" fillId="0" borderId="0" xfId="0" applyNumberFormat="1" applyBorder="1" applyAlignment="1" applyProtection="1">
      <alignment horizontal="center"/>
      <protection/>
    </xf>
    <xf numFmtId="5" fontId="0" fillId="0" borderId="38"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33" fillId="0" borderId="38" xfId="0" applyNumberFormat="1" applyFont="1" applyBorder="1" applyAlignment="1" applyProtection="1">
      <alignment horizontal="center"/>
      <protection/>
    </xf>
    <xf numFmtId="5" fontId="33" fillId="0" borderId="0" xfId="0" applyNumberFormat="1" applyFont="1" applyBorder="1" applyAlignment="1" applyProtection="1">
      <alignment horizontal="center"/>
      <protection/>
    </xf>
    <xf numFmtId="0" fontId="0" fillId="0" borderId="45" xfId="0" applyBorder="1" applyAlignment="1">
      <alignment/>
    </xf>
    <xf numFmtId="0" fontId="0" fillId="0" borderId="43" xfId="0" applyBorder="1" applyAlignment="1">
      <alignment/>
    </xf>
    <xf numFmtId="0" fontId="0" fillId="0" borderId="43" xfId="0" applyBorder="1" applyAlignment="1" applyProtection="1">
      <alignment/>
      <protection/>
    </xf>
    <xf numFmtId="0" fontId="0" fillId="0" borderId="46" xfId="0" applyBorder="1" applyAlignment="1" applyProtection="1">
      <alignment horizontal="center"/>
      <protection/>
    </xf>
    <xf numFmtId="0" fontId="0" fillId="0" borderId="43" xfId="0" applyBorder="1" applyAlignment="1" applyProtection="1">
      <alignment horizontal="center"/>
      <protection/>
    </xf>
    <xf numFmtId="0" fontId="0" fillId="0" borderId="45" xfId="0" applyBorder="1" applyAlignment="1" applyProtection="1">
      <alignment/>
      <protection locked="0"/>
    </xf>
    <xf numFmtId="0" fontId="0" fillId="0" borderId="43" xfId="0" applyBorder="1" applyAlignment="1" applyProtection="1">
      <alignment/>
      <protection locked="0"/>
    </xf>
    <xf numFmtId="0" fontId="0" fillId="0" borderId="43" xfId="0" applyBorder="1" applyAlignment="1" applyProtection="1">
      <alignment horizontal="center"/>
      <protection locked="0"/>
    </xf>
    <xf numFmtId="0" fontId="0" fillId="26" borderId="46" xfId="0" applyFill="1" applyBorder="1" applyAlignment="1" applyProtection="1">
      <alignment/>
      <protection locked="0"/>
    </xf>
    <xf numFmtId="0" fontId="0" fillId="29" borderId="47" xfId="0" applyFill="1" applyBorder="1" applyAlignment="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0" fontId="0" fillId="30" borderId="19" xfId="0" applyFill="1" applyBorder="1" applyAlignment="1">
      <alignment/>
    </xf>
    <xf numFmtId="0" fontId="0" fillId="30" borderId="19" xfId="0" applyFill="1" applyBorder="1" applyAlignment="1">
      <alignment horizontal="center"/>
    </xf>
    <xf numFmtId="0" fontId="0" fillId="30" borderId="37" xfId="0" applyFill="1" applyBorder="1" applyAlignment="1">
      <alignment/>
    </xf>
    <xf numFmtId="0" fontId="0" fillId="0" borderId="17" xfId="0" applyBorder="1" applyAlignment="1">
      <alignment/>
    </xf>
    <xf numFmtId="0" fontId="67" fillId="0" borderId="42" xfId="0" applyFont="1" applyBorder="1" applyAlignment="1">
      <alignment wrapText="1"/>
    </xf>
    <xf numFmtId="5" fontId="67" fillId="26" borderId="0" xfId="0" applyNumberFormat="1" applyFont="1" applyFill="1" applyBorder="1" applyAlignment="1">
      <alignment horizontal="right" wrapText="1"/>
    </xf>
    <xf numFmtId="0" fontId="0" fillId="0" borderId="38" xfId="0" applyBorder="1" applyAlignment="1">
      <alignment wrapText="1"/>
    </xf>
    <xf numFmtId="0" fontId="67" fillId="0" borderId="0" xfId="0" applyFont="1" applyBorder="1" applyAlignment="1">
      <alignment wrapText="1"/>
    </xf>
    <xf numFmtId="0" fontId="67" fillId="0" borderId="45" xfId="0" applyFont="1" applyBorder="1" applyAlignment="1">
      <alignment wrapText="1"/>
    </xf>
    <xf numFmtId="165" fontId="67" fillId="26" borderId="43" xfId="0" applyNumberFormat="1" applyFont="1" applyFill="1" applyBorder="1" applyAlignment="1">
      <alignment horizontal="center" wrapText="1"/>
    </xf>
    <xf numFmtId="5" fontId="33" fillId="0" borderId="43" xfId="0" applyNumberFormat="1" applyFont="1" applyBorder="1" applyAlignment="1">
      <alignment wrapText="1"/>
    </xf>
    <xf numFmtId="0" fontId="0" fillId="0" borderId="43" xfId="0" applyBorder="1" applyAlignment="1">
      <alignment horizontal="center"/>
    </xf>
    <xf numFmtId="0" fontId="0" fillId="0" borderId="46" xfId="0" applyBorder="1" applyAlignment="1">
      <alignment/>
    </xf>
    <xf numFmtId="0" fontId="67" fillId="0" borderId="43" xfId="0" applyFont="1" applyBorder="1" applyAlignment="1">
      <alignment wrapText="1"/>
    </xf>
    <xf numFmtId="165" fontId="67" fillId="26" borderId="0" xfId="0" applyNumberFormat="1" applyFont="1" applyFill="1" applyBorder="1" applyAlignment="1">
      <alignment horizontal="center" wrapText="1"/>
    </xf>
    <xf numFmtId="5" fontId="33" fillId="0" borderId="0" xfId="0" applyNumberFormat="1" applyFont="1" applyBorder="1" applyAlignment="1">
      <alignment wrapText="1"/>
    </xf>
    <xf numFmtId="0" fontId="0" fillId="0" borderId="37" xfId="0" applyBorder="1" applyAlignment="1">
      <alignment/>
    </xf>
    <xf numFmtId="0" fontId="33" fillId="0" borderId="45" xfId="0" applyFont="1" applyBorder="1" applyAlignment="1">
      <alignment horizontal="left" wrapText="1"/>
    </xf>
    <xf numFmtId="0" fontId="33" fillId="0" borderId="43" xfId="0" applyFont="1" applyBorder="1" applyAlignment="1">
      <alignment horizontal="left" wrapText="1"/>
    </xf>
    <xf numFmtId="0" fontId="33" fillId="0" borderId="42" xfId="0" applyFont="1" applyBorder="1" applyAlignment="1">
      <alignment horizontal="left" wrapText="1"/>
    </xf>
    <xf numFmtId="0" fontId="33" fillId="0" borderId="0" xfId="0" applyFont="1" applyBorder="1" applyAlignment="1">
      <alignment horizontal="left" wrapText="1"/>
    </xf>
    <xf numFmtId="0" fontId="0" fillId="29" borderId="46" xfId="0" applyFill="1" applyBorder="1" applyAlignment="1">
      <alignment/>
    </xf>
    <xf numFmtId="0" fontId="32" fillId="27" borderId="17" xfId="0" applyFont="1" applyFill="1" applyBorder="1" applyAlignment="1">
      <alignment horizontal="center" wrapText="1"/>
    </xf>
    <xf numFmtId="0" fontId="45" fillId="27" borderId="47" xfId="0" applyFont="1" applyFill="1" applyBorder="1" applyAlignment="1">
      <alignment horizontal="center"/>
    </xf>
    <xf numFmtId="0" fontId="45" fillId="27" borderId="17" xfId="0" applyFont="1" applyFill="1" applyBorder="1" applyAlignment="1">
      <alignment horizontal="center" wrapText="1"/>
    </xf>
    <xf numFmtId="0" fontId="45" fillId="27" borderId="47" xfId="0" applyFont="1" applyFill="1" applyBorder="1" applyAlignment="1" quotePrefix="1">
      <alignment horizontal="center"/>
    </xf>
    <xf numFmtId="0" fontId="38" fillId="0" borderId="10" xfId="59" applyFont="1" applyBorder="1" applyAlignment="1" applyProtection="1">
      <alignment horizontal="left" indent="2"/>
      <protection locked="0"/>
    </xf>
    <xf numFmtId="0" fontId="21" fillId="30" borderId="14" xfId="0" applyFont="1" applyFill="1" applyBorder="1" applyAlignment="1">
      <alignment/>
    </xf>
    <xf numFmtId="0" fontId="0" fillId="30" borderId="20" xfId="0" applyFont="1" applyFill="1" applyBorder="1" applyAlignment="1">
      <alignment/>
    </xf>
    <xf numFmtId="0" fontId="0" fillId="30" borderId="13" xfId="0" applyFont="1" applyFill="1" applyBorder="1" applyAlignment="1">
      <alignment/>
    </xf>
    <xf numFmtId="0" fontId="0" fillId="30" borderId="20" xfId="0" applyFont="1" applyFill="1" applyBorder="1" applyAlignment="1">
      <alignment/>
    </xf>
    <xf numFmtId="0" fontId="33" fillId="27" borderId="17" xfId="0" applyFont="1" applyFill="1" applyBorder="1" applyAlignment="1">
      <alignment horizontal="center"/>
    </xf>
    <xf numFmtId="0" fontId="38" fillId="30" borderId="10" xfId="0" applyFont="1" applyFill="1" applyBorder="1" applyAlignment="1" applyProtection="1">
      <alignment horizontal="left" indent="1"/>
      <protection/>
    </xf>
    <xf numFmtId="0" fontId="38" fillId="0" borderId="10" xfId="0" applyFont="1" applyBorder="1" applyAlignment="1" applyProtection="1">
      <alignment horizontal="left" indent="1"/>
      <protection locked="0"/>
    </xf>
    <xf numFmtId="0" fontId="38" fillId="0" borderId="10" xfId="59" applyFont="1" applyBorder="1" applyAlignment="1" applyProtection="1">
      <alignment horizontal="left" indent="2"/>
      <protection/>
    </xf>
    <xf numFmtId="0" fontId="38" fillId="0" borderId="13" xfId="59" applyFont="1" applyBorder="1" applyAlignment="1" applyProtection="1">
      <alignment horizontal="left" indent="2"/>
      <protection/>
    </xf>
    <xf numFmtId="0" fontId="38" fillId="0" borderId="20" xfId="59" applyFont="1" applyBorder="1" applyAlignment="1" applyProtection="1">
      <alignment horizontal="left" indent="2"/>
      <protection locked="0"/>
    </xf>
    <xf numFmtId="0" fontId="41" fillId="27" borderId="14" xfId="59" applyFont="1" applyFill="1" applyBorder="1" applyAlignment="1">
      <alignment horizontal="left" indent="1"/>
      <protection/>
    </xf>
    <xf numFmtId="0" fontId="41" fillId="27" borderId="14" xfId="0" applyFont="1" applyFill="1" applyBorder="1" applyAlignment="1">
      <alignment horizontal="left" indent="1"/>
    </xf>
    <xf numFmtId="0" fontId="38" fillId="30" borderId="20" xfId="0" applyFont="1" applyFill="1" applyBorder="1" applyAlignment="1" applyProtection="1">
      <alignment horizontal="left" indent="1"/>
      <protection/>
    </xf>
    <xf numFmtId="0" fontId="40" fillId="27" borderId="14" xfId="0" applyFont="1" applyFill="1" applyBorder="1" applyAlignment="1">
      <alignment/>
    </xf>
    <xf numFmtId="165" fontId="38" fillId="30" borderId="10" xfId="0" applyNumberFormat="1" applyFont="1" applyFill="1" applyBorder="1" applyAlignment="1" applyProtection="1">
      <alignment horizontal="right"/>
      <protection/>
    </xf>
    <xf numFmtId="0" fontId="0" fillId="26" borderId="10" xfId="0" applyFont="1" applyFill="1" applyBorder="1" applyAlignment="1">
      <alignment horizontal="right"/>
    </xf>
    <xf numFmtId="0" fontId="0" fillId="30" borderId="10" xfId="0" applyNumberFormat="1" applyFill="1" applyBorder="1" applyAlignment="1" applyProtection="1">
      <alignment/>
      <protection/>
    </xf>
    <xf numFmtId="5" fontId="0" fillId="30" borderId="10" xfId="0" applyNumberFormat="1" applyFill="1" applyBorder="1" applyAlignment="1">
      <alignment/>
    </xf>
    <xf numFmtId="5" fontId="33" fillId="30" borderId="14" xfId="0" applyNumberFormat="1" applyFont="1" applyFill="1" applyBorder="1" applyAlignment="1">
      <alignment/>
    </xf>
    <xf numFmtId="0" fontId="0" fillId="30" borderId="10" xfId="0" applyFont="1" applyFill="1" applyBorder="1" applyAlignment="1">
      <alignment horizontal="right"/>
    </xf>
    <xf numFmtId="37" fontId="0" fillId="30" borderId="10" xfId="0" applyNumberFormat="1" applyFill="1" applyBorder="1" applyAlignment="1" applyProtection="1">
      <alignment/>
      <protection locked="0"/>
    </xf>
    <xf numFmtId="0" fontId="21" fillId="27" borderId="14" xfId="0" applyFont="1" applyFill="1" applyBorder="1" applyAlignment="1" applyProtection="1">
      <alignment/>
      <protection/>
    </xf>
    <xf numFmtId="167" fontId="0" fillId="25" borderId="10" xfId="42" applyNumberFormat="1" applyFont="1" applyFill="1" applyBorder="1" applyAlignment="1" applyProtection="1" quotePrefix="1">
      <alignment/>
      <protection locked="0"/>
    </xf>
    <xf numFmtId="167" fontId="0" fillId="25" borderId="10" xfId="42" applyNumberFormat="1" applyFont="1" applyFill="1" applyBorder="1" applyAlignment="1" applyProtection="1">
      <alignment horizontal="center"/>
      <protection locked="0"/>
    </xf>
    <xf numFmtId="0" fontId="0" fillId="26" borderId="0" xfId="0" applyFont="1" applyFill="1" applyBorder="1" applyAlignment="1" applyProtection="1">
      <alignment/>
      <protection/>
    </xf>
    <xf numFmtId="167" fontId="0" fillId="25" borderId="0" xfId="42" applyNumberFormat="1" applyFont="1" applyFill="1" applyBorder="1" applyAlignment="1" applyProtection="1">
      <alignment/>
      <protection locked="0"/>
    </xf>
    <xf numFmtId="167" fontId="0" fillId="25" borderId="0" xfId="42" applyNumberFormat="1" applyFont="1" applyFill="1" applyBorder="1" applyAlignment="1" applyProtection="1">
      <alignment horizontal="center"/>
      <protection locked="0"/>
    </xf>
    <xf numFmtId="0" fontId="33" fillId="27" borderId="14"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0" fillId="26" borderId="0" xfId="0" applyFill="1" applyAlignment="1">
      <alignment/>
    </xf>
    <xf numFmtId="167" fontId="0" fillId="26" borderId="0" xfId="42" applyNumberFormat="1" applyFont="1" applyFill="1" applyBorder="1" applyAlignment="1" applyProtection="1">
      <alignment/>
      <protection locked="0"/>
    </xf>
    <xf numFmtId="0" fontId="33" fillId="27" borderId="14" xfId="0" applyFont="1" applyFill="1" applyBorder="1" applyAlignment="1" applyProtection="1">
      <alignment horizontal="center"/>
      <protection/>
    </xf>
    <xf numFmtId="0" fontId="21" fillId="27" borderId="14" xfId="0" applyFont="1" applyFill="1" applyBorder="1" applyAlignment="1">
      <alignment/>
    </xf>
    <xf numFmtId="5" fontId="0" fillId="30" borderId="10" xfId="42" applyNumberFormat="1" applyFont="1" applyFill="1" applyBorder="1" applyAlignment="1" applyProtection="1">
      <alignment horizontal="right"/>
      <protection/>
    </xf>
    <xf numFmtId="5" fontId="0" fillId="25" borderId="10" xfId="42" applyNumberFormat="1" applyFont="1" applyFill="1" applyBorder="1" applyAlignment="1" applyProtection="1">
      <alignment horizontal="right"/>
      <protection locked="0"/>
    </xf>
    <xf numFmtId="5" fontId="0" fillId="26" borderId="0" xfId="42" applyNumberFormat="1" applyFont="1" applyFill="1" applyBorder="1" applyAlignment="1" applyProtection="1">
      <alignment horizontal="right"/>
      <protection/>
    </xf>
    <xf numFmtId="5" fontId="0" fillId="26" borderId="0" xfId="42" applyNumberFormat="1" applyFont="1" applyFill="1" applyBorder="1" applyAlignment="1" applyProtection="1">
      <alignment horizontal="right"/>
      <protection locked="0"/>
    </xf>
    <xf numFmtId="5" fontId="0" fillId="0" borderId="0" xfId="0" applyNumberFormat="1" applyAlignment="1" applyProtection="1">
      <alignment horizontal="right"/>
      <protection locked="0"/>
    </xf>
    <xf numFmtId="5" fontId="0" fillId="0" borderId="14" xfId="0" applyNumberFormat="1" applyBorder="1" applyAlignment="1">
      <alignment horizontal="right"/>
    </xf>
    <xf numFmtId="0" fontId="0" fillId="0" borderId="0" xfId="0" applyAlignment="1" applyProtection="1">
      <alignment horizontal="right"/>
      <protection locked="0"/>
    </xf>
    <xf numFmtId="5" fontId="33" fillId="30" borderId="14" xfId="0" applyNumberFormat="1" applyFont="1" applyFill="1" applyBorder="1" applyAlignment="1" applyProtection="1">
      <alignment horizontal="right"/>
      <protection/>
    </xf>
    <xf numFmtId="0" fontId="44" fillId="30" borderId="17" xfId="59" applyFont="1" applyFill="1" applyBorder="1" applyAlignment="1" applyProtection="1">
      <alignment horizontal="left" vertical="top" wrapText="1"/>
      <protection/>
    </xf>
    <xf numFmtId="0" fontId="38" fillId="30" borderId="20" xfId="59" applyFont="1" applyFill="1" applyBorder="1" applyAlignment="1" applyProtection="1">
      <alignment horizontal="left" indent="2"/>
      <protection/>
    </xf>
    <xf numFmtId="0" fontId="38" fillId="30" borderId="10" xfId="59" applyFont="1" applyFill="1" applyBorder="1" applyAlignment="1" applyProtection="1">
      <alignment horizontal="left" indent="2"/>
      <protection/>
    </xf>
    <xf numFmtId="165" fontId="38" fillId="30" borderId="10" xfId="0" applyNumberFormat="1" applyFont="1" applyFill="1" applyBorder="1" applyAlignment="1" applyProtection="1">
      <alignment/>
      <protection/>
    </xf>
    <xf numFmtId="0" fontId="38" fillId="25" borderId="10" xfId="59" applyFont="1" applyFill="1" applyBorder="1" applyAlignment="1" applyProtection="1">
      <alignment horizontal="left" indent="2"/>
      <protection locked="0"/>
    </xf>
    <xf numFmtId="165" fontId="41" fillId="0" borderId="0" xfId="0" applyNumberFormat="1" applyFont="1" applyAlignment="1" applyProtection="1">
      <alignment horizontal="left"/>
      <protection/>
    </xf>
    <xf numFmtId="165" fontId="41" fillId="0" borderId="0" xfId="0" applyNumberFormat="1" applyFont="1" applyAlignment="1" applyProtection="1">
      <alignment horizontal="right"/>
      <protection/>
    </xf>
    <xf numFmtId="165" fontId="41" fillId="25" borderId="14" xfId="59" applyNumberFormat="1" applyFont="1" applyFill="1" applyBorder="1" applyAlignment="1">
      <alignment horizontal="right"/>
      <protection/>
    </xf>
    <xf numFmtId="165" fontId="41" fillId="0" borderId="0" xfId="59" applyNumberFormat="1" applyFont="1" applyAlignment="1">
      <alignment horizontal="left"/>
      <protection/>
    </xf>
    <xf numFmtId="165" fontId="41" fillId="0" borderId="0" xfId="59" applyNumberFormat="1" applyFont="1" applyAlignment="1">
      <alignment horizontal="right"/>
      <protection/>
    </xf>
    <xf numFmtId="165" fontId="41" fillId="0" borderId="0" xfId="59" applyNumberFormat="1" applyFont="1" applyAlignment="1" applyProtection="1">
      <alignment horizontal="left"/>
      <protection/>
    </xf>
    <xf numFmtId="165" fontId="41" fillId="0" borderId="0" xfId="59" applyNumberFormat="1" applyFont="1" applyAlignment="1" applyProtection="1">
      <alignment horizontal="right"/>
      <protection/>
    </xf>
    <xf numFmtId="165" fontId="41" fillId="25" borderId="14" xfId="59" applyNumberFormat="1" applyFont="1" applyFill="1" applyBorder="1" applyAlignment="1" applyProtection="1">
      <alignment horizontal="right"/>
      <protection locked="0"/>
    </xf>
    <xf numFmtId="165" fontId="41" fillId="0" borderId="14" xfId="59" applyNumberFormat="1" applyFont="1" applyBorder="1" applyAlignment="1" applyProtection="1">
      <alignment horizontal="right"/>
      <protection locked="0"/>
    </xf>
    <xf numFmtId="165" fontId="41" fillId="0" borderId="0" xfId="59" applyNumberFormat="1" applyFont="1" applyAlignment="1" applyProtection="1">
      <alignment horizontal="left"/>
      <protection locked="0"/>
    </xf>
    <xf numFmtId="165" fontId="41" fillId="0" borderId="0" xfId="59" applyNumberFormat="1" applyFont="1" applyAlignment="1" applyProtection="1">
      <alignment horizontal="right"/>
      <protection locked="0"/>
    </xf>
    <xf numFmtId="165" fontId="41" fillId="0" borderId="0" xfId="0" applyNumberFormat="1" applyFont="1" applyBorder="1" applyAlignment="1">
      <alignment horizontal="left"/>
    </xf>
    <xf numFmtId="165" fontId="41" fillId="0" borderId="0" xfId="0" applyNumberFormat="1" applyFont="1" applyBorder="1" applyAlignment="1">
      <alignment horizontal="right"/>
    </xf>
    <xf numFmtId="5" fontId="41" fillId="25" borderId="14" xfId="59" applyNumberFormat="1" applyFont="1" applyFill="1" applyBorder="1" applyAlignment="1">
      <alignment horizontal="right"/>
      <protection/>
    </xf>
    <xf numFmtId="165" fontId="41" fillId="0" borderId="0" xfId="59" applyNumberFormat="1" applyFont="1" applyFill="1" applyBorder="1" applyAlignment="1">
      <alignment horizontal="right"/>
      <protection/>
    </xf>
    <xf numFmtId="165" fontId="38" fillId="25" borderId="33" xfId="0" applyNumberFormat="1" applyFont="1" applyFill="1" applyBorder="1" applyAlignment="1" applyProtection="1">
      <alignment/>
      <protection locked="0"/>
    </xf>
    <xf numFmtId="0" fontId="41" fillId="27" borderId="14" xfId="59" applyFont="1" applyFill="1" applyBorder="1" applyAlignment="1" applyProtection="1">
      <alignment horizontal="left" indent="1"/>
      <protection/>
    </xf>
    <xf numFmtId="0" fontId="38" fillId="0" borderId="10" xfId="59" applyFont="1" applyBorder="1" applyAlignment="1" applyProtection="1" quotePrefix="1">
      <alignment horizontal="left" indent="2"/>
      <protection locked="0"/>
    </xf>
    <xf numFmtId="0" fontId="41" fillId="27" borderId="14" xfId="0" applyFont="1" applyFill="1" applyBorder="1" applyAlignment="1" applyProtection="1">
      <alignment/>
      <protection/>
    </xf>
    <xf numFmtId="0" fontId="38" fillId="0" borderId="27" xfId="0" applyFont="1" applyBorder="1" applyAlignment="1" applyProtection="1" quotePrefix="1">
      <alignment/>
      <protection locked="0"/>
    </xf>
    <xf numFmtId="165" fontId="38" fillId="0" borderId="25" xfId="0" applyNumberFormat="1" applyFont="1" applyBorder="1" applyAlignment="1" quotePrefix="1">
      <alignment/>
    </xf>
    <xf numFmtId="165" fontId="38" fillId="0" borderId="33" xfId="0" applyNumberFormat="1" applyFont="1" applyBorder="1" applyAlignment="1" quotePrefix="1">
      <alignment/>
    </xf>
    <xf numFmtId="0" fontId="38" fillId="0" borderId="28" xfId="0" applyFont="1" applyBorder="1" applyAlignment="1" applyProtection="1" quotePrefix="1">
      <alignment/>
      <protection locked="0"/>
    </xf>
    <xf numFmtId="165" fontId="38" fillId="0" borderId="48" xfId="0" applyNumberFormat="1" applyFont="1" applyBorder="1" applyAlignment="1" quotePrefix="1">
      <alignment/>
    </xf>
    <xf numFmtId="165" fontId="38" fillId="0" borderId="34" xfId="0" applyNumberFormat="1" applyFont="1" applyBorder="1" applyAlignment="1" quotePrefix="1">
      <alignment/>
    </xf>
    <xf numFmtId="0" fontId="38" fillId="0" borderId="10" xfId="59" applyFont="1" applyBorder="1" applyAlignment="1" applyProtection="1">
      <alignment horizontal="left" vertical="top"/>
      <protection locked="0"/>
    </xf>
    <xf numFmtId="5" fontId="38" fillId="30" borderId="10" xfId="0" applyNumberFormat="1" applyFont="1" applyFill="1" applyBorder="1" applyAlignment="1" applyProtection="1">
      <alignment horizontal="right"/>
      <protection/>
    </xf>
    <xf numFmtId="46" fontId="0" fillId="0" borderId="14" xfId="0" applyNumberFormat="1" applyFont="1" applyBorder="1" applyAlignment="1" applyProtection="1" quotePrefix="1">
      <alignment wrapText="1"/>
      <protection locked="0"/>
    </xf>
    <xf numFmtId="0" fontId="34" fillId="26" borderId="14" xfId="0" applyFont="1" applyFill="1" applyBorder="1" applyAlignment="1" applyProtection="1">
      <alignment/>
      <protection locked="0"/>
    </xf>
    <xf numFmtId="0" fontId="0" fillId="30" borderId="13" xfId="0" applyFont="1" applyFill="1" applyBorder="1" applyAlignment="1">
      <alignment/>
    </xf>
    <xf numFmtId="0" fontId="24" fillId="0" borderId="14" xfId="0" applyNumberFormat="1" applyFont="1" applyBorder="1" applyAlignment="1">
      <alignment vertical="top" wrapText="1"/>
    </xf>
    <xf numFmtId="0" fontId="24" fillId="0" borderId="14" xfId="0" applyFont="1" applyBorder="1" applyAlignment="1">
      <alignment horizontal="left" vertical="top" wrapText="1"/>
    </xf>
    <xf numFmtId="0" fontId="24" fillId="0" borderId="14" xfId="0" applyFont="1" applyBorder="1" applyAlignment="1">
      <alignment vertical="top" wrapText="1"/>
    </xf>
    <xf numFmtId="0" fontId="32" fillId="32" borderId="14" xfId="0" applyFont="1" applyFill="1" applyBorder="1" applyAlignment="1">
      <alignment horizontal="center" wrapText="1"/>
    </xf>
    <xf numFmtId="0" fontId="0" fillId="0" borderId="0" xfId="0" applyFont="1" applyBorder="1" applyAlignment="1">
      <alignment/>
    </xf>
    <xf numFmtId="0" fontId="24" fillId="0" borderId="36" xfId="0" applyFont="1" applyBorder="1" applyAlignment="1">
      <alignment vertical="top" wrapText="1"/>
    </xf>
    <xf numFmtId="0" fontId="58" fillId="0" borderId="47" xfId="0" applyFont="1" applyBorder="1" applyAlignment="1">
      <alignment vertical="top" wrapText="1"/>
    </xf>
    <xf numFmtId="0" fontId="0" fillId="0" borderId="29" xfId="0" applyBorder="1" applyAlignment="1" applyProtection="1">
      <alignment horizontal="right"/>
      <protection locked="0"/>
    </xf>
    <xf numFmtId="0" fontId="0" fillId="0" borderId="29" xfId="0" applyBorder="1" applyAlignment="1" applyProtection="1">
      <alignment/>
      <protection locked="0"/>
    </xf>
    <xf numFmtId="9" fontId="33" fillId="0" borderId="49" xfId="0" applyNumberFormat="1" applyFont="1" applyBorder="1" applyAlignment="1">
      <alignment horizontal="right"/>
    </xf>
    <xf numFmtId="0" fontId="24" fillId="26" borderId="14" xfId="0" applyFont="1" applyFill="1" applyBorder="1" applyAlignment="1">
      <alignment vertical="top" wrapText="1"/>
    </xf>
    <xf numFmtId="0" fontId="32" fillId="0" borderId="14" xfId="0" applyFont="1" applyBorder="1" applyAlignment="1">
      <alignment vertical="top" wrapText="1"/>
    </xf>
    <xf numFmtId="0" fontId="0" fillId="0" borderId="0" xfId="0" applyAlignment="1">
      <alignment vertical="top"/>
    </xf>
    <xf numFmtId="0" fontId="21" fillId="32" borderId="14" xfId="0" applyFont="1" applyFill="1" applyBorder="1" applyAlignment="1">
      <alignment horizontal="center" vertical="top"/>
    </xf>
    <xf numFmtId="0" fontId="0" fillId="0" borderId="0" xfId="0" applyBorder="1" applyAlignment="1">
      <alignment vertical="top" wrapText="1"/>
    </xf>
    <xf numFmtId="0" fontId="21" fillId="32" borderId="14" xfId="0" applyFont="1" applyFill="1" applyBorder="1" applyAlignment="1">
      <alignment horizontal="center" vertical="top" wrapText="1"/>
    </xf>
    <xf numFmtId="0" fontId="24" fillId="0" borderId="0" xfId="0" applyFont="1" applyBorder="1" applyAlignment="1">
      <alignment vertical="top" wrapText="1"/>
    </xf>
    <xf numFmtId="0" fontId="24" fillId="0" borderId="0" xfId="0" applyFont="1" applyAlignment="1">
      <alignment vertical="top"/>
    </xf>
    <xf numFmtId="0" fontId="32" fillId="0" borderId="50" xfId="0" applyFont="1" applyFill="1" applyBorder="1" applyAlignment="1">
      <alignment vertical="top" wrapText="1"/>
    </xf>
    <xf numFmtId="0" fontId="32" fillId="0" borderId="14" xfId="0" applyFont="1" applyBorder="1" applyAlignment="1">
      <alignment horizontal="left" vertical="top" wrapText="1"/>
    </xf>
    <xf numFmtId="0" fontId="32" fillId="0" borderId="0" xfId="0" applyFont="1" applyFill="1" applyBorder="1" applyAlignment="1">
      <alignment vertical="top" wrapText="1"/>
    </xf>
    <xf numFmtId="0" fontId="32" fillId="32" borderId="14" xfId="0" applyFont="1" applyFill="1" applyBorder="1" applyAlignment="1">
      <alignment horizontal="center" vertical="top" wrapText="1"/>
    </xf>
    <xf numFmtId="0" fontId="24" fillId="0" borderId="47" xfId="0" applyFont="1" applyBorder="1" applyAlignment="1">
      <alignment vertical="top" wrapText="1"/>
    </xf>
    <xf numFmtId="0" fontId="32" fillId="0" borderId="36" xfId="0" applyFont="1" applyBorder="1" applyAlignment="1">
      <alignment vertical="top" wrapText="1"/>
    </xf>
    <xf numFmtId="0" fontId="24" fillId="0" borderId="46" xfId="0" applyFont="1" applyBorder="1" applyAlignment="1">
      <alignment horizontal="left" vertical="top" wrapText="1"/>
    </xf>
    <xf numFmtId="0" fontId="24" fillId="0" borderId="38" xfId="0" applyFont="1" applyBorder="1" applyAlignment="1">
      <alignment vertical="top" wrapText="1"/>
    </xf>
    <xf numFmtId="0" fontId="32" fillId="32" borderId="44" xfId="0" applyFont="1" applyFill="1" applyBorder="1" applyAlignment="1">
      <alignment horizontal="center" vertical="top" wrapText="1"/>
    </xf>
    <xf numFmtId="3" fontId="33" fillId="30" borderId="14" xfId="0" applyNumberFormat="1" applyFont="1" applyFill="1" applyBorder="1" applyAlignment="1" applyProtection="1">
      <alignment wrapText="1"/>
      <protection/>
    </xf>
    <xf numFmtId="167" fontId="0" fillId="26" borderId="20" xfId="42" applyNumberFormat="1" applyFont="1" applyFill="1" applyBorder="1" applyAlignment="1" applyProtection="1">
      <alignment/>
      <protection locked="0"/>
    </xf>
    <xf numFmtId="167" fontId="0" fillId="30" borderId="20" xfId="42" applyNumberFormat="1" applyFont="1" applyFill="1" applyBorder="1" applyAlignment="1" applyProtection="1">
      <alignment horizontal="center"/>
      <protection/>
    </xf>
    <xf numFmtId="0" fontId="0" fillId="29" borderId="0" xfId="0" applyFill="1" applyAlignment="1" applyProtection="1">
      <alignment/>
      <protection/>
    </xf>
    <xf numFmtId="0" fontId="33" fillId="29" borderId="0" xfId="0" applyFont="1" applyFill="1" applyAlignment="1" applyProtection="1">
      <alignment/>
      <protection/>
    </xf>
    <xf numFmtId="0" fontId="61" fillId="30" borderId="20" xfId="0" applyFont="1" applyFill="1" applyBorder="1" applyAlignment="1" applyProtection="1" quotePrefix="1">
      <alignment vertical="top"/>
      <protection/>
    </xf>
    <xf numFmtId="0" fontId="61" fillId="30" borderId="20" xfId="0" applyFont="1" applyFill="1" applyBorder="1" applyAlignment="1" applyProtection="1">
      <alignment vertical="top"/>
      <protection/>
    </xf>
    <xf numFmtId="0" fontId="61" fillId="30" borderId="20" xfId="0" applyFont="1" applyFill="1" applyBorder="1" applyAlignment="1" applyProtection="1">
      <alignment horizontal="left"/>
      <protection/>
    </xf>
    <xf numFmtId="0" fontId="61" fillId="30" borderId="10" xfId="0" applyFont="1" applyFill="1" applyBorder="1" applyAlignment="1" applyProtection="1">
      <alignment horizontal="left"/>
      <protection/>
    </xf>
    <xf numFmtId="0" fontId="61" fillId="30" borderId="13" xfId="0" applyFont="1" applyFill="1" applyBorder="1" applyAlignment="1" applyProtection="1">
      <alignment horizontal="left"/>
      <protection/>
    </xf>
    <xf numFmtId="0" fontId="33" fillId="30" borderId="14" xfId="0" applyFont="1" applyFill="1" applyBorder="1" applyAlignment="1" applyProtection="1">
      <alignment horizontal="left"/>
      <protection/>
    </xf>
    <xf numFmtId="167" fontId="0" fillId="26" borderId="29" xfId="42" applyNumberFormat="1" applyFont="1" applyFill="1" applyBorder="1" applyAlignment="1" applyProtection="1">
      <alignment/>
      <protection locked="0"/>
    </xf>
    <xf numFmtId="0" fontId="0" fillId="29" borderId="17" xfId="0" applyFill="1" applyBorder="1" applyAlignment="1" applyProtection="1">
      <alignment/>
      <protection/>
    </xf>
    <xf numFmtId="0" fontId="0" fillId="0" borderId="17" xfId="0" applyBorder="1" applyAlignment="1">
      <alignment vertical="top" wrapText="1"/>
    </xf>
    <xf numFmtId="5" fontId="38" fillId="30" borderId="14" xfId="0" applyNumberFormat="1" applyFont="1" applyFill="1" applyBorder="1" applyAlignment="1" applyProtection="1">
      <alignment horizontal="right"/>
      <protection/>
    </xf>
    <xf numFmtId="5" fontId="33" fillId="30" borderId="14" xfId="0" applyNumberFormat="1" applyFont="1" applyFill="1" applyBorder="1" applyAlignment="1" applyProtection="1">
      <alignment/>
      <protection/>
    </xf>
    <xf numFmtId="0" fontId="0" fillId="30" borderId="20" xfId="0" applyFont="1" applyFill="1" applyBorder="1" applyAlignment="1" applyProtection="1">
      <alignment horizontal="left" vertical="top"/>
      <protection/>
    </xf>
    <xf numFmtId="0" fontId="0" fillId="30" borderId="12" xfId="0" applyFont="1" applyFill="1" applyBorder="1" applyAlignment="1" applyProtection="1">
      <alignment horizontal="left" vertical="top"/>
      <protection/>
    </xf>
    <xf numFmtId="0" fontId="0" fillId="30" borderId="10" xfId="0" applyFont="1" applyFill="1" applyBorder="1" applyAlignment="1" applyProtection="1">
      <alignment horizontal="left"/>
      <protection/>
    </xf>
    <xf numFmtId="0" fontId="0" fillId="30" borderId="13" xfId="0" applyFont="1" applyFill="1" applyBorder="1" applyAlignment="1" applyProtection="1">
      <alignment horizontal="left"/>
      <protection/>
    </xf>
    <xf numFmtId="0" fontId="0" fillId="30" borderId="20" xfId="0" applyFont="1" applyFill="1" applyBorder="1" applyAlignment="1" applyProtection="1">
      <alignment horizontal="center"/>
      <protection/>
    </xf>
    <xf numFmtId="0" fontId="0" fillId="30" borderId="20" xfId="0" applyFill="1" applyBorder="1" applyAlignment="1" applyProtection="1">
      <alignment/>
      <protection locked="0"/>
    </xf>
    <xf numFmtId="167" fontId="0" fillId="30" borderId="10" xfId="42" applyNumberFormat="1" applyFont="1" applyFill="1" applyBorder="1" applyAlignment="1" applyProtection="1">
      <alignment/>
      <protection/>
    </xf>
    <xf numFmtId="167" fontId="0" fillId="30" borderId="10" xfId="42" applyNumberFormat="1" applyFont="1" applyFill="1" applyBorder="1" applyAlignment="1" applyProtection="1">
      <alignment/>
      <protection locked="0"/>
    </xf>
    <xf numFmtId="167" fontId="0" fillId="30" borderId="13" xfId="42" applyNumberFormat="1" applyFont="1" applyFill="1" applyBorder="1" applyAlignment="1" applyProtection="1">
      <alignment/>
      <protection locked="0"/>
    </xf>
    <xf numFmtId="167" fontId="0" fillId="30" borderId="15" xfId="42" applyNumberFormat="1" applyFont="1" applyFill="1" applyBorder="1" applyAlignment="1" applyProtection="1">
      <alignment/>
      <protection locked="0"/>
    </xf>
    <xf numFmtId="167" fontId="0" fillId="30" borderId="20" xfId="42" applyNumberFormat="1" applyFont="1" applyFill="1" applyBorder="1" applyAlignment="1" applyProtection="1">
      <alignment/>
      <protection/>
    </xf>
    <xf numFmtId="0" fontId="0" fillId="30" borderId="29" xfId="0" applyFont="1" applyFill="1" applyBorder="1" applyAlignment="1" applyProtection="1">
      <alignment horizontal="center"/>
      <protection/>
    </xf>
    <xf numFmtId="167" fontId="0" fillId="30" borderId="29" xfId="42" applyNumberFormat="1" applyFont="1" applyFill="1" applyBorder="1" applyAlignment="1" applyProtection="1">
      <alignment/>
      <protection locked="0"/>
    </xf>
    <xf numFmtId="167" fontId="0" fillId="30" borderId="29" xfId="42" applyNumberFormat="1" applyFont="1" applyFill="1" applyBorder="1" applyAlignment="1" applyProtection="1">
      <alignment/>
      <protection/>
    </xf>
    <xf numFmtId="167" fontId="0" fillId="30" borderId="31" xfId="42" applyNumberFormat="1" applyFont="1" applyFill="1" applyBorder="1" applyAlignment="1" applyProtection="1">
      <alignment/>
      <protection locked="0"/>
    </xf>
    <xf numFmtId="167" fontId="59" fillId="30" borderId="31" xfId="42" applyNumberFormat="1" applyFont="1" applyFill="1" applyBorder="1" applyAlignment="1" applyProtection="1">
      <alignment/>
      <protection/>
    </xf>
    <xf numFmtId="167" fontId="0" fillId="30" borderId="31" xfId="42" applyNumberFormat="1" applyFont="1" applyFill="1" applyBorder="1" applyAlignment="1" applyProtection="1">
      <alignment/>
      <protection/>
    </xf>
    <xf numFmtId="167" fontId="0" fillId="30" borderId="35" xfId="42" applyNumberFormat="1" applyFont="1" applyFill="1" applyBorder="1" applyAlignment="1" applyProtection="1">
      <alignment/>
      <protection locked="0"/>
    </xf>
    <xf numFmtId="167" fontId="0" fillId="30" borderId="20" xfId="42" applyNumberFormat="1" applyFont="1" applyFill="1" applyBorder="1" applyAlignment="1" applyProtection="1">
      <alignment/>
      <protection locked="0"/>
    </xf>
    <xf numFmtId="167" fontId="61" fillId="30" borderId="10" xfId="42" applyNumberFormat="1" applyFont="1" applyFill="1" applyBorder="1" applyAlignment="1" applyProtection="1">
      <alignment horizontal="center"/>
      <protection/>
    </xf>
    <xf numFmtId="167" fontId="0" fillId="30" borderId="51" xfId="42" applyNumberFormat="1" applyFont="1" applyFill="1" applyBorder="1" applyAlignment="1" applyProtection="1">
      <alignment/>
      <protection locked="0"/>
    </xf>
    <xf numFmtId="167" fontId="0" fillId="30" borderId="52" xfId="42" applyNumberFormat="1" applyFont="1" applyFill="1" applyBorder="1" applyAlignment="1" applyProtection="1">
      <alignment/>
      <protection/>
    </xf>
    <xf numFmtId="0" fontId="0" fillId="30" borderId="29" xfId="0" applyFont="1" applyFill="1" applyBorder="1" applyAlignment="1" applyProtection="1">
      <alignment horizontal="left"/>
      <protection/>
    </xf>
    <xf numFmtId="0" fontId="33" fillId="30" borderId="14" xfId="0" applyFont="1" applyFill="1" applyBorder="1" applyAlignment="1" applyProtection="1">
      <alignment wrapText="1"/>
      <protection locked="0"/>
    </xf>
    <xf numFmtId="0" fontId="33" fillId="30" borderId="14" xfId="0" applyFont="1" applyFill="1" applyBorder="1" applyAlignment="1" applyProtection="1">
      <alignment/>
      <protection/>
    </xf>
    <xf numFmtId="0" fontId="33" fillId="30" borderId="15" xfId="0" applyFont="1" applyFill="1" applyBorder="1" applyAlignment="1" applyProtection="1" quotePrefix="1">
      <alignment horizontal="left"/>
      <protection/>
    </xf>
    <xf numFmtId="0" fontId="33" fillId="30" borderId="47" xfId="0" applyFont="1" applyFill="1" applyBorder="1" applyAlignment="1" applyProtection="1">
      <alignment horizontal="center"/>
      <protection/>
    </xf>
    <xf numFmtId="167" fontId="0" fillId="30" borderId="14" xfId="42" applyNumberFormat="1" applyFont="1" applyFill="1" applyBorder="1" applyAlignment="1" applyProtection="1">
      <alignment/>
      <protection/>
    </xf>
    <xf numFmtId="167" fontId="33" fillId="30" borderId="14" xfId="42" applyNumberFormat="1" applyFont="1" applyFill="1" applyBorder="1" applyAlignment="1" applyProtection="1">
      <alignment horizontal="center"/>
      <protection/>
    </xf>
    <xf numFmtId="167" fontId="33" fillId="30" borderId="14" xfId="0" applyNumberFormat="1" applyFont="1" applyFill="1" applyBorder="1" applyAlignment="1" applyProtection="1">
      <alignment/>
      <protection/>
    </xf>
    <xf numFmtId="167" fontId="33" fillId="30" borderId="14" xfId="42" applyNumberFormat="1" applyFont="1" applyFill="1" applyBorder="1" applyAlignment="1" applyProtection="1">
      <alignment/>
      <protection/>
    </xf>
    <xf numFmtId="5" fontId="33" fillId="30" borderId="14" xfId="42" applyNumberFormat="1" applyFont="1" applyFill="1" applyBorder="1" applyAlignment="1" applyProtection="1">
      <alignment/>
      <protection/>
    </xf>
    <xf numFmtId="10" fontId="33" fillId="30" borderId="14" xfId="62" applyNumberFormat="1" applyFont="1" applyFill="1" applyBorder="1" applyAlignment="1" applyProtection="1">
      <alignment horizontal="center"/>
      <protection/>
    </xf>
    <xf numFmtId="10" fontId="33" fillId="30" borderId="14" xfId="0" applyNumberFormat="1" applyFont="1" applyFill="1" applyBorder="1" applyAlignment="1" applyProtection="1">
      <alignment/>
      <protection/>
    </xf>
    <xf numFmtId="0" fontId="33" fillId="30" borderId="31" xfId="0" applyFont="1" applyFill="1" applyBorder="1" applyAlignment="1" applyProtection="1">
      <alignment horizontal="center"/>
      <protection/>
    </xf>
    <xf numFmtId="0" fontId="33" fillId="30" borderId="10" xfId="0" applyFont="1" applyFill="1" applyBorder="1" applyAlignment="1">
      <alignment horizontal="right"/>
    </xf>
    <xf numFmtId="0" fontId="33" fillId="30" borderId="27" xfId="0" applyFont="1" applyFill="1" applyBorder="1" applyAlignment="1">
      <alignment horizontal="right"/>
    </xf>
    <xf numFmtId="0" fontId="33" fillId="30" borderId="14" xfId="0" applyFont="1" applyFill="1" applyBorder="1" applyAlignment="1">
      <alignment/>
    </xf>
    <xf numFmtId="0" fontId="32" fillId="30" borderId="14" xfId="0" applyFont="1" applyFill="1" applyBorder="1" applyAlignment="1">
      <alignment horizontal="center"/>
    </xf>
    <xf numFmtId="0" fontId="32" fillId="30" borderId="47" xfId="0" applyFont="1" applyFill="1" applyBorder="1" applyAlignment="1">
      <alignment horizontal="center" wrapText="1"/>
    </xf>
    <xf numFmtId="0" fontId="32" fillId="30" borderId="47" xfId="0" applyFont="1" applyFill="1" applyBorder="1" applyAlignment="1">
      <alignment horizontal="center"/>
    </xf>
    <xf numFmtId="0" fontId="33" fillId="30" borderId="41" xfId="0" applyFont="1" applyFill="1" applyBorder="1" applyAlignment="1">
      <alignment horizontal="center"/>
    </xf>
    <xf numFmtId="0" fontId="33" fillId="30" borderId="40" xfId="0" applyFont="1" applyFill="1" applyBorder="1" applyAlignment="1">
      <alignment horizontal="center"/>
    </xf>
    <xf numFmtId="0" fontId="33" fillId="30" borderId="14" xfId="0" applyFont="1" applyFill="1" applyBorder="1" applyAlignment="1">
      <alignment horizontal="center"/>
    </xf>
    <xf numFmtId="9" fontId="33" fillId="30" borderId="12" xfId="0" applyNumberFormat="1" applyFont="1" applyFill="1" applyBorder="1" applyAlignment="1">
      <alignment horizontal="right"/>
    </xf>
    <xf numFmtId="0" fontId="33" fillId="30" borderId="14" xfId="0" applyFont="1" applyFill="1" applyBorder="1" applyAlignment="1">
      <alignment horizontal="right"/>
    </xf>
    <xf numFmtId="0" fontId="0" fillId="30" borderId="39" xfId="0" applyFont="1" applyFill="1" applyBorder="1" applyAlignment="1">
      <alignment horizontal="center"/>
    </xf>
    <xf numFmtId="0" fontId="0" fillId="30" borderId="41" xfId="0" applyFill="1" applyBorder="1" applyAlignment="1">
      <alignment horizontal="center"/>
    </xf>
    <xf numFmtId="0" fontId="0" fillId="30" borderId="39" xfId="0" applyFont="1" applyFill="1" applyBorder="1" applyAlignment="1">
      <alignment wrapText="1"/>
    </xf>
    <xf numFmtId="0" fontId="33" fillId="30" borderId="20" xfId="0" applyFont="1" applyFill="1" applyBorder="1" applyAlignment="1">
      <alignment/>
    </xf>
    <xf numFmtId="0" fontId="0" fillId="30" borderId="40" xfId="0" applyFont="1" applyFill="1" applyBorder="1" applyAlignment="1">
      <alignment/>
    </xf>
    <xf numFmtId="165" fontId="33" fillId="30" borderId="13" xfId="0" applyNumberFormat="1" applyFont="1" applyFill="1" applyBorder="1" applyAlignment="1">
      <alignment/>
    </xf>
    <xf numFmtId="165" fontId="32" fillId="30" borderId="14" xfId="0" applyNumberFormat="1" applyFont="1" applyFill="1" applyBorder="1" applyAlignment="1">
      <alignment/>
    </xf>
    <xf numFmtId="0" fontId="33" fillId="30" borderId="15" xfId="0" applyFont="1" applyFill="1" applyBorder="1" applyAlignment="1">
      <alignment horizontal="center"/>
    </xf>
    <xf numFmtId="0" fontId="33" fillId="30" borderId="44" xfId="0" applyFont="1" applyFill="1" applyBorder="1" applyAlignment="1">
      <alignment horizontal="center"/>
    </xf>
    <xf numFmtId="0" fontId="33" fillId="30" borderId="39" xfId="0" applyFont="1" applyFill="1" applyBorder="1" applyAlignment="1">
      <alignment wrapText="1"/>
    </xf>
    <xf numFmtId="165" fontId="33" fillId="30" borderId="20" xfId="0" applyNumberFormat="1" applyFont="1" applyFill="1" applyBorder="1" applyAlignment="1">
      <alignment/>
    </xf>
    <xf numFmtId="0" fontId="0" fillId="30" borderId="41" xfId="0" applyFont="1" applyFill="1" applyBorder="1" applyAlignment="1">
      <alignment horizontal="center"/>
    </xf>
    <xf numFmtId="0" fontId="33" fillId="30" borderId="47" xfId="0" applyFont="1" applyFill="1" applyBorder="1" applyAlignment="1">
      <alignment horizontal="center" wrapText="1"/>
    </xf>
    <xf numFmtId="0" fontId="33" fillId="30" borderId="47" xfId="0" applyFont="1" applyFill="1" applyBorder="1" applyAlignment="1">
      <alignment horizontal="center"/>
    </xf>
    <xf numFmtId="0" fontId="0" fillId="30" borderId="20" xfId="0" applyFill="1" applyBorder="1" applyAlignment="1">
      <alignment/>
    </xf>
    <xf numFmtId="0" fontId="0" fillId="30" borderId="10" xfId="0" applyFill="1" applyBorder="1" applyAlignment="1">
      <alignment/>
    </xf>
    <xf numFmtId="0" fontId="0" fillId="30" borderId="13" xfId="0" applyFill="1" applyBorder="1" applyAlignment="1">
      <alignment/>
    </xf>
    <xf numFmtId="169" fontId="33" fillId="30" borderId="14" xfId="0" applyNumberFormat="1" applyFont="1" applyFill="1" applyBorder="1" applyAlignment="1">
      <alignment horizontal="right"/>
    </xf>
    <xf numFmtId="169" fontId="33" fillId="30" borderId="14" xfId="0" applyNumberFormat="1" applyFont="1" applyFill="1" applyBorder="1" applyAlignment="1">
      <alignment/>
    </xf>
    <xf numFmtId="165" fontId="0" fillId="30" borderId="20" xfId="0" applyNumberFormat="1" applyFill="1" applyBorder="1" applyAlignment="1">
      <alignment/>
    </xf>
    <xf numFmtId="165" fontId="0" fillId="30" borderId="13" xfId="0" applyNumberFormat="1" applyFill="1" applyBorder="1" applyAlignment="1">
      <alignment/>
    </xf>
    <xf numFmtId="170" fontId="33" fillId="30" borderId="20" xfId="0" applyNumberFormat="1" applyFont="1" applyFill="1" applyBorder="1" applyAlignment="1">
      <alignment/>
    </xf>
    <xf numFmtId="0" fontId="33" fillId="30" borderId="20" xfId="0" applyFont="1" applyFill="1" applyBorder="1" applyAlignment="1">
      <alignment horizontal="right"/>
    </xf>
    <xf numFmtId="9" fontId="33" fillId="30" borderId="29" xfId="0" applyNumberFormat="1" applyFont="1" applyFill="1" applyBorder="1" applyAlignment="1">
      <alignment horizontal="right"/>
    </xf>
    <xf numFmtId="37" fontId="33" fillId="30" borderId="14" xfId="0" applyNumberFormat="1" applyFont="1" applyFill="1" applyBorder="1" applyAlignment="1">
      <alignment horizontal="right"/>
    </xf>
    <xf numFmtId="170" fontId="33" fillId="30" borderId="14" xfId="0" applyNumberFormat="1" applyFont="1" applyFill="1" applyBorder="1" applyAlignment="1">
      <alignment/>
    </xf>
    <xf numFmtId="0" fontId="0" fillId="30" borderId="26" xfId="0" applyFill="1" applyBorder="1" applyAlignment="1">
      <alignment/>
    </xf>
    <xf numFmtId="0" fontId="0" fillId="30" borderId="49" xfId="0" applyFill="1" applyBorder="1" applyAlignment="1">
      <alignment/>
    </xf>
    <xf numFmtId="0" fontId="33" fillId="30" borderId="15" xfId="0" applyFont="1" applyFill="1" applyBorder="1" applyAlignment="1">
      <alignment/>
    </xf>
    <xf numFmtId="0" fontId="32" fillId="30" borderId="14" xfId="0" applyFont="1" applyFill="1" applyBorder="1" applyAlignment="1">
      <alignment/>
    </xf>
    <xf numFmtId="37" fontId="33" fillId="30" borderId="14" xfId="0" applyNumberFormat="1" applyFont="1" applyFill="1" applyBorder="1" applyAlignment="1">
      <alignment/>
    </xf>
    <xf numFmtId="0" fontId="33" fillId="30" borderId="15" xfId="0" applyFont="1" applyFill="1" applyBorder="1" applyAlignment="1">
      <alignment horizontal="left"/>
    </xf>
    <xf numFmtId="0" fontId="33" fillId="30" borderId="41" xfId="0" applyFont="1" applyFill="1" applyBorder="1" applyAlignment="1">
      <alignment/>
    </xf>
    <xf numFmtId="37" fontId="33" fillId="30" borderId="10" xfId="0" applyNumberFormat="1" applyFont="1" applyFill="1" applyBorder="1" applyAlignment="1">
      <alignment/>
    </xf>
    <xf numFmtId="0" fontId="33" fillId="30" borderId="40" xfId="0" applyFont="1" applyFill="1" applyBorder="1" applyAlignment="1">
      <alignment/>
    </xf>
    <xf numFmtId="5" fontId="33" fillId="30" borderId="13" xfId="0" applyNumberFormat="1" applyFont="1" applyFill="1" applyBorder="1" applyAlignment="1">
      <alignment/>
    </xf>
    <xf numFmtId="10" fontId="33" fillId="26" borderId="17" xfId="0" applyNumberFormat="1" applyFont="1" applyFill="1" applyBorder="1" applyAlignment="1" applyProtection="1">
      <alignment/>
      <protection locked="0"/>
    </xf>
    <xf numFmtId="0" fontId="33" fillId="30" borderId="14" xfId="0" applyFont="1" applyFill="1" applyBorder="1" applyAlignment="1">
      <alignment/>
    </xf>
    <xf numFmtId="0" fontId="33" fillId="30" borderId="14" xfId="0" applyFont="1" applyFill="1" applyBorder="1" applyAlignment="1">
      <alignment horizontal="center" wrapText="1"/>
    </xf>
    <xf numFmtId="0" fontId="0" fillId="30" borderId="53" xfId="0" applyFont="1" applyFill="1" applyBorder="1" applyAlignment="1">
      <alignment/>
    </xf>
    <xf numFmtId="37" fontId="0" fillId="30" borderId="20" xfId="0" applyNumberFormat="1" applyFill="1" applyBorder="1" applyAlignment="1">
      <alignment horizontal="center"/>
    </xf>
    <xf numFmtId="5" fontId="0" fillId="30" borderId="20" xfId="0" applyNumberFormat="1" applyFill="1" applyBorder="1" applyAlignment="1">
      <alignment horizontal="center"/>
    </xf>
    <xf numFmtId="0" fontId="0" fillId="30" borderId="41" xfId="0" applyFont="1" applyFill="1" applyBorder="1" applyAlignment="1">
      <alignment/>
    </xf>
    <xf numFmtId="0" fontId="33" fillId="30" borderId="14" xfId="0" applyFont="1" applyFill="1" applyBorder="1" applyAlignment="1" quotePrefix="1">
      <alignment/>
    </xf>
    <xf numFmtId="37" fontId="33" fillId="30" borderId="14" xfId="0" applyNumberFormat="1" applyFont="1" applyFill="1" applyBorder="1" applyAlignment="1">
      <alignment horizontal="center"/>
    </xf>
    <xf numFmtId="5" fontId="0" fillId="30" borderId="14" xfId="0" applyNumberFormat="1" applyFill="1" applyBorder="1" applyAlignment="1">
      <alignment horizontal="center"/>
    </xf>
    <xf numFmtId="10" fontId="0" fillId="30" borderId="20" xfId="0" applyNumberFormat="1" applyFill="1" applyBorder="1" applyAlignment="1">
      <alignment horizontal="center"/>
    </xf>
    <xf numFmtId="0" fontId="67" fillId="30" borderId="14" xfId="0" applyFont="1" applyFill="1" applyBorder="1" applyAlignment="1">
      <alignment wrapText="1"/>
    </xf>
    <xf numFmtId="165" fontId="67" fillId="30" borderId="14" xfId="0" applyNumberFormat="1" applyFont="1" applyFill="1" applyBorder="1" applyAlignment="1">
      <alignment horizontal="center" wrapText="1"/>
    </xf>
    <xf numFmtId="165" fontId="67" fillId="30" borderId="47" xfId="0" applyNumberFormat="1" applyFont="1" applyFill="1" applyBorder="1" applyAlignment="1">
      <alignment horizontal="center" wrapText="1"/>
    </xf>
    <xf numFmtId="5" fontId="33" fillId="30" borderId="14" xfId="0" applyNumberFormat="1" applyFont="1" applyFill="1" applyBorder="1" applyAlignment="1">
      <alignment wrapText="1"/>
    </xf>
    <xf numFmtId="0" fontId="0" fillId="30" borderId="39" xfId="0" applyFont="1" applyFill="1" applyBorder="1" applyAlignment="1">
      <alignment/>
    </xf>
    <xf numFmtId="37" fontId="0" fillId="30" borderId="10" xfId="0" applyNumberFormat="1" applyFill="1" applyBorder="1" applyAlignment="1">
      <alignment horizontal="center"/>
    </xf>
    <xf numFmtId="5" fontId="0" fillId="30" borderId="10" xfId="0" applyNumberFormat="1" applyFill="1" applyBorder="1" applyAlignment="1">
      <alignment horizontal="center"/>
    </xf>
    <xf numFmtId="10" fontId="0" fillId="30" borderId="10" xfId="0" applyNumberFormat="1" applyFill="1" applyBorder="1" applyAlignment="1">
      <alignment horizontal="center"/>
    </xf>
    <xf numFmtId="5" fontId="0" fillId="30" borderId="54" xfId="0" applyNumberFormat="1" applyFill="1" applyBorder="1" applyAlignment="1">
      <alignment/>
    </xf>
    <xf numFmtId="0" fontId="67" fillId="30" borderId="55" xfId="0" applyFont="1" applyFill="1" applyBorder="1" applyAlignment="1">
      <alignment wrapText="1"/>
    </xf>
    <xf numFmtId="0" fontId="67" fillId="30" borderId="47" xfId="0" applyFont="1" applyFill="1" applyBorder="1" applyAlignment="1">
      <alignment wrapText="1"/>
    </xf>
    <xf numFmtId="5" fontId="33" fillId="30" borderId="44" xfId="0" applyNumberFormat="1" applyFont="1" applyFill="1" applyBorder="1" applyAlignment="1">
      <alignment/>
    </xf>
    <xf numFmtId="0" fontId="0" fillId="30" borderId="42" xfId="0" applyFill="1" applyBorder="1" applyAlignment="1">
      <alignment/>
    </xf>
    <xf numFmtId="0" fontId="0" fillId="30" borderId="0" xfId="0" applyFill="1" applyBorder="1" applyAlignment="1">
      <alignment/>
    </xf>
    <xf numFmtId="165" fontId="33" fillId="30" borderId="14" xfId="0" applyNumberFormat="1" applyFont="1" applyFill="1" applyBorder="1" applyAlignment="1">
      <alignment/>
    </xf>
    <xf numFmtId="0" fontId="0" fillId="30" borderId="44" xfId="0" applyFill="1" applyBorder="1" applyAlignment="1">
      <alignment/>
    </xf>
    <xf numFmtId="0" fontId="32" fillId="30" borderId="44" xfId="0" applyFont="1" applyFill="1" applyBorder="1" applyAlignment="1">
      <alignment horizontal="center"/>
    </xf>
    <xf numFmtId="0" fontId="0" fillId="30" borderId="35" xfId="0" applyFont="1" applyFill="1" applyBorder="1" applyAlignment="1">
      <alignment horizontal="center"/>
    </xf>
    <xf numFmtId="0" fontId="0" fillId="30" borderId="33" xfId="0" applyFill="1" applyBorder="1" applyAlignment="1">
      <alignment horizontal="center"/>
    </xf>
    <xf numFmtId="0" fontId="33" fillId="30" borderId="33" xfId="0" applyFont="1" applyFill="1" applyBorder="1" applyAlignment="1">
      <alignment horizontal="center"/>
    </xf>
    <xf numFmtId="0" fontId="33" fillId="30" borderId="34" xfId="0" applyFont="1" applyFill="1" applyBorder="1" applyAlignment="1">
      <alignment horizontal="center"/>
    </xf>
    <xf numFmtId="0" fontId="0" fillId="30" borderId="35" xfId="0" applyFont="1" applyFill="1" applyBorder="1" applyAlignment="1">
      <alignment wrapText="1"/>
    </xf>
    <xf numFmtId="0" fontId="0" fillId="30" borderId="34" xfId="0" applyFont="1" applyFill="1" applyBorder="1" applyAlignment="1">
      <alignment/>
    </xf>
    <xf numFmtId="0" fontId="33" fillId="30" borderId="44" xfId="0" applyFont="1" applyFill="1" applyBorder="1" applyAlignment="1">
      <alignment/>
    </xf>
    <xf numFmtId="0" fontId="33" fillId="30" borderId="16" xfId="0" applyFont="1" applyFill="1" applyBorder="1" applyAlignment="1">
      <alignment horizontal="center"/>
    </xf>
    <xf numFmtId="0" fontId="33" fillId="30" borderId="35" xfId="0" applyFont="1" applyFill="1" applyBorder="1" applyAlignment="1">
      <alignment wrapText="1"/>
    </xf>
    <xf numFmtId="0" fontId="0" fillId="30" borderId="33" xfId="0" applyFont="1" applyFill="1" applyBorder="1" applyAlignment="1">
      <alignment horizontal="center"/>
    </xf>
    <xf numFmtId="171" fontId="33" fillId="30" borderId="14" xfId="0" applyNumberFormat="1" applyFont="1" applyFill="1" applyBorder="1" applyAlignment="1">
      <alignment horizontal="right"/>
    </xf>
    <xf numFmtId="171" fontId="33" fillId="30" borderId="14" xfId="0" applyNumberFormat="1" applyFont="1" applyFill="1" applyBorder="1" applyAlignment="1">
      <alignment/>
    </xf>
    <xf numFmtId="0" fontId="33" fillId="30" borderId="16" xfId="0" applyFont="1" applyFill="1" applyBorder="1" applyAlignment="1">
      <alignment horizontal="left"/>
    </xf>
    <xf numFmtId="0" fontId="33" fillId="30" borderId="33" xfId="0" applyFont="1" applyFill="1" applyBorder="1" applyAlignment="1">
      <alignment/>
    </xf>
    <xf numFmtId="0" fontId="33" fillId="30" borderId="34" xfId="0" applyFont="1" applyFill="1" applyBorder="1" applyAlignment="1">
      <alignment/>
    </xf>
    <xf numFmtId="0" fontId="33" fillId="30" borderId="16" xfId="0" applyFont="1" applyFill="1" applyBorder="1" applyAlignment="1">
      <alignment/>
    </xf>
    <xf numFmtId="0" fontId="33" fillId="30" borderId="44" xfId="0" applyFont="1" applyFill="1" applyBorder="1" applyAlignment="1">
      <alignment/>
    </xf>
    <xf numFmtId="0" fontId="0" fillId="30" borderId="11" xfId="0" applyFont="1" applyFill="1" applyBorder="1" applyAlignment="1">
      <alignment/>
    </xf>
    <xf numFmtId="0" fontId="0" fillId="30" borderId="33" xfId="0" applyFont="1" applyFill="1" applyBorder="1" applyAlignment="1">
      <alignment/>
    </xf>
    <xf numFmtId="0" fontId="33" fillId="30" borderId="44" xfId="0" applyFont="1" applyFill="1" applyBorder="1" applyAlignment="1" quotePrefix="1">
      <alignment/>
    </xf>
    <xf numFmtId="0" fontId="67" fillId="30" borderId="44" xfId="0" applyFont="1" applyFill="1" applyBorder="1" applyAlignment="1">
      <alignment wrapText="1"/>
    </xf>
    <xf numFmtId="0" fontId="0" fillId="30" borderId="35" xfId="0" applyFont="1" applyFill="1" applyBorder="1" applyAlignment="1">
      <alignment/>
    </xf>
    <xf numFmtId="0" fontId="67" fillId="30" borderId="56" xfId="0" applyFont="1" applyFill="1" applyBorder="1" applyAlignment="1">
      <alignment wrapText="1"/>
    </xf>
    <xf numFmtId="0" fontId="67" fillId="30" borderId="46" xfId="0" applyFont="1" applyFill="1" applyBorder="1" applyAlignment="1">
      <alignment wrapText="1"/>
    </xf>
    <xf numFmtId="0" fontId="59" fillId="30" borderId="20" xfId="0" applyFont="1" applyFill="1" applyBorder="1" applyAlignment="1" applyProtection="1">
      <alignment horizontal="center"/>
      <protection/>
    </xf>
    <xf numFmtId="171" fontId="33" fillId="30" borderId="15" xfId="0" applyNumberFormat="1" applyFont="1" applyFill="1" applyBorder="1" applyAlignment="1">
      <alignment/>
    </xf>
    <xf numFmtId="0" fontId="32" fillId="30" borderId="44" xfId="0" applyFont="1" applyFill="1" applyBorder="1" applyAlignment="1">
      <alignment/>
    </xf>
    <xf numFmtId="165" fontId="41" fillId="30" borderId="14" xfId="0" applyNumberFormat="1" applyFont="1" applyFill="1" applyBorder="1" applyAlignment="1" applyProtection="1">
      <alignment horizontal="right"/>
      <protection/>
    </xf>
    <xf numFmtId="165" fontId="41" fillId="30" borderId="14" xfId="0" applyNumberFormat="1" applyFont="1" applyFill="1" applyBorder="1" applyAlignment="1" applyProtection="1">
      <alignment/>
      <protection/>
    </xf>
    <xf numFmtId="165" fontId="41" fillId="30" borderId="14" xfId="59" applyNumberFormat="1" applyFont="1" applyFill="1" applyBorder="1" applyAlignment="1">
      <alignment horizontal="right"/>
      <protection/>
    </xf>
    <xf numFmtId="165" fontId="41" fillId="30" borderId="14" xfId="59" applyNumberFormat="1" applyFont="1" applyFill="1" applyBorder="1" applyAlignment="1" applyProtection="1">
      <alignment horizontal="right"/>
      <protection/>
    </xf>
    <xf numFmtId="5" fontId="41" fillId="30" borderId="14" xfId="59" applyNumberFormat="1" applyFont="1" applyFill="1" applyBorder="1" applyAlignment="1">
      <alignment horizontal="right"/>
      <protection/>
    </xf>
    <xf numFmtId="165" fontId="38" fillId="30" borderId="14" xfId="0" applyNumberFormat="1" applyFont="1" applyFill="1" applyBorder="1" applyAlignment="1" applyProtection="1">
      <alignment/>
      <protection/>
    </xf>
    <xf numFmtId="5" fontId="41" fillId="30" borderId="57" xfId="0" applyNumberFormat="1" applyFont="1" applyFill="1" applyBorder="1" applyAlignment="1" applyProtection="1">
      <alignment/>
      <protection/>
    </xf>
    <xf numFmtId="0" fontId="34" fillId="30" borderId="10" xfId="0" applyFont="1" applyFill="1" applyBorder="1" applyAlignment="1" applyProtection="1">
      <alignment/>
      <protection/>
    </xf>
    <xf numFmtId="0" fontId="34" fillId="26" borderId="10" xfId="0" applyFont="1" applyFill="1" applyBorder="1" applyAlignment="1" applyProtection="1">
      <alignment/>
      <protection locked="0"/>
    </xf>
    <xf numFmtId="0" fontId="0" fillId="0" borderId="10" xfId="0" applyFont="1" applyBorder="1" applyAlignment="1" applyProtection="1">
      <alignment/>
      <protection locked="0"/>
    </xf>
    <xf numFmtId="0" fontId="33" fillId="0" borderId="10" xfId="0" applyFont="1" applyBorder="1" applyAlignment="1" applyProtection="1">
      <alignment/>
      <protection locked="0"/>
    </xf>
    <xf numFmtId="0" fontId="33" fillId="0" borderId="20" xfId="0" applyFont="1" applyBorder="1" applyAlignment="1" applyProtection="1">
      <alignment/>
      <protection locked="0"/>
    </xf>
    <xf numFmtId="5" fontId="33" fillId="26" borderId="14" xfId="0" applyNumberFormat="1" applyFont="1" applyFill="1" applyBorder="1" applyAlignment="1" applyProtection="1">
      <alignment/>
      <protection locked="0"/>
    </xf>
    <xf numFmtId="5" fontId="0" fillId="26" borderId="0" xfId="0" applyNumberFormat="1" applyFill="1" applyAlignment="1" applyProtection="1">
      <alignment/>
      <protection locked="0"/>
    </xf>
    <xf numFmtId="0" fontId="24" fillId="0" borderId="17" xfId="0" applyFont="1" applyBorder="1" applyAlignment="1">
      <alignment vertical="top" wrapText="1"/>
    </xf>
    <xf numFmtId="0" fontId="0" fillId="33" borderId="10" xfId="0" applyFont="1" applyFill="1" applyBorder="1" applyAlignment="1" applyProtection="1">
      <alignment vertical="top"/>
      <protection/>
    </xf>
    <xf numFmtId="0" fontId="0" fillId="33" borderId="10" xfId="0" applyFont="1" applyFill="1" applyBorder="1" applyAlignment="1" applyProtection="1">
      <alignment/>
      <protection/>
    </xf>
    <xf numFmtId="0" fontId="0" fillId="33" borderId="20" xfId="0" applyFont="1" applyFill="1" applyBorder="1" applyAlignment="1" applyProtection="1">
      <alignment/>
      <protection/>
    </xf>
    <xf numFmtId="0" fontId="0" fillId="33" borderId="20" xfId="0" applyFill="1" applyBorder="1" applyAlignment="1" applyProtection="1">
      <alignment/>
      <protection/>
    </xf>
    <xf numFmtId="0" fontId="0" fillId="33" borderId="10" xfId="0" applyFont="1" applyFill="1" applyBorder="1" applyAlignment="1" applyProtection="1">
      <alignment/>
      <protection/>
    </xf>
    <xf numFmtId="0" fontId="33" fillId="0" borderId="0" xfId="0" applyFont="1" applyAlignment="1" applyProtection="1">
      <alignment horizontal="center"/>
      <protection locked="0"/>
    </xf>
    <xf numFmtId="0" fontId="33" fillId="32" borderId="14" xfId="0" applyFont="1" applyFill="1" applyBorder="1" applyAlignment="1" applyProtection="1">
      <alignment horizontal="center"/>
      <protection locked="0"/>
    </xf>
    <xf numFmtId="0" fontId="33" fillId="0" borderId="17" xfId="0" applyFont="1" applyBorder="1" applyAlignment="1" applyProtection="1">
      <alignment horizontal="center"/>
      <protection locked="0"/>
    </xf>
    <xf numFmtId="0" fontId="33" fillId="0" borderId="36" xfId="0" applyFont="1" applyBorder="1" applyAlignment="1" applyProtection="1">
      <alignment horizontal="center"/>
      <protection locked="0"/>
    </xf>
    <xf numFmtId="0" fontId="33" fillId="0" borderId="47" xfId="0" applyFont="1" applyBorder="1" applyAlignment="1" applyProtection="1">
      <alignment horizontal="center"/>
      <protection locked="0"/>
    </xf>
    <xf numFmtId="0" fontId="33" fillId="0" borderId="0" xfId="0" applyFont="1" applyBorder="1" applyAlignment="1" applyProtection="1">
      <alignment horizontal="center"/>
      <protection locked="0"/>
    </xf>
    <xf numFmtId="0" fontId="33" fillId="0" borderId="14" xfId="0" applyFont="1" applyBorder="1" applyAlignment="1" applyProtection="1">
      <alignment horizontal="center"/>
      <protection locked="0"/>
    </xf>
    <xf numFmtId="0" fontId="32" fillId="27" borderId="14" xfId="0" applyFont="1" applyFill="1" applyBorder="1" applyAlignment="1" applyProtection="1">
      <alignment horizontal="center"/>
      <protection/>
    </xf>
    <xf numFmtId="0" fontId="32" fillId="30" borderId="39" xfId="0" applyFont="1" applyFill="1" applyBorder="1" applyAlignment="1" applyProtection="1">
      <alignment horizontal="left"/>
      <protection/>
    </xf>
    <xf numFmtId="5" fontId="33" fillId="30" borderId="20" xfId="0" applyNumberFormat="1" applyFont="1" applyFill="1" applyBorder="1" applyAlignment="1" applyProtection="1">
      <alignment horizontal="center"/>
      <protection/>
    </xf>
    <xf numFmtId="0" fontId="32" fillId="30" borderId="40" xfId="0" applyFont="1" applyFill="1" applyBorder="1" applyAlignment="1" applyProtection="1">
      <alignment horizontal="left"/>
      <protection/>
    </xf>
    <xf numFmtId="0" fontId="32" fillId="27" borderId="41" xfId="0" applyFont="1" applyFill="1" applyBorder="1" applyAlignment="1" applyProtection="1">
      <alignment horizontal="left"/>
      <protection/>
    </xf>
    <xf numFmtId="0" fontId="32" fillId="27" borderId="40" xfId="0" applyFont="1" applyFill="1" applyBorder="1" applyAlignment="1" applyProtection="1">
      <alignment horizontal="left"/>
      <protection/>
    </xf>
    <xf numFmtId="0" fontId="32" fillId="28" borderId="41" xfId="0" applyFont="1" applyFill="1" applyBorder="1" applyAlignment="1" applyProtection="1">
      <alignment horizontal="left"/>
      <protection/>
    </xf>
    <xf numFmtId="0" fontId="32" fillId="30" borderId="41" xfId="0" applyFont="1" applyFill="1" applyBorder="1" applyAlignment="1" applyProtection="1">
      <alignment horizontal="left"/>
      <protection/>
    </xf>
    <xf numFmtId="0" fontId="32" fillId="27" borderId="44" xfId="0" applyFont="1" applyFill="1" applyBorder="1" applyAlignment="1" applyProtection="1">
      <alignment horizontal="center"/>
      <protection/>
    </xf>
    <xf numFmtId="0" fontId="32" fillId="30" borderId="35" xfId="0" applyFont="1" applyFill="1" applyBorder="1" applyAlignment="1" applyProtection="1">
      <alignment horizontal="left"/>
      <protection/>
    </xf>
    <xf numFmtId="0" fontId="32" fillId="30" borderId="34" xfId="0" applyFont="1" applyFill="1" applyBorder="1" applyAlignment="1" applyProtection="1">
      <alignment horizontal="left"/>
      <protection/>
    </xf>
    <xf numFmtId="0" fontId="32" fillId="27" borderId="33" xfId="0" applyFont="1" applyFill="1" applyBorder="1" applyAlignment="1" applyProtection="1">
      <alignment horizontal="left"/>
      <protection/>
    </xf>
    <xf numFmtId="0" fontId="32" fillId="27" borderId="34" xfId="0" applyFont="1" applyFill="1" applyBorder="1" applyAlignment="1" applyProtection="1">
      <alignment horizontal="left"/>
      <protection/>
    </xf>
    <xf numFmtId="0" fontId="32" fillId="28" borderId="33" xfId="0" applyFont="1" applyFill="1" applyBorder="1" applyAlignment="1" applyProtection="1">
      <alignment horizontal="left"/>
      <protection/>
    </xf>
    <xf numFmtId="0" fontId="0" fillId="30" borderId="20" xfId="0" applyFont="1" applyFill="1" applyBorder="1" applyAlignment="1" applyProtection="1">
      <alignment horizontal="left"/>
      <protection/>
    </xf>
    <xf numFmtId="0" fontId="0" fillId="30" borderId="20" xfId="0" applyFill="1" applyBorder="1" applyAlignment="1" applyProtection="1">
      <alignment horizontal="left"/>
      <protection/>
    </xf>
    <xf numFmtId="0" fontId="59" fillId="30" borderId="0" xfId="0" applyFont="1" applyFill="1" applyBorder="1" applyAlignment="1" applyProtection="1">
      <alignment wrapText="1"/>
      <protection/>
    </xf>
    <xf numFmtId="9" fontId="0" fillId="26" borderId="10" xfId="0" applyNumberFormat="1" applyFont="1" applyFill="1" applyBorder="1" applyAlignment="1" applyProtection="1">
      <alignment horizontal="right"/>
      <protection locked="0"/>
    </xf>
    <xf numFmtId="9" fontId="33" fillId="26" borderId="10" xfId="0" applyNumberFormat="1" applyFont="1" applyFill="1" applyBorder="1" applyAlignment="1" applyProtection="1">
      <alignment horizontal="center"/>
      <protection locked="0"/>
    </xf>
    <xf numFmtId="0" fontId="33" fillId="0" borderId="42" xfId="0" applyFont="1" applyBorder="1" applyAlignment="1" applyProtection="1">
      <alignment horizontal="center"/>
      <protection locked="0"/>
    </xf>
    <xf numFmtId="0" fontId="33" fillId="0" borderId="18" xfId="0" applyFont="1" applyBorder="1" applyAlignment="1" applyProtection="1">
      <alignment horizontal="center"/>
      <protection locked="0"/>
    </xf>
    <xf numFmtId="0" fontId="33" fillId="0" borderId="45" xfId="0" applyFont="1" applyBorder="1" applyAlignment="1" applyProtection="1">
      <alignment horizontal="center"/>
      <protection locked="0"/>
    </xf>
    <xf numFmtId="0" fontId="0" fillId="30" borderId="14" xfId="0" applyFont="1" applyFill="1" applyBorder="1" applyAlignment="1" applyProtection="1">
      <alignment horizontal="center"/>
      <protection/>
    </xf>
    <xf numFmtId="0" fontId="0" fillId="30" borderId="20" xfId="0" applyFill="1" applyBorder="1" applyAlignment="1" applyProtection="1">
      <alignment horizontal="center"/>
      <protection/>
    </xf>
    <xf numFmtId="0" fontId="0" fillId="30" borderId="10" xfId="0" applyFill="1" applyBorder="1" applyAlignment="1" applyProtection="1">
      <alignment horizontal="center"/>
      <protection/>
    </xf>
    <xf numFmtId="0" fontId="0" fillId="30" borderId="14" xfId="0" applyFont="1" applyFill="1" applyBorder="1" applyAlignment="1" applyProtection="1" quotePrefix="1">
      <alignment horizontal="center"/>
      <protection/>
    </xf>
    <xf numFmtId="0" fontId="33" fillId="30" borderId="14" xfId="0" applyFont="1" applyFill="1" applyBorder="1" applyAlignment="1" applyProtection="1">
      <alignment horizontal="center"/>
      <protection/>
    </xf>
    <xf numFmtId="0" fontId="0" fillId="27" borderId="14" xfId="0" applyFont="1" applyFill="1" applyBorder="1" applyAlignment="1" applyProtection="1">
      <alignment horizontal="left" wrapText="1"/>
      <protection/>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center"/>
      <protection locked="0"/>
    </xf>
    <xf numFmtId="0" fontId="33" fillId="0" borderId="0" xfId="0" applyFont="1" applyBorder="1" applyAlignment="1" applyProtection="1" quotePrefix="1">
      <alignment horizontal="center"/>
      <protection locked="0"/>
    </xf>
    <xf numFmtId="16" fontId="33" fillId="27" borderId="14" xfId="0" applyNumberFormat="1" applyFont="1" applyFill="1" applyBorder="1" applyAlignment="1" applyProtection="1">
      <alignment horizontal="center"/>
      <protection/>
    </xf>
    <xf numFmtId="0" fontId="0" fillId="0" borderId="0" xfId="0" applyFont="1" applyAlignment="1" applyProtection="1" quotePrefix="1">
      <alignment/>
      <protection/>
    </xf>
    <xf numFmtId="0" fontId="0" fillId="0" borderId="0" xfId="0" applyFont="1" applyAlignment="1" applyProtection="1" quotePrefix="1">
      <alignment/>
      <protection locked="0"/>
    </xf>
    <xf numFmtId="0" fontId="21" fillId="26" borderId="0" xfId="0" applyFont="1" applyFill="1" applyBorder="1" applyAlignment="1">
      <alignment/>
    </xf>
    <xf numFmtId="5" fontId="33" fillId="26" borderId="0" xfId="0" applyNumberFormat="1" applyFont="1" applyFill="1" applyBorder="1" applyAlignment="1" applyProtection="1">
      <alignment horizontal="right"/>
      <protection/>
    </xf>
    <xf numFmtId="5" fontId="0" fillId="26" borderId="0" xfId="0" applyNumberFormat="1" applyFill="1" applyBorder="1" applyAlignment="1">
      <alignment horizontal="right"/>
    </xf>
    <xf numFmtId="37" fontId="33" fillId="30" borderId="10" xfId="0" applyNumberFormat="1" applyFont="1" applyFill="1" applyBorder="1" applyAlignment="1" applyProtection="1">
      <alignment horizontal="center"/>
      <protection/>
    </xf>
    <xf numFmtId="5" fontId="33" fillId="30" borderId="10" xfId="0" applyNumberFormat="1" applyFont="1" applyFill="1" applyBorder="1" applyAlignment="1">
      <alignment horizontal="center"/>
    </xf>
    <xf numFmtId="5" fontId="33" fillId="30" borderId="14" xfId="0" applyNumberFormat="1" applyFont="1" applyFill="1" applyBorder="1" applyAlignment="1">
      <alignment horizontal="center"/>
    </xf>
    <xf numFmtId="0" fontId="33" fillId="29" borderId="0" xfId="0" applyFont="1" applyFill="1" applyAlignment="1">
      <alignment/>
    </xf>
    <xf numFmtId="5" fontId="33" fillId="0" borderId="0" xfId="0" applyNumberFormat="1" applyFont="1" applyBorder="1" applyAlignment="1" applyProtection="1">
      <alignment horizontal="center"/>
      <protection locked="0"/>
    </xf>
    <xf numFmtId="37" fontId="33" fillId="30" borderId="20" xfId="0" applyNumberFormat="1" applyFont="1" applyFill="1" applyBorder="1" applyAlignment="1" applyProtection="1">
      <alignment horizontal="center"/>
      <protection/>
    </xf>
    <xf numFmtId="5" fontId="33" fillId="30" borderId="33" xfId="0" applyNumberFormat="1" applyFont="1" applyFill="1" applyBorder="1" applyAlignment="1">
      <alignment horizontal="center"/>
    </xf>
    <xf numFmtId="0" fontId="33" fillId="26" borderId="14" xfId="0" applyFont="1" applyFill="1" applyBorder="1" applyAlignment="1" applyProtection="1">
      <alignment horizontal="center"/>
      <protection locked="0"/>
    </xf>
    <xf numFmtId="0" fontId="38" fillId="30" borderId="10" xfId="0" applyFont="1" applyFill="1" applyBorder="1" applyAlignment="1" applyProtection="1" quotePrefix="1">
      <alignment horizontal="left" indent="1"/>
      <protection/>
    </xf>
    <xf numFmtId="0" fontId="21" fillId="27" borderId="15" xfId="0" applyFont="1" applyFill="1" applyBorder="1" applyAlignment="1" applyProtection="1">
      <alignment/>
      <protection/>
    </xf>
    <xf numFmtId="0" fontId="21" fillId="27" borderId="14" xfId="0" applyFont="1" applyFill="1" applyBorder="1" applyAlignment="1" applyProtection="1">
      <alignment horizontal="left"/>
      <protection/>
    </xf>
    <xf numFmtId="0" fontId="34" fillId="27" borderId="14" xfId="0" applyFont="1" applyFill="1" applyBorder="1" applyAlignment="1" applyProtection="1">
      <alignment/>
      <protection/>
    </xf>
    <xf numFmtId="0" fontId="47" fillId="27" borderId="14" xfId="0" applyFont="1" applyFill="1" applyBorder="1" applyAlignment="1" applyProtection="1" quotePrefix="1">
      <alignment horizontal="center"/>
      <protection/>
    </xf>
    <xf numFmtId="0" fontId="47" fillId="27" borderId="47" xfId="0" applyFont="1" applyFill="1" applyBorder="1" applyAlignment="1" applyProtection="1" quotePrefix="1">
      <alignment horizontal="center"/>
      <protection/>
    </xf>
    <xf numFmtId="0" fontId="33" fillId="27" borderId="14" xfId="0" applyFont="1" applyFill="1" applyBorder="1" applyAlignment="1" applyProtection="1">
      <alignment/>
      <protection/>
    </xf>
    <xf numFmtId="0" fontId="33" fillId="27" borderId="12" xfId="0" applyFont="1" applyFill="1" applyBorder="1" applyAlignment="1" applyProtection="1">
      <alignment/>
      <protection/>
    </xf>
    <xf numFmtId="0" fontId="33" fillId="27" borderId="20" xfId="0" applyFont="1" applyFill="1" applyBorder="1" applyAlignment="1" applyProtection="1">
      <alignment/>
      <protection/>
    </xf>
    <xf numFmtId="0" fontId="33" fillId="27" borderId="17" xfId="0" applyFont="1" applyFill="1" applyBorder="1" applyAlignment="1" applyProtection="1">
      <alignment/>
      <protection/>
    </xf>
    <xf numFmtId="0" fontId="33" fillId="27" borderId="47" xfId="0" applyFont="1" applyFill="1" applyBorder="1" applyAlignment="1" applyProtection="1">
      <alignment/>
      <protection/>
    </xf>
    <xf numFmtId="0" fontId="33" fillId="27" borderId="17" xfId="0" applyFont="1" applyFill="1" applyBorder="1" applyAlignment="1">
      <alignment/>
    </xf>
    <xf numFmtId="0" fontId="22" fillId="0" borderId="10" xfId="0" applyFont="1" applyBorder="1" applyAlignment="1" applyProtection="1">
      <alignment horizontal="left" wrapText="1" indent="1"/>
      <protection locked="0"/>
    </xf>
    <xf numFmtId="0" fontId="23" fillId="27" borderId="14" xfId="0" applyFont="1" applyFill="1" applyBorder="1" applyAlignment="1">
      <alignment/>
    </xf>
    <xf numFmtId="0" fontId="34" fillId="27" borderId="14" xfId="0" applyFont="1" applyFill="1" applyBorder="1" applyAlignment="1" quotePrefix="1">
      <alignment/>
    </xf>
    <xf numFmtId="0" fontId="21" fillId="26" borderId="0" xfId="0" applyFont="1" applyFill="1" applyBorder="1" applyAlignment="1">
      <alignment horizontal="left"/>
    </xf>
    <xf numFmtId="0" fontId="21" fillId="0" borderId="10" xfId="0" applyFont="1" applyBorder="1" applyAlignment="1">
      <alignment horizontal="left" vertical="center" indent="1"/>
    </xf>
    <xf numFmtId="0" fontId="33" fillId="0" borderId="10" xfId="0" applyFont="1" applyBorder="1" applyAlignment="1">
      <alignment horizontal="left" vertical="center" wrapText="1" indent="1"/>
    </xf>
    <xf numFmtId="0" fontId="21" fillId="0" borderId="10" xfId="0" applyFont="1" applyBorder="1" applyAlignment="1" applyProtection="1">
      <alignment horizontal="left" wrapText="1" indent="1"/>
      <protection locked="0"/>
    </xf>
    <xf numFmtId="0" fontId="21" fillId="0" borderId="10" xfId="0" applyFont="1" applyBorder="1" applyAlignment="1">
      <alignment horizontal="left" vertical="center" indent="3"/>
    </xf>
    <xf numFmtId="0" fontId="31" fillId="0" borderId="10" xfId="0" applyFont="1" applyBorder="1" applyAlignment="1">
      <alignment horizontal="left" vertical="center" indent="1"/>
    </xf>
    <xf numFmtId="0" fontId="21" fillId="27" borderId="14" xfId="0" applyFont="1" applyFill="1" applyBorder="1" applyAlignment="1">
      <alignment horizontal="left"/>
    </xf>
    <xf numFmtId="0" fontId="21" fillId="27" borderId="47" xfId="0" applyFont="1" applyFill="1" applyBorder="1" applyAlignment="1">
      <alignment/>
    </xf>
    <xf numFmtId="0" fontId="40" fillId="27" borderId="47" xfId="0" applyNumberFormat="1" applyFont="1" applyFill="1" applyBorder="1" applyAlignment="1" applyProtection="1">
      <alignment horizontal="left" indent="2"/>
      <protection/>
    </xf>
    <xf numFmtId="0" fontId="0" fillId="27" borderId="44" xfId="0" applyFill="1" applyBorder="1" applyAlignment="1" applyProtection="1">
      <alignment/>
      <protection/>
    </xf>
    <xf numFmtId="0" fontId="40" fillId="0" borderId="0" xfId="0" applyNumberFormat="1" applyFont="1" applyFill="1" applyBorder="1" applyAlignment="1" applyProtection="1">
      <alignment horizontal="left" indent="2"/>
      <protection/>
    </xf>
    <xf numFmtId="0" fontId="33" fillId="26" borderId="17" xfId="0" applyFont="1" applyFill="1" applyBorder="1" applyAlignment="1" applyProtection="1">
      <alignment horizontal="center"/>
      <protection locked="0"/>
    </xf>
    <xf numFmtId="0" fontId="23" fillId="32" borderId="14" xfId="0" applyFont="1" applyFill="1" applyBorder="1" applyAlignment="1">
      <alignment horizontal="center" vertical="top" wrapText="1"/>
    </xf>
    <xf numFmtId="0" fontId="33" fillId="32" borderId="17" xfId="0" applyFont="1" applyFill="1" applyBorder="1" applyAlignment="1" applyProtection="1">
      <alignment horizontal="center"/>
      <protection locked="0"/>
    </xf>
    <xf numFmtId="0" fontId="33" fillId="32" borderId="47" xfId="0" applyFont="1" applyFill="1" applyBorder="1" applyAlignment="1" applyProtection="1">
      <alignment horizontal="center"/>
      <protection locked="0"/>
    </xf>
    <xf numFmtId="0" fontId="33" fillId="32" borderId="0" xfId="0" applyFont="1" applyFill="1" applyBorder="1" applyAlignment="1" applyProtection="1">
      <alignment horizontal="center"/>
      <protection locked="0"/>
    </xf>
    <xf numFmtId="0" fontId="24" fillId="0" borderId="44" xfId="0" applyFont="1" applyBorder="1" applyAlignment="1">
      <alignment vertical="top" wrapText="1"/>
    </xf>
    <xf numFmtId="0" fontId="58" fillId="0" borderId="46" xfId="0" applyFont="1" applyBorder="1" applyAlignment="1">
      <alignment vertical="top" wrapText="1"/>
    </xf>
    <xf numFmtId="0" fontId="33" fillId="32" borderId="14" xfId="0" applyFont="1" applyFill="1" applyBorder="1" applyAlignment="1" applyProtection="1">
      <alignment/>
      <protection locked="0"/>
    </xf>
    <xf numFmtId="0" fontId="24" fillId="0" borderId="46" xfId="0" applyFont="1" applyBorder="1" applyAlignment="1">
      <alignment vertical="top" wrapText="1"/>
    </xf>
    <xf numFmtId="0" fontId="0" fillId="29" borderId="35" xfId="0" applyFont="1" applyFill="1" applyBorder="1" applyAlignment="1" applyProtection="1" quotePrefix="1">
      <alignment horizontal="center"/>
      <protection locked="0"/>
    </xf>
    <xf numFmtId="0" fontId="0" fillId="29" borderId="10" xfId="0" applyFont="1" applyFill="1" applyBorder="1" applyAlignment="1" applyProtection="1" quotePrefix="1">
      <alignment horizontal="center"/>
      <protection locked="0"/>
    </xf>
    <xf numFmtId="0" fontId="0" fillId="30" borderId="35" xfId="0" applyFont="1" applyFill="1" applyBorder="1" applyAlignment="1" applyProtection="1">
      <alignment horizontal="center"/>
      <protection locked="0"/>
    </xf>
    <xf numFmtId="5" fontId="33" fillId="30" borderId="10" xfId="0" applyNumberFormat="1" applyFont="1" applyFill="1" applyBorder="1" applyAlignment="1" applyProtection="1">
      <alignment horizontal="center"/>
      <protection/>
    </xf>
    <xf numFmtId="0" fontId="0" fillId="26" borderId="20" xfId="0" applyFont="1" applyFill="1" applyBorder="1" applyAlignment="1" applyProtection="1">
      <alignment/>
      <protection locked="0"/>
    </xf>
    <xf numFmtId="0" fontId="0" fillId="0" borderId="10" xfId="0" applyFont="1" applyBorder="1" applyAlignment="1" applyProtection="1">
      <alignment horizontal="right"/>
      <protection locked="0"/>
    </xf>
    <xf numFmtId="0" fontId="38" fillId="30" borderId="26" xfId="0" applyFont="1" applyFill="1" applyBorder="1" applyAlignment="1">
      <alignment/>
    </xf>
    <xf numFmtId="165" fontId="38" fillId="30" borderId="11" xfId="0" applyNumberFormat="1" applyFont="1" applyFill="1" applyBorder="1" applyAlignment="1">
      <alignment/>
    </xf>
    <xf numFmtId="165" fontId="38" fillId="30" borderId="35" xfId="0" applyNumberFormat="1" applyFont="1" applyFill="1" applyBorder="1" applyAlignment="1">
      <alignment/>
    </xf>
    <xf numFmtId="0" fontId="38" fillId="30" borderId="27" xfId="0" applyFont="1" applyFill="1" applyBorder="1" applyAlignment="1">
      <alignment/>
    </xf>
    <xf numFmtId="165" fontId="38" fillId="30" borderId="25" xfId="0" applyNumberFormat="1" applyFont="1" applyFill="1" applyBorder="1" applyAlignment="1">
      <alignment/>
    </xf>
    <xf numFmtId="165" fontId="38" fillId="30" borderId="33" xfId="0" applyNumberFormat="1" applyFont="1" applyFill="1" applyBorder="1" applyAlignment="1">
      <alignment/>
    </xf>
    <xf numFmtId="0" fontId="41" fillId="27" borderId="15" xfId="0" applyFont="1" applyFill="1" applyBorder="1" applyAlignment="1">
      <alignment/>
    </xf>
    <xf numFmtId="165" fontId="41" fillId="27" borderId="16" xfId="0" applyNumberFormat="1" applyFont="1" applyFill="1" applyBorder="1" applyAlignment="1">
      <alignment/>
    </xf>
    <xf numFmtId="165" fontId="41" fillId="27" borderId="44" xfId="0" applyNumberFormat="1" applyFont="1" applyFill="1" applyBorder="1" applyAlignment="1">
      <alignment/>
    </xf>
    <xf numFmtId="0" fontId="41" fillId="27" borderId="18" xfId="0" applyFont="1" applyFill="1" applyBorder="1" applyAlignment="1">
      <alignment/>
    </xf>
    <xf numFmtId="165" fontId="41" fillId="27" borderId="19" xfId="0" applyNumberFormat="1" applyFont="1" applyFill="1" applyBorder="1" applyAlignment="1">
      <alignment/>
    </xf>
    <xf numFmtId="165" fontId="41" fillId="27" borderId="37" xfId="0" applyNumberFormat="1" applyFont="1" applyFill="1" applyBorder="1" applyAlignment="1">
      <alignment/>
    </xf>
    <xf numFmtId="0" fontId="31" fillId="0" borderId="0" xfId="0" applyFont="1" applyAlignment="1">
      <alignment horizontal="center" vertical="top"/>
    </xf>
    <xf numFmtId="0" fontId="22" fillId="26" borderId="17" xfId="0" applyFont="1" applyFill="1" applyBorder="1" applyAlignment="1">
      <alignment horizontal="left" wrapText="1"/>
    </xf>
    <xf numFmtId="0" fontId="24" fillId="26" borderId="46" xfId="0" applyFont="1" applyFill="1" applyBorder="1" applyAlignment="1">
      <alignment vertical="top" wrapText="1"/>
    </xf>
    <xf numFmtId="0" fontId="0" fillId="0" borderId="0" xfId="0" applyFont="1" applyAlignment="1">
      <alignment/>
    </xf>
    <xf numFmtId="0" fontId="23" fillId="27" borderId="18" xfId="0" applyFont="1" applyFill="1" applyBorder="1" applyAlignment="1">
      <alignment horizontal="center" vertical="center"/>
    </xf>
    <xf numFmtId="0" fontId="23" fillId="27" borderId="19" xfId="0" applyFont="1" applyFill="1" applyBorder="1" applyAlignment="1">
      <alignment horizontal="center" vertical="center"/>
    </xf>
    <xf numFmtId="0" fontId="23" fillId="27" borderId="37" xfId="0" applyFont="1" applyFill="1" applyBorder="1" applyAlignment="1">
      <alignment horizontal="center" vertical="center"/>
    </xf>
    <xf numFmtId="0" fontId="23" fillId="27" borderId="45" xfId="0" applyFont="1" applyFill="1" applyBorder="1" applyAlignment="1">
      <alignment horizontal="center" vertical="center"/>
    </xf>
    <xf numFmtId="0" fontId="23" fillId="27" borderId="43" xfId="0" applyFont="1" applyFill="1" applyBorder="1" applyAlignment="1">
      <alignment horizontal="center" vertical="center"/>
    </xf>
    <xf numFmtId="0" fontId="23" fillId="27" borderId="46" xfId="0" applyFont="1" applyFill="1" applyBorder="1" applyAlignment="1">
      <alignment horizontal="center" vertical="center"/>
    </xf>
    <xf numFmtId="0" fontId="31" fillId="27" borderId="18" xfId="0" applyFont="1" applyFill="1" applyBorder="1" applyAlignment="1">
      <alignment horizontal="left" vertical="top" wrapText="1"/>
    </xf>
    <xf numFmtId="0" fontId="31" fillId="27" borderId="19" xfId="0" applyFont="1" applyFill="1" applyBorder="1" applyAlignment="1">
      <alignment horizontal="left" vertical="top" wrapText="1"/>
    </xf>
    <xf numFmtId="0" fontId="31" fillId="27" borderId="37" xfId="0" applyFont="1" applyFill="1" applyBorder="1" applyAlignment="1">
      <alignment horizontal="left" vertical="top" wrapText="1"/>
    </xf>
    <xf numFmtId="0" fontId="31" fillId="27" borderId="45" xfId="0" applyFont="1" applyFill="1" applyBorder="1" applyAlignment="1">
      <alignment horizontal="left" vertical="top" wrapText="1"/>
    </xf>
    <xf numFmtId="0" fontId="31" fillId="27" borderId="43" xfId="0" applyFont="1" applyFill="1" applyBorder="1" applyAlignment="1">
      <alignment horizontal="left" vertical="top" wrapText="1"/>
    </xf>
    <xf numFmtId="0" fontId="31" fillId="27" borderId="46" xfId="0" applyFont="1" applyFill="1" applyBorder="1" applyAlignment="1">
      <alignment horizontal="left" vertical="top" wrapText="1"/>
    </xf>
    <xf numFmtId="0" fontId="26" fillId="34" borderId="0" xfId="0" applyFont="1" applyFill="1" applyBorder="1" applyAlignment="1">
      <alignment horizontal="center" vertical="center"/>
    </xf>
    <xf numFmtId="0" fontId="21" fillId="0" borderId="0" xfId="0" applyFont="1" applyBorder="1" applyAlignment="1">
      <alignment horizontal="left"/>
    </xf>
    <xf numFmtId="0" fontId="22" fillId="0" borderId="10" xfId="0" applyFont="1" applyBorder="1" applyAlignment="1" applyProtection="1">
      <alignment horizontal="left"/>
      <protection locked="0"/>
    </xf>
    <xf numFmtId="0" fontId="21" fillId="27" borderId="15" xfId="0" applyFont="1" applyFill="1" applyBorder="1" applyAlignment="1">
      <alignment horizontal="center"/>
    </xf>
    <xf numFmtId="0" fontId="21" fillId="27" borderId="16" xfId="0" applyFont="1" applyFill="1" applyBorder="1" applyAlignment="1">
      <alignment horizontal="center"/>
    </xf>
    <xf numFmtId="0" fontId="21" fillId="27" borderId="44" xfId="0" applyFont="1" applyFill="1" applyBorder="1" applyAlignment="1">
      <alignment horizontal="center"/>
    </xf>
    <xf numFmtId="0" fontId="34" fillId="27" borderId="15" xfId="0" applyFont="1" applyFill="1" applyBorder="1" applyAlignment="1" applyProtection="1">
      <alignment horizontal="left" wrapText="1"/>
      <protection/>
    </xf>
    <xf numFmtId="0" fontId="34" fillId="27" borderId="44" xfId="0" applyFont="1" applyFill="1" applyBorder="1" applyAlignment="1" applyProtection="1">
      <alignment horizontal="left" wrapText="1"/>
      <protection/>
    </xf>
    <xf numFmtId="0" fontId="21" fillId="27" borderId="15" xfId="0" applyFont="1" applyFill="1" applyBorder="1" applyAlignment="1" applyProtection="1">
      <alignment horizontal="center"/>
      <protection/>
    </xf>
    <xf numFmtId="0" fontId="21" fillId="27" borderId="16" xfId="0" applyFont="1" applyFill="1" applyBorder="1" applyAlignment="1" applyProtection="1">
      <alignment horizontal="center"/>
      <protection/>
    </xf>
    <xf numFmtId="0" fontId="21" fillId="27" borderId="44" xfId="0" applyFont="1" applyFill="1" applyBorder="1" applyAlignment="1" applyProtection="1">
      <alignment horizontal="center"/>
      <protection/>
    </xf>
    <xf numFmtId="0" fontId="21" fillId="30" borderId="27" xfId="0" applyFont="1" applyFill="1" applyBorder="1" applyAlignment="1" applyProtection="1">
      <alignment horizontal="center"/>
      <protection/>
    </xf>
    <xf numFmtId="0" fontId="22" fillId="30" borderId="33" xfId="0" applyFont="1" applyFill="1" applyBorder="1" applyAlignment="1" applyProtection="1">
      <alignment/>
      <protection/>
    </xf>
    <xf numFmtId="0" fontId="21" fillId="29" borderId="15" xfId="0" applyFont="1" applyFill="1" applyBorder="1" applyAlignment="1" applyProtection="1">
      <alignment horizontal="center"/>
      <protection/>
    </xf>
    <xf numFmtId="0" fontId="21" fillId="29" borderId="16" xfId="0" applyFont="1" applyFill="1" applyBorder="1" applyAlignment="1" applyProtection="1">
      <alignment horizontal="center"/>
      <protection/>
    </xf>
    <xf numFmtId="0" fontId="21" fillId="29" borderId="44" xfId="0" applyFont="1" applyFill="1" applyBorder="1" applyAlignment="1" applyProtection="1">
      <alignment horizontal="center"/>
      <protection/>
    </xf>
    <xf numFmtId="0" fontId="0" fillId="30" borderId="15" xfId="0" applyFont="1" applyFill="1" applyBorder="1" applyAlignment="1">
      <alignment horizontal="left"/>
    </xf>
    <xf numFmtId="0" fontId="0" fillId="30" borderId="44" xfId="0" applyFont="1" applyFill="1" applyBorder="1" applyAlignment="1">
      <alignment horizontal="left"/>
    </xf>
    <xf numFmtId="0" fontId="0" fillId="30" borderId="15" xfId="0" applyFont="1" applyFill="1" applyBorder="1" applyAlignment="1">
      <alignment horizontal="left" wrapText="1"/>
    </xf>
    <xf numFmtId="0" fontId="0" fillId="30" borderId="44" xfId="0" applyFont="1" applyFill="1" applyBorder="1" applyAlignment="1">
      <alignment horizontal="left" wrapText="1"/>
    </xf>
    <xf numFmtId="0" fontId="33" fillId="28" borderId="15" xfId="0" applyFont="1" applyFill="1" applyBorder="1" applyAlignment="1">
      <alignment horizontal="center"/>
    </xf>
    <xf numFmtId="0" fontId="33" fillId="28" borderId="16" xfId="0" applyFont="1" applyFill="1" applyBorder="1" applyAlignment="1">
      <alignment horizontal="center"/>
    </xf>
    <xf numFmtId="0" fontId="33" fillId="28" borderId="44" xfId="0" applyFont="1" applyFill="1" applyBorder="1" applyAlignment="1">
      <alignment horizontal="center"/>
    </xf>
    <xf numFmtId="0" fontId="33" fillId="30" borderId="15" xfId="0" applyFont="1" applyFill="1" applyBorder="1" applyAlignment="1">
      <alignment horizontal="center"/>
    </xf>
    <xf numFmtId="0" fontId="33" fillId="30" borderId="16" xfId="0" applyFont="1" applyFill="1" applyBorder="1" applyAlignment="1">
      <alignment horizontal="center"/>
    </xf>
    <xf numFmtId="0" fontId="33" fillId="30" borderId="44" xfId="0" applyFont="1" applyFill="1" applyBorder="1" applyAlignment="1">
      <alignment horizontal="center"/>
    </xf>
    <xf numFmtId="0" fontId="0" fillId="30" borderId="16" xfId="0" applyFont="1" applyFill="1" applyBorder="1" applyAlignment="1">
      <alignment horizontal="left" wrapText="1"/>
    </xf>
    <xf numFmtId="0" fontId="33" fillId="30" borderId="15" xfId="0" applyFont="1" applyFill="1" applyBorder="1" applyAlignment="1">
      <alignment horizontal="left" wrapText="1"/>
    </xf>
    <xf numFmtId="0" fontId="33" fillId="30" borderId="44" xfId="0" applyFont="1" applyFill="1" applyBorder="1" applyAlignment="1">
      <alignment horizontal="left" wrapText="1"/>
    </xf>
    <xf numFmtId="0" fontId="33" fillId="30" borderId="17" xfId="0" applyFont="1" applyFill="1" applyBorder="1" applyAlignment="1">
      <alignment horizontal="center"/>
    </xf>
    <xf numFmtId="0" fontId="33" fillId="30" borderId="47" xfId="0" applyFont="1" applyFill="1" applyBorder="1" applyAlignment="1">
      <alignment horizontal="center"/>
    </xf>
    <xf numFmtId="0" fontId="33" fillId="30" borderId="17" xfId="0" applyFont="1" applyFill="1" applyBorder="1" applyAlignment="1">
      <alignment horizontal="center" wrapText="1"/>
    </xf>
    <xf numFmtId="0" fontId="33" fillId="30" borderId="47" xfId="0" applyFont="1" applyFill="1" applyBorder="1" applyAlignment="1">
      <alignment horizontal="center" wrapText="1"/>
    </xf>
    <xf numFmtId="0" fontId="33" fillId="30" borderId="18" xfId="0" applyFont="1" applyFill="1" applyBorder="1" applyAlignment="1">
      <alignment horizontal="center" wrapText="1"/>
    </xf>
    <xf numFmtId="0" fontId="33" fillId="30" borderId="19" xfId="0" applyFont="1" applyFill="1" applyBorder="1" applyAlignment="1">
      <alignment horizontal="center" wrapText="1"/>
    </xf>
    <xf numFmtId="0" fontId="33" fillId="30" borderId="37" xfId="0" applyFont="1" applyFill="1" applyBorder="1" applyAlignment="1">
      <alignment horizontal="center" wrapText="1"/>
    </xf>
    <xf numFmtId="0" fontId="33" fillId="30" borderId="45" xfId="0" applyFont="1" applyFill="1" applyBorder="1" applyAlignment="1">
      <alignment horizontal="center" wrapText="1"/>
    </xf>
    <xf numFmtId="0" fontId="33" fillId="30" borderId="43" xfId="0" applyFont="1" applyFill="1" applyBorder="1" applyAlignment="1">
      <alignment horizontal="center" wrapText="1"/>
    </xf>
    <xf numFmtId="0" fontId="33" fillId="30" borderId="46" xfId="0" applyFont="1" applyFill="1" applyBorder="1" applyAlignment="1">
      <alignment horizontal="center" wrapText="1"/>
    </xf>
    <xf numFmtId="0" fontId="59" fillId="30" borderId="15" xfId="0" applyFont="1" applyFill="1" applyBorder="1" applyAlignment="1">
      <alignment horizontal="left" wrapText="1"/>
    </xf>
    <xf numFmtId="0" fontId="59" fillId="30" borderId="16" xfId="0" applyFont="1" applyFill="1" applyBorder="1" applyAlignment="1">
      <alignment horizontal="left" wrapText="1"/>
    </xf>
    <xf numFmtId="0" fontId="59" fillId="30" borderId="44" xfId="0" applyFont="1" applyFill="1" applyBorder="1" applyAlignment="1">
      <alignment horizontal="left" wrapText="1"/>
    </xf>
    <xf numFmtId="0" fontId="59" fillId="30" borderId="18" xfId="0" applyFont="1" applyFill="1" applyBorder="1" applyAlignment="1">
      <alignment horizontal="left" wrapText="1"/>
    </xf>
    <xf numFmtId="0" fontId="59" fillId="30" borderId="19" xfId="0" applyFont="1" applyFill="1" applyBorder="1" applyAlignment="1">
      <alignment horizontal="left" wrapText="1"/>
    </xf>
    <xf numFmtId="0" fontId="59" fillId="30" borderId="37" xfId="0" applyFont="1" applyFill="1" applyBorder="1" applyAlignment="1">
      <alignment horizontal="left" wrapText="1"/>
    </xf>
    <xf numFmtId="0" fontId="59" fillId="30" borderId="45" xfId="0" applyFont="1" applyFill="1" applyBorder="1" applyAlignment="1">
      <alignment horizontal="left" wrapText="1"/>
    </xf>
    <xf numFmtId="0" fontId="59" fillId="30" borderId="43" xfId="0" applyFont="1" applyFill="1" applyBorder="1" applyAlignment="1">
      <alignment horizontal="left" wrapText="1"/>
    </xf>
    <xf numFmtId="0" fontId="59" fillId="30" borderId="46" xfId="0" applyFont="1" applyFill="1" applyBorder="1" applyAlignment="1">
      <alignment horizontal="left" wrapText="1"/>
    </xf>
    <xf numFmtId="0" fontId="32" fillId="30" borderId="15" xfId="0" applyFont="1" applyFill="1" applyBorder="1" applyAlignment="1">
      <alignment horizontal="center" wrapText="1"/>
    </xf>
    <xf numFmtId="0" fontId="32" fillId="30" borderId="44" xfId="0" applyFont="1" applyFill="1" applyBorder="1" applyAlignment="1">
      <alignment horizontal="center" wrapText="1"/>
    </xf>
    <xf numFmtId="0" fontId="21" fillId="30" borderId="18" xfId="0" applyFont="1" applyFill="1" applyBorder="1" applyAlignment="1">
      <alignment horizontal="center"/>
    </xf>
    <xf numFmtId="0" fontId="21" fillId="30" borderId="19" xfId="0" applyFont="1" applyFill="1" applyBorder="1" applyAlignment="1">
      <alignment horizontal="center"/>
    </xf>
    <xf numFmtId="0" fontId="21" fillId="30" borderId="37" xfId="0" applyFont="1" applyFill="1" applyBorder="1" applyAlignment="1">
      <alignment horizontal="center"/>
    </xf>
    <xf numFmtId="0" fontId="21" fillId="30" borderId="45" xfId="0" applyFont="1" applyFill="1" applyBorder="1" applyAlignment="1">
      <alignment horizontal="center"/>
    </xf>
    <xf numFmtId="0" fontId="21" fillId="30" borderId="43" xfId="0" applyFont="1" applyFill="1" applyBorder="1" applyAlignment="1">
      <alignment horizontal="center"/>
    </xf>
    <xf numFmtId="0" fontId="21" fillId="30" borderId="46" xfId="0" applyFont="1" applyFill="1" applyBorder="1" applyAlignment="1">
      <alignment horizontal="center"/>
    </xf>
    <xf numFmtId="0" fontId="21" fillId="30" borderId="15" xfId="0" applyFont="1" applyFill="1" applyBorder="1" applyAlignment="1">
      <alignment horizontal="center" vertical="top" wrapText="1"/>
    </xf>
    <xf numFmtId="0" fontId="21" fillId="30" borderId="16" xfId="0" applyFont="1" applyFill="1" applyBorder="1" applyAlignment="1">
      <alignment horizontal="center" vertical="top" wrapText="1"/>
    </xf>
    <xf numFmtId="0" fontId="21" fillId="30" borderId="44" xfId="0" applyFont="1" applyFill="1" applyBorder="1" applyAlignment="1">
      <alignment horizontal="center" vertical="top" wrapText="1"/>
    </xf>
    <xf numFmtId="0" fontId="21" fillId="30" borderId="15" xfId="0" applyFont="1" applyFill="1" applyBorder="1" applyAlignment="1">
      <alignment horizontal="left" vertical="top" wrapText="1"/>
    </xf>
    <xf numFmtId="0" fontId="21" fillId="30" borderId="16" xfId="0" applyFont="1" applyFill="1" applyBorder="1" applyAlignment="1">
      <alignment horizontal="left" vertical="top" wrapText="1"/>
    </xf>
    <xf numFmtId="0" fontId="21" fillId="30" borderId="44" xfId="0" applyFont="1" applyFill="1" applyBorder="1" applyAlignment="1">
      <alignment horizontal="left" vertical="top" wrapText="1"/>
    </xf>
    <xf numFmtId="0" fontId="21" fillId="30" borderId="15" xfId="0" applyFont="1" applyFill="1" applyBorder="1" applyAlignment="1">
      <alignment horizontal="center" wrapText="1"/>
    </xf>
    <xf numFmtId="0" fontId="21" fillId="30" borderId="16" xfId="0" applyFont="1" applyFill="1" applyBorder="1" applyAlignment="1">
      <alignment horizontal="center" wrapText="1"/>
    </xf>
    <xf numFmtId="0" fontId="21" fillId="30" borderId="44" xfId="0" applyFont="1" applyFill="1" applyBorder="1" applyAlignment="1">
      <alignment horizontal="center" wrapText="1"/>
    </xf>
    <xf numFmtId="0" fontId="33" fillId="0" borderId="42" xfId="0" applyFont="1" applyBorder="1" applyAlignment="1">
      <alignment horizontal="center"/>
    </xf>
    <xf numFmtId="0" fontId="33" fillId="0" borderId="38" xfId="0" applyFont="1" applyBorder="1" applyAlignment="1">
      <alignment horizontal="center"/>
    </xf>
    <xf numFmtId="0" fontId="32" fillId="30" borderId="15" xfId="0" applyFont="1" applyFill="1" applyBorder="1" applyAlignment="1">
      <alignment horizontal="left" wrapText="1"/>
    </xf>
    <xf numFmtId="0" fontId="32" fillId="30" borderId="16" xfId="0" applyFont="1" applyFill="1" applyBorder="1" applyAlignment="1">
      <alignment horizontal="left" wrapText="1"/>
    </xf>
    <xf numFmtId="0" fontId="32" fillId="30" borderId="44" xfId="0" applyFont="1" applyFill="1" applyBorder="1" applyAlignment="1">
      <alignment horizontal="left" wrapText="1"/>
    </xf>
    <xf numFmtId="0" fontId="58" fillId="30" borderId="15" xfId="0" applyFont="1" applyFill="1" applyBorder="1" applyAlignment="1">
      <alignment horizontal="left" wrapText="1"/>
    </xf>
    <xf numFmtId="0" fontId="58" fillId="30" borderId="16" xfId="0" applyFont="1" applyFill="1" applyBorder="1" applyAlignment="1">
      <alignment horizontal="left" wrapText="1"/>
    </xf>
    <xf numFmtId="0" fontId="58" fillId="30" borderId="44" xfId="0" applyFont="1" applyFill="1" applyBorder="1" applyAlignment="1">
      <alignment horizontal="left" wrapText="1"/>
    </xf>
    <xf numFmtId="0" fontId="34" fillId="27" borderId="18" xfId="0" applyNumberFormat="1" applyFont="1" applyFill="1" applyBorder="1" applyAlignment="1" applyProtection="1">
      <alignment horizontal="center"/>
      <protection/>
    </xf>
    <xf numFmtId="0" fontId="34" fillId="27" borderId="19" xfId="0" applyNumberFormat="1" applyFont="1" applyFill="1" applyBorder="1" applyAlignment="1" applyProtection="1">
      <alignment horizontal="center"/>
      <protection/>
    </xf>
    <xf numFmtId="0" fontId="34" fillId="27" borderId="37" xfId="0" applyNumberFormat="1" applyFont="1" applyFill="1" applyBorder="1" applyAlignment="1" applyProtection="1">
      <alignment horizontal="center"/>
      <protection/>
    </xf>
    <xf numFmtId="0" fontId="34" fillId="27" borderId="45" xfId="0" applyNumberFormat="1" applyFont="1" applyFill="1" applyBorder="1" applyAlignment="1" applyProtection="1">
      <alignment horizontal="center"/>
      <protection/>
    </xf>
    <xf numFmtId="0" fontId="34" fillId="27" borderId="43" xfId="0" applyNumberFormat="1" applyFont="1" applyFill="1" applyBorder="1" applyAlignment="1" applyProtection="1">
      <alignment horizontal="center"/>
      <protection/>
    </xf>
    <xf numFmtId="0" fontId="34" fillId="27" borderId="46" xfId="0" applyNumberFormat="1" applyFont="1" applyFill="1" applyBorder="1" applyAlignment="1" applyProtection="1">
      <alignment horizontal="center"/>
      <protection/>
    </xf>
    <xf numFmtId="1" fontId="34" fillId="27" borderId="18" xfId="0" applyNumberFormat="1" applyFont="1" applyFill="1" applyBorder="1" applyAlignment="1" applyProtection="1">
      <alignment horizontal="center"/>
      <protection/>
    </xf>
    <xf numFmtId="1" fontId="34" fillId="27" borderId="19" xfId="0" applyNumberFormat="1" applyFont="1" applyFill="1" applyBorder="1" applyAlignment="1" applyProtection="1">
      <alignment horizontal="center"/>
      <protection/>
    </xf>
    <xf numFmtId="1" fontId="34" fillId="27" borderId="37" xfId="0" applyNumberFormat="1" applyFont="1" applyFill="1" applyBorder="1" applyAlignment="1" applyProtection="1">
      <alignment horizontal="center"/>
      <protection/>
    </xf>
    <xf numFmtId="1" fontId="34" fillId="27" borderId="45" xfId="0" applyNumberFormat="1" applyFont="1" applyFill="1" applyBorder="1" applyAlignment="1" applyProtection="1">
      <alignment horizontal="center"/>
      <protection/>
    </xf>
    <xf numFmtId="1" fontId="34" fillId="27" borderId="43" xfId="0" applyNumberFormat="1" applyFont="1" applyFill="1" applyBorder="1" applyAlignment="1" applyProtection="1">
      <alignment horizontal="center"/>
      <protection/>
    </xf>
    <xf numFmtId="1" fontId="34" fillId="27" borderId="46" xfId="0" applyNumberFormat="1" applyFont="1" applyFill="1" applyBorder="1" applyAlignment="1" applyProtection="1">
      <alignment horizontal="center"/>
      <protection/>
    </xf>
    <xf numFmtId="0" fontId="34" fillId="27" borderId="15" xfId="0" applyFont="1" applyFill="1" applyBorder="1" applyAlignment="1" quotePrefix="1">
      <alignment horizontal="center"/>
    </xf>
    <xf numFmtId="0" fontId="34" fillId="27" borderId="16" xfId="0" applyFont="1" applyFill="1" applyBorder="1" applyAlignment="1" quotePrefix="1">
      <alignment horizontal="center"/>
    </xf>
    <xf numFmtId="0" fontId="34" fillId="27" borderId="44" xfId="0" applyFont="1" applyFill="1" applyBorder="1" applyAlignment="1" quotePrefix="1">
      <alignment horizontal="center"/>
    </xf>
    <xf numFmtId="0" fontId="34" fillId="27" borderId="15" xfId="0" applyFont="1" applyFill="1" applyBorder="1" applyAlignment="1" applyProtection="1" quotePrefix="1">
      <alignment horizontal="center"/>
      <protection/>
    </xf>
    <xf numFmtId="0" fontId="34" fillId="27" borderId="44" xfId="0" applyFont="1" applyFill="1" applyBorder="1" applyAlignment="1" applyProtection="1" quotePrefix="1">
      <alignment horizontal="center"/>
      <protection/>
    </xf>
    <xf numFmtId="0" fontId="21" fillId="27" borderId="15" xfId="0" applyFont="1" applyFill="1" applyBorder="1" applyAlignment="1">
      <alignment horizontal="left" wrapText="1"/>
    </xf>
    <xf numFmtId="0" fontId="21" fillId="27" borderId="44" xfId="0" applyFont="1" applyFill="1" applyBorder="1" applyAlignment="1">
      <alignment horizontal="left" wrapText="1"/>
    </xf>
    <xf numFmtId="0" fontId="32" fillId="27" borderId="15" xfId="0" applyFont="1" applyFill="1" applyBorder="1" applyAlignment="1">
      <alignment horizontal="center"/>
    </xf>
    <xf numFmtId="0" fontId="32" fillId="27" borderId="16" xfId="0" applyFont="1" applyFill="1" applyBorder="1" applyAlignment="1">
      <alignment horizontal="center"/>
    </xf>
    <xf numFmtId="0" fontId="32" fillId="27" borderId="44" xfId="0" applyFont="1" applyFill="1" applyBorder="1" applyAlignment="1">
      <alignment horizontal="center"/>
    </xf>
    <xf numFmtId="0" fontId="33" fillId="27" borderId="15" xfId="0" applyFont="1" applyFill="1" applyBorder="1" applyAlignment="1">
      <alignment horizontal="center"/>
    </xf>
    <xf numFmtId="0" fontId="33" fillId="27" borderId="44" xfId="0" applyFont="1" applyFill="1" applyBorder="1" applyAlignment="1">
      <alignment horizontal="center"/>
    </xf>
    <xf numFmtId="0" fontId="0" fillId="29" borderId="0" xfId="0" applyFill="1" applyAlignment="1" applyProtection="1">
      <alignment horizontal="center"/>
      <protection locked="0"/>
    </xf>
    <xf numFmtId="0" fontId="21" fillId="27" borderId="15" xfId="0" applyFont="1" applyFill="1" applyBorder="1" applyAlignment="1">
      <alignment horizontal="left"/>
    </xf>
    <xf numFmtId="0" fontId="21" fillId="27" borderId="44" xfId="0" applyFont="1" applyFill="1" applyBorder="1" applyAlignment="1">
      <alignment horizontal="left"/>
    </xf>
    <xf numFmtId="0" fontId="0" fillId="30" borderId="15" xfId="0" applyFont="1" applyFill="1" applyBorder="1" applyAlignment="1">
      <alignment horizontal="center"/>
    </xf>
    <xf numFmtId="0" fontId="0" fillId="30" borderId="44" xfId="0" applyFont="1" applyFill="1" applyBorder="1" applyAlignment="1">
      <alignment horizontal="center"/>
    </xf>
    <xf numFmtId="0" fontId="0" fillId="30" borderId="16" xfId="0" applyFont="1" applyFill="1" applyBorder="1" applyAlignment="1">
      <alignment horizontal="center"/>
    </xf>
    <xf numFmtId="0" fontId="45" fillId="27" borderId="15" xfId="0" applyFont="1" applyFill="1" applyBorder="1" applyAlignment="1">
      <alignment horizontal="center"/>
    </xf>
    <xf numFmtId="0" fontId="45" fillId="27" borderId="16" xfId="0" applyFont="1" applyFill="1" applyBorder="1" applyAlignment="1">
      <alignment horizontal="center"/>
    </xf>
    <xf numFmtId="0" fontId="45" fillId="27" borderId="44" xfId="0" applyFont="1" applyFill="1" applyBorder="1" applyAlignment="1">
      <alignment horizontal="center"/>
    </xf>
    <xf numFmtId="0" fontId="40" fillId="27" borderId="15" xfId="0" applyFont="1" applyFill="1" applyBorder="1" applyAlignment="1" applyProtection="1">
      <alignment horizontal="left" vertical="top"/>
      <protection/>
    </xf>
    <xf numFmtId="0" fontId="40" fillId="27" borderId="44" xfId="0" applyFont="1" applyFill="1" applyBorder="1" applyAlignment="1" applyProtection="1">
      <alignment horizontal="left" vertical="top"/>
      <protection/>
    </xf>
    <xf numFmtId="0" fontId="21" fillId="27" borderId="16"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2486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1000125</xdr:colOff>
      <xdr:row>183</xdr:row>
      <xdr:rowOff>0</xdr:rowOff>
    </xdr:from>
    <xdr:ext cx="123825" cy="266700"/>
    <xdr:sp fLocksText="0">
      <xdr:nvSpPr>
        <xdr:cNvPr id="2" name="TextBox 2"/>
        <xdr:cNvSpPr txBox="1">
          <a:spLocks noChangeArrowheads="1"/>
        </xdr:cNvSpPr>
      </xdr:nvSpPr>
      <xdr:spPr>
        <a:xfrm>
          <a:off x="7581900" y="30918150"/>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91"/>
  <sheetViews>
    <sheetView view="pageLayout" workbookViewId="0" topLeftCell="A1">
      <selection activeCell="F2" sqref="F2"/>
    </sheetView>
  </sheetViews>
  <sheetFormatPr defaultColWidth="9.140625" defaultRowHeight="12.75"/>
  <cols>
    <col min="1" max="1" width="9.140625" style="751" customWidth="1"/>
    <col min="2" max="2" width="84.57421875" style="0" customWidth="1"/>
    <col min="4" max="4" width="71.57421875" style="0" customWidth="1"/>
  </cols>
  <sheetData>
    <row r="1" spans="1:2" ht="55.5" customHeight="1" thickBot="1">
      <c r="A1" s="752" t="s">
        <v>188</v>
      </c>
      <c r="B1" s="830" t="s">
        <v>542</v>
      </c>
    </row>
    <row r="2" ht="12.75">
      <c r="B2" s="563"/>
    </row>
    <row r="3" ht="15">
      <c r="B3" s="856"/>
    </row>
    <row r="4" ht="13.5" thickBot="1">
      <c r="B4" s="563"/>
    </row>
    <row r="5" spans="1:2" ht="16.5" thickBot="1">
      <c r="A5" s="752"/>
      <c r="B5" s="564" t="s">
        <v>178</v>
      </c>
    </row>
    <row r="6" spans="1:2" s="504" customFormat="1" ht="36" customHeight="1" thickBot="1">
      <c r="A6" s="829">
        <v>1</v>
      </c>
      <c r="B6" s="857" t="s">
        <v>543</v>
      </c>
    </row>
    <row r="7" spans="1:2" ht="57">
      <c r="A7" s="753"/>
      <c r="B7" s="745" t="s">
        <v>532</v>
      </c>
    </row>
    <row r="8" spans="1:2" ht="6.75" customHeight="1">
      <c r="A8" s="754"/>
      <c r="B8" s="556"/>
    </row>
    <row r="9" spans="1:2" ht="43.5" thickBot="1">
      <c r="A9" s="755">
        <v>2</v>
      </c>
      <c r="B9" s="557" t="s">
        <v>516</v>
      </c>
    </row>
    <row r="10" spans="1:2" ht="138.75" customHeight="1" thickBot="1">
      <c r="A10" s="757">
        <v>3</v>
      </c>
      <c r="B10" s="562" t="s">
        <v>517</v>
      </c>
    </row>
    <row r="11" spans="1:2" s="175" customFormat="1" ht="12.75">
      <c r="A11" s="756"/>
      <c r="B11" s="565"/>
    </row>
    <row r="12" spans="1:2" s="175" customFormat="1" ht="13.5" thickBot="1">
      <c r="A12" s="756"/>
      <c r="B12" s="565"/>
    </row>
    <row r="13" spans="1:2" s="175" customFormat="1" ht="16.5" thickBot="1">
      <c r="A13" s="752"/>
      <c r="B13" s="566" t="s">
        <v>405</v>
      </c>
    </row>
    <row r="14" spans="1:2" s="175" customFormat="1" ht="15" thickBot="1">
      <c r="A14" s="757">
        <v>1</v>
      </c>
      <c r="B14" s="553" t="s">
        <v>189</v>
      </c>
    </row>
    <row r="15" spans="1:2" s="175" customFormat="1" ht="12.75">
      <c r="A15" s="756"/>
      <c r="B15" s="565"/>
    </row>
    <row r="16" spans="1:2" s="175" customFormat="1" ht="13.5" thickBot="1">
      <c r="A16" s="756"/>
      <c r="B16" s="565"/>
    </row>
    <row r="17" spans="1:2" s="175" customFormat="1" ht="16.5" thickBot="1">
      <c r="A17" s="752"/>
      <c r="B17" s="566" t="s">
        <v>406</v>
      </c>
    </row>
    <row r="18" spans="1:2" s="175" customFormat="1" ht="48" customHeight="1" thickBot="1">
      <c r="A18" s="757">
        <v>1</v>
      </c>
      <c r="B18" s="553" t="s">
        <v>407</v>
      </c>
    </row>
    <row r="19" spans="1:2" s="175" customFormat="1" ht="30" thickBot="1">
      <c r="A19" s="757">
        <v>2</v>
      </c>
      <c r="B19" s="553" t="s">
        <v>408</v>
      </c>
    </row>
    <row r="20" spans="1:2" s="175" customFormat="1" ht="14.25">
      <c r="A20" s="756"/>
      <c r="B20" s="567"/>
    </row>
    <row r="21" spans="1:2" s="175" customFormat="1" ht="15" thickBot="1">
      <c r="A21" s="756"/>
      <c r="B21" s="567"/>
    </row>
    <row r="22" spans="1:2" ht="16.5" thickBot="1">
      <c r="A22" s="752"/>
      <c r="B22" s="566" t="s">
        <v>456</v>
      </c>
    </row>
    <row r="23" spans="1:2" ht="30.75" thickBot="1">
      <c r="A23" s="757">
        <v>1</v>
      </c>
      <c r="B23" s="562" t="s">
        <v>416</v>
      </c>
    </row>
    <row r="24" spans="1:2" ht="208.5" customHeight="1" thickBot="1">
      <c r="A24" s="757">
        <v>2</v>
      </c>
      <c r="B24" s="551" t="s">
        <v>544</v>
      </c>
    </row>
    <row r="25" spans="1:2" ht="138" customHeight="1" thickBot="1">
      <c r="A25" s="757">
        <v>3</v>
      </c>
      <c r="B25" s="562" t="s">
        <v>533</v>
      </c>
    </row>
    <row r="26" spans="1:2" ht="162.75" customHeight="1" thickBot="1">
      <c r="A26" s="753">
        <v>4</v>
      </c>
      <c r="B26" s="569" t="s">
        <v>534</v>
      </c>
    </row>
    <row r="27" spans="1:2" ht="44.25" thickBot="1">
      <c r="A27" s="757">
        <v>5</v>
      </c>
      <c r="B27" s="553" t="s">
        <v>409</v>
      </c>
    </row>
    <row r="28" spans="1:2" ht="74.25" thickBot="1">
      <c r="A28" s="757">
        <v>6</v>
      </c>
      <c r="B28" s="552" t="s">
        <v>391</v>
      </c>
    </row>
    <row r="29" spans="1:2" ht="59.25" thickBot="1">
      <c r="A29" s="757">
        <v>7</v>
      </c>
      <c r="B29" s="552" t="s">
        <v>444</v>
      </c>
    </row>
    <row r="30" spans="1:2" ht="47.25" customHeight="1" thickBot="1">
      <c r="A30" s="757">
        <v>8</v>
      </c>
      <c r="B30" s="552" t="s">
        <v>449</v>
      </c>
    </row>
    <row r="31" spans="1:2" ht="30.75" thickBot="1">
      <c r="A31" s="757">
        <v>9</v>
      </c>
      <c r="B31" s="552" t="s">
        <v>382</v>
      </c>
    </row>
    <row r="32" spans="1:2" ht="30.75" thickBot="1">
      <c r="A32" s="757">
        <v>10</v>
      </c>
      <c r="B32" s="552" t="s">
        <v>383</v>
      </c>
    </row>
    <row r="33" spans="1:2" ht="30.75" thickBot="1">
      <c r="A33" s="757">
        <v>11</v>
      </c>
      <c r="B33" s="570" t="s">
        <v>535</v>
      </c>
    </row>
    <row r="34" spans="1:2" ht="15.75" thickBot="1">
      <c r="A34" s="757">
        <v>12</v>
      </c>
      <c r="B34" s="553" t="s">
        <v>381</v>
      </c>
    </row>
    <row r="35" spans="1:2" ht="93.75" customHeight="1" thickBot="1">
      <c r="A35" s="757">
        <v>13</v>
      </c>
      <c r="B35" s="553" t="s">
        <v>450</v>
      </c>
    </row>
    <row r="36" spans="1:2" ht="79.5" customHeight="1" thickBot="1">
      <c r="A36" s="757">
        <v>14</v>
      </c>
      <c r="B36" s="553" t="s">
        <v>445</v>
      </c>
    </row>
    <row r="37" spans="1:2" ht="60.75" thickBot="1">
      <c r="A37" s="757">
        <v>15</v>
      </c>
      <c r="B37" s="562" t="s">
        <v>384</v>
      </c>
    </row>
    <row r="38" spans="1:2" ht="45.75" thickBot="1">
      <c r="A38" s="757">
        <v>16</v>
      </c>
      <c r="B38" s="562" t="s">
        <v>446</v>
      </c>
    </row>
    <row r="39" spans="1:2" ht="119.25" thickBot="1">
      <c r="A39" s="757">
        <v>17</v>
      </c>
      <c r="B39" s="553" t="s">
        <v>447</v>
      </c>
    </row>
    <row r="40" spans="1:2" s="175" customFormat="1" ht="14.25">
      <c r="A40" s="756"/>
      <c r="B40" s="567"/>
    </row>
    <row r="41" spans="1:2" s="175" customFormat="1" ht="13.5" thickBot="1">
      <c r="A41" s="756"/>
      <c r="B41" s="565"/>
    </row>
    <row r="42" spans="1:2" s="175" customFormat="1" ht="16.5" thickBot="1">
      <c r="A42" s="752"/>
      <c r="B42" s="566" t="s">
        <v>458</v>
      </c>
    </row>
    <row r="43" spans="1:2" s="175" customFormat="1" ht="15">
      <c r="A43" s="754"/>
      <c r="B43" s="574" t="s">
        <v>179</v>
      </c>
    </row>
    <row r="44" spans="1:2" s="175" customFormat="1" ht="14.25">
      <c r="A44" s="754"/>
      <c r="B44" s="556" t="s">
        <v>377</v>
      </c>
    </row>
    <row r="45" spans="1:2" s="175" customFormat="1" ht="14.25">
      <c r="A45" s="754"/>
      <c r="B45" s="556" t="s">
        <v>378</v>
      </c>
    </row>
    <row r="46" spans="1:2" s="175" customFormat="1" ht="14.25">
      <c r="A46" s="754"/>
      <c r="B46" s="556" t="s">
        <v>379</v>
      </c>
    </row>
    <row r="47" spans="1:2" s="175" customFormat="1" ht="15" thickBot="1">
      <c r="A47" s="755">
        <v>1</v>
      </c>
      <c r="B47" s="573" t="s">
        <v>380</v>
      </c>
    </row>
    <row r="48" spans="1:2" s="175" customFormat="1" ht="82.5" customHeight="1" thickBot="1">
      <c r="A48" s="757">
        <v>2</v>
      </c>
      <c r="B48" s="553" t="s">
        <v>518</v>
      </c>
    </row>
    <row r="49" spans="1:2" ht="78" customHeight="1" thickBot="1">
      <c r="A49" s="757">
        <v>3</v>
      </c>
      <c r="B49" s="561" t="s">
        <v>536</v>
      </c>
    </row>
    <row r="50" spans="1:2" ht="45.75" thickBot="1">
      <c r="A50" s="757">
        <v>4</v>
      </c>
      <c r="B50" s="562" t="s">
        <v>519</v>
      </c>
    </row>
    <row r="51" spans="1:2" ht="63.75" customHeight="1" thickBot="1">
      <c r="A51" s="757">
        <v>5</v>
      </c>
      <c r="B51" s="562" t="s">
        <v>520</v>
      </c>
    </row>
    <row r="52" spans="1:2" ht="30" thickBot="1">
      <c r="A52" s="757">
        <v>6</v>
      </c>
      <c r="B52" s="553" t="s">
        <v>185</v>
      </c>
    </row>
    <row r="53" ht="14.25">
      <c r="B53" s="568"/>
    </row>
    <row r="54" spans="1:2" ht="15.75" thickBot="1">
      <c r="A54" s="756"/>
      <c r="B54" s="571"/>
    </row>
    <row r="55" spans="1:2" s="175" customFormat="1" ht="16.5" thickBot="1">
      <c r="A55" s="831"/>
      <c r="B55" s="566" t="s">
        <v>459</v>
      </c>
    </row>
    <row r="56" spans="1:2" s="175" customFormat="1" ht="16.5" thickBot="1">
      <c r="A56" s="832"/>
      <c r="B56" s="566" t="s">
        <v>178</v>
      </c>
    </row>
    <row r="57" spans="1:2" s="175" customFormat="1" ht="50.25" customHeight="1" thickBot="1">
      <c r="A57" s="757">
        <v>1</v>
      </c>
      <c r="B57" s="553" t="s">
        <v>521</v>
      </c>
    </row>
    <row r="58" spans="1:2" s="175" customFormat="1" ht="15.75" thickBot="1">
      <c r="A58" s="833"/>
      <c r="B58" s="572" t="s">
        <v>385</v>
      </c>
    </row>
    <row r="59" spans="1:2" s="175" customFormat="1" ht="28.5">
      <c r="A59" s="778"/>
      <c r="B59" s="745" t="s">
        <v>386</v>
      </c>
    </row>
    <row r="60" spans="1:2" s="175" customFormat="1" ht="15">
      <c r="A60" s="777"/>
      <c r="B60" s="556" t="s">
        <v>411</v>
      </c>
    </row>
    <row r="61" spans="1:2" s="175" customFormat="1" ht="15">
      <c r="A61" s="777"/>
      <c r="B61" s="556" t="s">
        <v>412</v>
      </c>
    </row>
    <row r="62" spans="1:2" s="175" customFormat="1" ht="100.5">
      <c r="A62" s="777"/>
      <c r="B62" s="556" t="s">
        <v>538</v>
      </c>
    </row>
    <row r="63" spans="1:2" s="175" customFormat="1" ht="15">
      <c r="A63" s="777"/>
      <c r="B63" s="556" t="s">
        <v>413</v>
      </c>
    </row>
    <row r="64" spans="1:2" s="175" customFormat="1" ht="14.25">
      <c r="A64" s="777"/>
      <c r="B64" s="556"/>
    </row>
    <row r="65" spans="1:8" s="175" customFormat="1" ht="28.5">
      <c r="A65" s="777"/>
      <c r="B65" s="556" t="s">
        <v>390</v>
      </c>
      <c r="H65" s="555" t="s">
        <v>176</v>
      </c>
    </row>
    <row r="66" spans="1:2" s="175" customFormat="1" ht="14.25">
      <c r="A66" s="777"/>
      <c r="B66" s="556"/>
    </row>
    <row r="67" spans="1:2" s="175" customFormat="1" ht="42.75">
      <c r="A67" s="777"/>
      <c r="B67" s="556" t="s">
        <v>387</v>
      </c>
    </row>
    <row r="68" spans="1:2" s="175" customFormat="1" ht="14.25">
      <c r="A68" s="777"/>
      <c r="B68" s="556"/>
    </row>
    <row r="69" spans="1:2" s="175" customFormat="1" ht="28.5">
      <c r="A69" s="777"/>
      <c r="B69" s="556" t="s">
        <v>388</v>
      </c>
    </row>
    <row r="70" spans="1:2" s="175" customFormat="1" ht="14.25">
      <c r="A70" s="777"/>
      <c r="B70" s="556"/>
    </row>
    <row r="71" spans="1:2" s="175" customFormat="1" ht="29.25" thickBot="1">
      <c r="A71" s="779">
        <v>2</v>
      </c>
      <c r="B71" s="573" t="s">
        <v>460</v>
      </c>
    </row>
    <row r="72" spans="1:2" s="175" customFormat="1" ht="15.75" thickBot="1">
      <c r="A72" s="752"/>
      <c r="B72" s="572" t="s">
        <v>393</v>
      </c>
    </row>
    <row r="73" spans="1:2" s="175" customFormat="1" ht="43.5" thickBot="1">
      <c r="A73" s="757">
        <v>3</v>
      </c>
      <c r="B73" s="553" t="s">
        <v>461</v>
      </c>
    </row>
    <row r="74" spans="1:2" s="175" customFormat="1" ht="15.75" thickBot="1">
      <c r="A74" s="752"/>
      <c r="B74" s="572" t="s">
        <v>389</v>
      </c>
    </row>
    <row r="75" spans="1:2" s="175" customFormat="1" ht="189.75" customHeight="1" thickBot="1">
      <c r="A75" s="757">
        <v>4</v>
      </c>
      <c r="B75" s="553" t="s">
        <v>537</v>
      </c>
    </row>
    <row r="76" spans="1:2" s="175" customFormat="1" ht="21" customHeight="1" thickBot="1">
      <c r="A76" s="752"/>
      <c r="B76" s="572" t="s">
        <v>414</v>
      </c>
    </row>
    <row r="77" spans="1:2" s="175" customFormat="1" ht="45.75" thickBot="1">
      <c r="A77" s="757">
        <v>5</v>
      </c>
      <c r="B77" s="834" t="s">
        <v>522</v>
      </c>
    </row>
    <row r="78" spans="1:2" s="175" customFormat="1" ht="6.75" customHeight="1">
      <c r="A78" s="753"/>
      <c r="B78" s="576"/>
    </row>
    <row r="79" spans="1:2" s="175" customFormat="1" ht="45">
      <c r="A79" s="754"/>
      <c r="B79" s="576" t="s">
        <v>394</v>
      </c>
    </row>
    <row r="80" spans="1:2" s="175" customFormat="1" ht="6.75" customHeight="1">
      <c r="A80" s="754"/>
      <c r="B80" s="576"/>
    </row>
    <row r="81" spans="1:2" s="175" customFormat="1" ht="44.25">
      <c r="A81" s="754"/>
      <c r="B81" s="576" t="s">
        <v>451</v>
      </c>
    </row>
    <row r="82" spans="1:2" s="175" customFormat="1" ht="7.5" customHeight="1">
      <c r="A82" s="754"/>
      <c r="B82" s="576"/>
    </row>
    <row r="83" spans="1:2" s="175" customFormat="1" ht="48" customHeight="1">
      <c r="A83" s="754"/>
      <c r="B83" s="576" t="s">
        <v>523</v>
      </c>
    </row>
    <row r="84" spans="1:2" s="175" customFormat="1" ht="6.75" customHeight="1">
      <c r="A84" s="754"/>
      <c r="B84" s="576"/>
    </row>
    <row r="85" spans="1:2" s="175" customFormat="1" ht="43.5" thickBot="1">
      <c r="A85" s="755">
        <v>6</v>
      </c>
      <c r="B85" s="835" t="s">
        <v>448</v>
      </c>
    </row>
    <row r="86" spans="1:2" s="175" customFormat="1" ht="15.75" thickBot="1">
      <c r="A86" s="752"/>
      <c r="B86" s="572" t="s">
        <v>392</v>
      </c>
    </row>
    <row r="87" spans="1:2" s="175" customFormat="1" ht="90" thickBot="1">
      <c r="A87" s="757">
        <v>7</v>
      </c>
      <c r="B87" s="573" t="s">
        <v>524</v>
      </c>
    </row>
    <row r="88" spans="1:2" s="175" customFormat="1" ht="15.75" thickBot="1">
      <c r="A88" s="752"/>
      <c r="B88" s="577" t="s">
        <v>415</v>
      </c>
    </row>
    <row r="89" spans="1:4" s="175" customFormat="1" ht="351.75" customHeight="1" thickBot="1">
      <c r="A89" s="755">
        <v>8</v>
      </c>
      <c r="B89" s="575" t="s">
        <v>457</v>
      </c>
      <c r="D89" s="176"/>
    </row>
    <row r="90" spans="1:2" s="175" customFormat="1" ht="7.5" customHeight="1">
      <c r="A90" s="753"/>
      <c r="B90" s="576"/>
    </row>
    <row r="91" spans="1:2" s="175" customFormat="1" ht="78" customHeight="1" thickBot="1">
      <c r="A91" s="755">
        <v>9</v>
      </c>
      <c r="B91" s="837" t="s">
        <v>525</v>
      </c>
    </row>
    <row r="92" spans="1:2" s="175" customFormat="1" ht="8.25" customHeight="1">
      <c r="A92" s="754"/>
      <c r="B92" s="591"/>
    </row>
    <row r="93" spans="1:2" s="175" customFormat="1" ht="45" thickBot="1">
      <c r="A93" s="755">
        <v>10</v>
      </c>
      <c r="B93" s="573" t="s">
        <v>526</v>
      </c>
    </row>
    <row r="94" spans="1:2" ht="14.25">
      <c r="A94" s="756"/>
      <c r="B94" s="567"/>
    </row>
    <row r="95" spans="1:2" ht="15" thickBot="1">
      <c r="A95" s="756"/>
      <c r="B95" s="567"/>
    </row>
    <row r="96" spans="1:2" ht="20.25" customHeight="1" thickBot="1">
      <c r="A96" s="836"/>
      <c r="B96" s="554" t="s">
        <v>514</v>
      </c>
    </row>
    <row r="97" spans="1:2" ht="94.5" customHeight="1" thickBot="1">
      <c r="A97" s="757">
        <v>1</v>
      </c>
      <c r="B97" s="561" t="s">
        <v>527</v>
      </c>
    </row>
    <row r="98" spans="1:2" ht="133.5" thickBot="1">
      <c r="A98" s="757">
        <v>2</v>
      </c>
      <c r="B98" s="858" t="s">
        <v>541</v>
      </c>
    </row>
    <row r="99" spans="1:2" ht="15" thickBot="1">
      <c r="A99" s="756"/>
      <c r="B99" s="567"/>
    </row>
    <row r="100" spans="1:2" ht="16.5" thickBot="1">
      <c r="A100" s="752"/>
      <c r="B100" s="566" t="s">
        <v>512</v>
      </c>
    </row>
    <row r="101" spans="1:2" ht="45.75" thickBot="1">
      <c r="A101" s="757">
        <v>1</v>
      </c>
      <c r="B101" s="562" t="s">
        <v>528</v>
      </c>
    </row>
    <row r="102" spans="1:2" ht="30" thickBot="1">
      <c r="A102" s="757">
        <v>2</v>
      </c>
      <c r="B102" s="553" t="s">
        <v>529</v>
      </c>
    </row>
    <row r="103" spans="1:2" ht="196.5" customHeight="1" thickBot="1">
      <c r="A103" s="757">
        <v>3</v>
      </c>
      <c r="B103" s="562" t="s">
        <v>530</v>
      </c>
    </row>
    <row r="104" spans="1:2" ht="14.25">
      <c r="A104" s="756"/>
      <c r="B104" s="176"/>
    </row>
    <row r="105" spans="1:2" ht="15" thickBot="1">
      <c r="A105" s="756"/>
      <c r="B105" s="176"/>
    </row>
    <row r="106" spans="1:2" ht="15.75" thickBot="1">
      <c r="A106" s="752"/>
      <c r="B106" s="554" t="s">
        <v>513</v>
      </c>
    </row>
    <row r="107" spans="1:2" ht="43.5" customHeight="1" thickBot="1">
      <c r="A107" s="757">
        <v>1</v>
      </c>
      <c r="B107" s="553" t="s">
        <v>531</v>
      </c>
    </row>
    <row r="108" spans="1:2" ht="14.25">
      <c r="A108" s="756"/>
      <c r="B108" s="176"/>
    </row>
    <row r="109" spans="1:4" ht="14.25">
      <c r="A109" s="756"/>
      <c r="B109" s="176"/>
      <c r="D109" s="175"/>
    </row>
    <row r="110" spans="2:18" ht="14.25">
      <c r="B110" s="3"/>
      <c r="D110" s="175"/>
      <c r="E110" s="175"/>
      <c r="F110" s="175"/>
      <c r="G110" s="175"/>
      <c r="H110" s="175"/>
      <c r="I110" s="175"/>
      <c r="J110" s="175"/>
      <c r="K110" s="175"/>
      <c r="L110" s="175"/>
      <c r="M110" s="175"/>
      <c r="N110" s="175"/>
      <c r="O110" s="175"/>
      <c r="P110" s="175"/>
      <c r="Q110" s="175"/>
      <c r="R110" s="175"/>
    </row>
    <row r="111" spans="2:18" ht="14.25">
      <c r="B111" s="3"/>
      <c r="D111" s="175"/>
      <c r="E111" s="175"/>
      <c r="F111" s="175"/>
      <c r="G111" s="175"/>
      <c r="H111" s="175"/>
      <c r="I111" s="175"/>
      <c r="J111" s="175"/>
      <c r="K111" s="175"/>
      <c r="L111" s="175"/>
      <c r="M111" s="175"/>
      <c r="N111" s="175"/>
      <c r="O111" s="175"/>
      <c r="P111" s="175"/>
      <c r="Q111" s="175"/>
      <c r="R111" s="175"/>
    </row>
    <row r="112" spans="2:18" ht="14.25">
      <c r="B112" s="3"/>
      <c r="D112" s="176"/>
      <c r="E112" s="175"/>
      <c r="F112" s="175"/>
      <c r="G112" s="175"/>
      <c r="H112" s="175"/>
      <c r="I112" s="175"/>
      <c r="J112" s="175"/>
      <c r="K112" s="175"/>
      <c r="L112" s="175"/>
      <c r="M112" s="175"/>
      <c r="N112" s="175"/>
      <c r="O112" s="175"/>
      <c r="P112" s="175"/>
      <c r="Q112" s="175"/>
      <c r="R112" s="175"/>
    </row>
    <row r="113" spans="2:4" ht="14.25">
      <c r="B113" s="3"/>
      <c r="D113" s="175"/>
    </row>
    <row r="114" spans="2:4" ht="14.25">
      <c r="B114" s="3"/>
      <c r="D114" s="175"/>
    </row>
    <row r="115" spans="2:4" ht="14.25">
      <c r="B115" s="3"/>
      <c r="D115" s="175"/>
    </row>
    <row r="116" spans="2:4" ht="14.25">
      <c r="B116" s="3"/>
      <c r="D116" s="175"/>
    </row>
    <row r="117" spans="2:4" ht="14.25">
      <c r="B117" s="3"/>
      <c r="D117" s="175"/>
    </row>
    <row r="118" spans="2:4" ht="14.25">
      <c r="B118" s="3"/>
      <c r="D118" s="175"/>
    </row>
    <row r="119" spans="2:4" ht="14.25">
      <c r="B119" s="3"/>
      <c r="D119" s="175"/>
    </row>
    <row r="120" spans="2:4" ht="14.25">
      <c r="B120" s="3"/>
      <c r="D120" s="175"/>
    </row>
    <row r="121" ht="14.25">
      <c r="B121" s="3"/>
    </row>
    <row r="122" ht="14.25">
      <c r="B122" s="3"/>
    </row>
    <row r="123" ht="14.25">
      <c r="B123" s="3"/>
    </row>
    <row r="124" ht="14.25">
      <c r="B124" s="3"/>
    </row>
    <row r="125" ht="14.25">
      <c r="B125" s="3"/>
    </row>
    <row r="126" ht="14.25">
      <c r="B126" s="3"/>
    </row>
    <row r="127" ht="14.25">
      <c r="B127" s="3"/>
    </row>
    <row r="128" ht="14.25">
      <c r="B128" s="3"/>
    </row>
    <row r="129" ht="14.25">
      <c r="B129" s="3"/>
    </row>
    <row r="130" ht="14.25">
      <c r="B130" s="3"/>
    </row>
    <row r="131" ht="14.25">
      <c r="B131" s="3"/>
    </row>
    <row r="132" ht="14.25">
      <c r="B132" s="3"/>
    </row>
    <row r="133" ht="14.25">
      <c r="B133" s="3"/>
    </row>
    <row r="134" ht="14.25">
      <c r="B134" s="3"/>
    </row>
    <row r="135" ht="14.25">
      <c r="B135" s="3"/>
    </row>
    <row r="136" ht="14.25">
      <c r="B136" s="3"/>
    </row>
    <row r="137" ht="14.25">
      <c r="B137" s="3"/>
    </row>
    <row r="138" ht="14.25">
      <c r="B138" s="3"/>
    </row>
    <row r="139" ht="14.25">
      <c r="B139" s="3"/>
    </row>
    <row r="140" ht="14.25">
      <c r="B140" s="3"/>
    </row>
    <row r="141" ht="14.25">
      <c r="B141" s="3"/>
    </row>
    <row r="142" ht="14.25">
      <c r="B142" s="3"/>
    </row>
    <row r="143" ht="14.25">
      <c r="B143" s="3"/>
    </row>
    <row r="144" ht="14.25">
      <c r="B144" s="3"/>
    </row>
    <row r="145" ht="14.25">
      <c r="B145" s="3"/>
    </row>
    <row r="146" ht="14.25">
      <c r="B146" s="3"/>
    </row>
    <row r="147" ht="14.25">
      <c r="B147" s="3"/>
    </row>
    <row r="148" ht="14.25">
      <c r="B148" s="3"/>
    </row>
    <row r="149" ht="14.25">
      <c r="B149" s="3"/>
    </row>
    <row r="150" ht="14.25">
      <c r="B150" s="3"/>
    </row>
    <row r="151" ht="14.25">
      <c r="B151" s="3"/>
    </row>
    <row r="152" ht="14.25">
      <c r="B152" s="3"/>
    </row>
    <row r="153" ht="14.25">
      <c r="B153" s="3"/>
    </row>
    <row r="154" ht="14.25">
      <c r="B154" s="3"/>
    </row>
    <row r="155" ht="14.25">
      <c r="B155" s="3"/>
    </row>
    <row r="156" ht="14.25">
      <c r="B156" s="3"/>
    </row>
    <row r="157" ht="14.25">
      <c r="B157" s="3"/>
    </row>
    <row r="158" ht="14.25">
      <c r="B158" s="3"/>
    </row>
    <row r="159" ht="14.25">
      <c r="B159" s="3"/>
    </row>
    <row r="160" ht="14.25">
      <c r="B160" s="3"/>
    </row>
    <row r="161" ht="14.25">
      <c r="B161" s="3"/>
    </row>
    <row r="162" ht="14.25">
      <c r="B162" s="3"/>
    </row>
    <row r="163" ht="14.25">
      <c r="B163" s="3"/>
    </row>
    <row r="164" ht="14.25">
      <c r="B164" s="3"/>
    </row>
    <row r="165" ht="14.25">
      <c r="B165" s="3"/>
    </row>
    <row r="166" ht="14.25">
      <c r="B166" s="3"/>
    </row>
    <row r="167" ht="14.25">
      <c r="B167" s="3"/>
    </row>
    <row r="168" ht="14.25">
      <c r="B168" s="3"/>
    </row>
    <row r="169" ht="14.25">
      <c r="B169" s="3"/>
    </row>
    <row r="170" ht="14.25">
      <c r="B170" s="3"/>
    </row>
    <row r="171" ht="14.25">
      <c r="B171" s="3"/>
    </row>
    <row r="172" ht="14.25">
      <c r="B172" s="3"/>
    </row>
    <row r="173" ht="14.25">
      <c r="B173" s="3"/>
    </row>
    <row r="174" ht="14.25">
      <c r="B174" s="3"/>
    </row>
    <row r="175" ht="14.25">
      <c r="B175" s="3"/>
    </row>
    <row r="176" ht="14.25">
      <c r="B176" s="3"/>
    </row>
    <row r="177" ht="14.25">
      <c r="B177" s="3"/>
    </row>
    <row r="178" ht="14.25">
      <c r="B178" s="3"/>
    </row>
    <row r="179" ht="14.25">
      <c r="B179" s="3"/>
    </row>
    <row r="180" ht="14.25">
      <c r="B180" s="3"/>
    </row>
    <row r="181" ht="14.25">
      <c r="B181" s="3"/>
    </row>
    <row r="182" ht="14.25">
      <c r="B182" s="3"/>
    </row>
    <row r="183" ht="14.25">
      <c r="B183" s="3"/>
    </row>
    <row r="184" ht="14.25">
      <c r="B184" s="3"/>
    </row>
    <row r="185" ht="14.25">
      <c r="B185" s="3"/>
    </row>
    <row r="186" ht="14.25">
      <c r="B186" s="3"/>
    </row>
    <row r="187" ht="14.25">
      <c r="B187" s="3"/>
    </row>
    <row r="188" ht="14.25">
      <c r="B188" s="3"/>
    </row>
    <row r="189" ht="14.25">
      <c r="B189" s="3"/>
    </row>
    <row r="190" ht="14.25">
      <c r="B190" s="3"/>
    </row>
    <row r="191" ht="14.25">
      <c r="B191" s="3"/>
    </row>
  </sheetData>
  <sheetProtection password="C860" sheet="1"/>
  <printOptions/>
  <pageMargins left="0.7" right="0.7" top="0.75" bottom="0.75" header="0.3" footer="0.3"/>
  <pageSetup horizontalDpi="600" verticalDpi="600" orientation="portrait" paperSize="5" r:id="rId1"/>
  <headerFooter>
    <oddHeader>&amp;CSection 4.1a
Attachment 28
</oddHeader>
  </headerFooter>
</worksheet>
</file>

<file path=xl/worksheets/sheet10.xml><?xml version="1.0" encoding="utf-8"?>
<worksheet xmlns="http://schemas.openxmlformats.org/spreadsheetml/2006/main" xmlns:r="http://schemas.openxmlformats.org/officeDocument/2006/relationships">
  <dimension ref="A1:F6"/>
  <sheetViews>
    <sheetView view="pageLayout" workbookViewId="0" topLeftCell="A1">
      <selection activeCell="F2" sqref="F2"/>
    </sheetView>
  </sheetViews>
  <sheetFormatPr defaultColWidth="9.140625" defaultRowHeight="12.75"/>
  <cols>
    <col min="1" max="1" width="36.8515625" style="0" customWidth="1"/>
  </cols>
  <sheetData>
    <row r="1" spans="1:6" ht="18.75" customHeight="1" thickBot="1">
      <c r="A1" s="970" t="str">
        <f>'Budget Assumptions'!C1</f>
        <v>Passages Charter School - High School Campus</v>
      </c>
      <c r="B1" s="980"/>
      <c r="C1" s="980"/>
      <c r="D1" s="980"/>
      <c r="E1" s="980"/>
      <c r="F1" s="971"/>
    </row>
    <row r="2" spans="1:6" ht="18.75" customHeight="1" thickBot="1">
      <c r="A2" s="507" t="s">
        <v>511</v>
      </c>
      <c r="B2" s="5"/>
      <c r="C2" s="5"/>
      <c r="D2" s="5"/>
      <c r="E2" s="5"/>
      <c r="F2" s="5"/>
    </row>
    <row r="4" spans="1:6" ht="12.75">
      <c r="A4" s="45" t="s">
        <v>110</v>
      </c>
      <c r="B4" s="45"/>
      <c r="C4" s="45"/>
      <c r="D4" s="45"/>
      <c r="E4" s="45"/>
      <c r="F4" s="45"/>
    </row>
    <row r="5" ht="12.75">
      <c r="A5" s="859" t="s">
        <v>571</v>
      </c>
    </row>
    <row r="6" ht="12.75">
      <c r="A6" s="859" t="s">
        <v>572</v>
      </c>
    </row>
  </sheetData>
  <sheetProtection/>
  <mergeCells count="1">
    <mergeCell ref="A1:F1"/>
  </mergeCells>
  <printOptions/>
  <pageMargins left="0.7" right="0.7" top="0.75" bottom="0.75" header="0.3" footer="0.3"/>
  <pageSetup horizontalDpi="1200" verticalDpi="1200" orientation="portrait" r:id="rId1"/>
  <headerFooter>
    <oddHeader>&amp;CSection 4.1a
Attachment 28
</oddHeader>
  </headerFooter>
</worksheet>
</file>

<file path=xl/worksheets/sheet2.xml><?xml version="1.0" encoding="utf-8"?>
<worksheet xmlns="http://schemas.openxmlformats.org/spreadsheetml/2006/main" xmlns:r="http://schemas.openxmlformats.org/officeDocument/2006/relationships">
  <dimension ref="A1:H73"/>
  <sheetViews>
    <sheetView view="pageLayout" zoomScaleNormal="80" workbookViewId="0" topLeftCell="D1">
      <selection activeCell="F2" sqref="F2"/>
    </sheetView>
  </sheetViews>
  <sheetFormatPr defaultColWidth="9.140625" defaultRowHeight="12.75"/>
  <cols>
    <col min="1" max="1" width="65.7109375" style="0" customWidth="1"/>
    <col min="2" max="2" width="1.421875" style="0" customWidth="1"/>
    <col min="3" max="3" width="70.421875" style="0" customWidth="1"/>
    <col min="4" max="5" width="1.421875" style="0" customWidth="1"/>
    <col min="6" max="6" width="89.421875" style="0" customWidth="1"/>
  </cols>
  <sheetData>
    <row r="1" spans="1:8" ht="21" thickBot="1">
      <c r="A1" s="816" t="s">
        <v>115</v>
      </c>
      <c r="B1" s="15"/>
      <c r="C1" s="549" t="s">
        <v>567</v>
      </c>
      <c r="D1" s="3"/>
      <c r="E1" s="3"/>
      <c r="F1" s="3"/>
      <c r="G1" s="504"/>
      <c r="H1" s="504"/>
    </row>
    <row r="2" spans="1:8" ht="19.5" thickBot="1">
      <c r="A2" s="817" t="s">
        <v>508</v>
      </c>
      <c r="B2" s="15"/>
      <c r="C2" s="3"/>
      <c r="D2" s="3"/>
      <c r="E2" s="3"/>
      <c r="F2" s="46"/>
      <c r="G2" s="504"/>
      <c r="H2" s="504"/>
    </row>
    <row r="3" spans="1:8" ht="15" thickBot="1">
      <c r="A3" s="3"/>
      <c r="B3" s="3"/>
      <c r="C3" s="3"/>
      <c r="D3" s="3"/>
      <c r="E3" s="3"/>
      <c r="F3" s="3"/>
      <c r="G3" s="504"/>
      <c r="H3" s="504"/>
    </row>
    <row r="4" spans="1:8" ht="12.75" customHeight="1">
      <c r="A4" s="860" t="s">
        <v>57</v>
      </c>
      <c r="B4" s="861"/>
      <c r="C4" s="861"/>
      <c r="D4" s="861"/>
      <c r="E4" s="861"/>
      <c r="F4" s="862"/>
      <c r="G4" s="504"/>
      <c r="H4" s="504"/>
    </row>
    <row r="5" spans="1:8" ht="12.75" customHeight="1" thickBot="1">
      <c r="A5" s="863"/>
      <c r="B5" s="864"/>
      <c r="C5" s="864"/>
      <c r="D5" s="864"/>
      <c r="E5" s="864"/>
      <c r="F5" s="865"/>
      <c r="G5" s="504"/>
      <c r="H5" s="504"/>
    </row>
    <row r="6" spans="1:8" ht="21" thickBot="1">
      <c r="A6" s="2"/>
      <c r="B6" s="2"/>
      <c r="C6" s="2"/>
      <c r="D6" s="2"/>
      <c r="E6" s="2"/>
      <c r="F6" s="2"/>
      <c r="G6" s="504"/>
      <c r="H6" s="504"/>
    </row>
    <row r="7" spans="1:8" ht="12.75" customHeight="1">
      <c r="A7" s="866" t="s">
        <v>499</v>
      </c>
      <c r="B7" s="867"/>
      <c r="C7" s="867"/>
      <c r="D7" s="867"/>
      <c r="E7" s="867"/>
      <c r="F7" s="868"/>
      <c r="G7" s="504"/>
      <c r="H7" s="504"/>
    </row>
    <row r="8" spans="1:8" ht="57.75" customHeight="1" thickBot="1">
      <c r="A8" s="869"/>
      <c r="B8" s="870"/>
      <c r="C8" s="870"/>
      <c r="D8" s="870"/>
      <c r="E8" s="870"/>
      <c r="F8" s="871"/>
      <c r="G8" s="504"/>
      <c r="H8" s="504"/>
    </row>
    <row r="9" spans="1:8" ht="15">
      <c r="A9" s="6"/>
      <c r="B9" s="6"/>
      <c r="C9" s="6"/>
      <c r="D9" s="6"/>
      <c r="E9" s="6"/>
      <c r="F9" s="6"/>
      <c r="G9" s="504"/>
      <c r="H9" s="504"/>
    </row>
    <row r="10" spans="1:8" ht="15.75">
      <c r="A10" s="872" t="s">
        <v>46</v>
      </c>
      <c r="B10" s="872"/>
      <c r="C10" s="872"/>
      <c r="D10" s="872"/>
      <c r="E10" s="872"/>
      <c r="F10" s="872"/>
      <c r="G10" s="504"/>
      <c r="H10" s="504"/>
    </row>
    <row r="11" spans="1:8" ht="15">
      <c r="A11" s="5"/>
      <c r="B11" s="5"/>
      <c r="C11" s="5"/>
      <c r="D11" s="5"/>
      <c r="E11" s="5"/>
      <c r="F11" s="5"/>
      <c r="G11" s="504"/>
      <c r="H11" s="504"/>
    </row>
    <row r="12" spans="1:8" ht="15.75">
      <c r="A12" s="1" t="s">
        <v>43</v>
      </c>
      <c r="B12" s="7"/>
      <c r="C12" s="8" t="s">
        <v>44</v>
      </c>
      <c r="D12" s="7"/>
      <c r="E12" s="7"/>
      <c r="F12" s="8" t="s">
        <v>47</v>
      </c>
      <c r="G12" s="504"/>
      <c r="H12" s="504"/>
    </row>
    <row r="13" spans="1:8" ht="15">
      <c r="A13" s="5"/>
      <c r="B13" s="5"/>
      <c r="C13" s="5"/>
      <c r="D13" s="5"/>
      <c r="E13" s="5"/>
      <c r="F13" s="5"/>
      <c r="G13" s="504"/>
      <c r="H13" s="504"/>
    </row>
    <row r="14" spans="1:8" ht="126.75" customHeight="1">
      <c r="A14" s="819" t="s">
        <v>48</v>
      </c>
      <c r="B14" s="5"/>
      <c r="C14" s="820" t="s">
        <v>509</v>
      </c>
      <c r="D14" s="5"/>
      <c r="E14" s="5"/>
      <c r="F14" s="815" t="s">
        <v>565</v>
      </c>
      <c r="G14" s="504"/>
      <c r="H14" s="504"/>
    </row>
    <row r="15" spans="1:8" ht="126.75" customHeight="1">
      <c r="A15" s="819" t="s">
        <v>500</v>
      </c>
      <c r="B15" s="5"/>
      <c r="C15" s="820" t="s">
        <v>540</v>
      </c>
      <c r="D15" s="5"/>
      <c r="E15" s="5"/>
      <c r="F15" s="815" t="s">
        <v>551</v>
      </c>
      <c r="G15" s="504"/>
      <c r="H15" s="504"/>
    </row>
    <row r="16" spans="1:8" ht="126.75" customHeight="1">
      <c r="A16" s="819" t="s">
        <v>40</v>
      </c>
      <c r="B16" s="5"/>
      <c r="C16" s="820" t="s">
        <v>501</v>
      </c>
      <c r="D16" s="5"/>
      <c r="E16" s="5"/>
      <c r="F16" s="815" t="s">
        <v>552</v>
      </c>
      <c r="G16" s="504"/>
      <c r="H16" s="504"/>
    </row>
    <row r="17" spans="1:8" ht="126.75" customHeight="1">
      <c r="A17" s="819" t="s">
        <v>41</v>
      </c>
      <c r="B17" s="5"/>
      <c r="C17" s="820" t="s">
        <v>54</v>
      </c>
      <c r="D17" s="5"/>
      <c r="E17" s="5"/>
      <c r="F17" s="815" t="s">
        <v>553</v>
      </c>
      <c r="G17" s="504"/>
      <c r="H17" s="504"/>
    </row>
    <row r="18" spans="1:8" ht="126.75" customHeight="1">
      <c r="A18" s="819" t="s">
        <v>9</v>
      </c>
      <c r="B18" s="5"/>
      <c r="C18" s="820" t="s">
        <v>55</v>
      </c>
      <c r="D18" s="5"/>
      <c r="E18" s="5"/>
      <c r="F18" s="815" t="s">
        <v>554</v>
      </c>
      <c r="G18" s="504"/>
      <c r="H18" s="504"/>
    </row>
    <row r="19" spans="1:8" ht="126.75" customHeight="1">
      <c r="A19" s="819" t="s">
        <v>7</v>
      </c>
      <c r="B19" s="5"/>
      <c r="C19" s="820" t="s">
        <v>510</v>
      </c>
      <c r="D19" s="5"/>
      <c r="E19" s="5"/>
      <c r="F19" s="815" t="s">
        <v>555</v>
      </c>
      <c r="G19" s="504"/>
      <c r="H19" s="504"/>
    </row>
    <row r="20" spans="1:8" ht="126.75" customHeight="1">
      <c r="A20" s="5"/>
      <c r="B20" s="5"/>
      <c r="C20" s="5"/>
      <c r="D20" s="5"/>
      <c r="E20" s="5"/>
      <c r="F20" s="5"/>
      <c r="G20" s="504"/>
      <c r="H20" s="504"/>
    </row>
    <row r="21" spans="1:8" ht="15.75">
      <c r="A21" s="872" t="s">
        <v>49</v>
      </c>
      <c r="B21" s="872"/>
      <c r="C21" s="872"/>
      <c r="D21" s="872"/>
      <c r="E21" s="872"/>
      <c r="F21" s="872"/>
      <c r="G21" s="504"/>
      <c r="H21" s="504"/>
    </row>
    <row r="22" spans="1:8" ht="15">
      <c r="A22" s="5"/>
      <c r="B22" s="5"/>
      <c r="C22" s="5"/>
      <c r="D22" s="5"/>
      <c r="E22" s="5"/>
      <c r="F22" s="5"/>
      <c r="G22" s="504"/>
      <c r="H22" s="504"/>
    </row>
    <row r="23" spans="1:8" ht="15.75">
      <c r="A23" s="1" t="s">
        <v>43</v>
      </c>
      <c r="B23" s="7"/>
      <c r="C23" s="8" t="s">
        <v>44</v>
      </c>
      <c r="D23" s="7"/>
      <c r="E23" s="7"/>
      <c r="F23" s="8" t="s">
        <v>47</v>
      </c>
      <c r="G23" s="504"/>
      <c r="H23" s="504"/>
    </row>
    <row r="24" spans="1:8" ht="15">
      <c r="A24" s="5"/>
      <c r="B24" s="5"/>
      <c r="C24" s="5"/>
      <c r="D24" s="5"/>
      <c r="E24" s="5"/>
      <c r="F24" s="5"/>
      <c r="G24" s="504"/>
      <c r="H24" s="504"/>
    </row>
    <row r="25" spans="1:8" ht="126.75" customHeight="1">
      <c r="A25" s="819" t="s">
        <v>10</v>
      </c>
      <c r="B25" s="16"/>
      <c r="C25" s="820" t="s">
        <v>502</v>
      </c>
      <c r="D25" s="16"/>
      <c r="E25" s="16"/>
      <c r="F25" s="821" t="s">
        <v>556</v>
      </c>
      <c r="G25" s="504"/>
      <c r="H25" s="504"/>
    </row>
    <row r="26" spans="1:8" ht="15.75">
      <c r="A26" s="819" t="s">
        <v>50</v>
      </c>
      <c r="B26" s="5"/>
      <c r="C26" s="13"/>
      <c r="D26" s="5"/>
      <c r="E26" s="5"/>
      <c r="F26" s="14"/>
      <c r="G26" s="504"/>
      <c r="H26" s="504"/>
    </row>
    <row r="27" spans="1:8" ht="126.75" customHeight="1">
      <c r="A27" s="822" t="s">
        <v>51</v>
      </c>
      <c r="B27" s="5"/>
      <c r="C27" s="820" t="s">
        <v>503</v>
      </c>
      <c r="D27" s="5"/>
      <c r="E27" s="5"/>
      <c r="F27" s="815" t="s">
        <v>564</v>
      </c>
      <c r="G27" s="504"/>
      <c r="H27" s="504"/>
    </row>
    <row r="28" spans="1:8" ht="126.75" customHeight="1">
      <c r="A28" s="822" t="s">
        <v>52</v>
      </c>
      <c r="B28" s="5"/>
      <c r="C28" s="820" t="s">
        <v>504</v>
      </c>
      <c r="D28" s="5"/>
      <c r="E28" s="5"/>
      <c r="F28" s="815" t="s">
        <v>563</v>
      </c>
      <c r="G28" s="504"/>
      <c r="H28" s="504"/>
    </row>
    <row r="29" spans="1:8" ht="126.75" customHeight="1">
      <c r="A29" s="822" t="s">
        <v>53</v>
      </c>
      <c r="B29" s="5"/>
      <c r="C29" s="820" t="s">
        <v>505</v>
      </c>
      <c r="D29" s="5"/>
      <c r="E29" s="5"/>
      <c r="F29" s="815" t="s">
        <v>566</v>
      </c>
      <c r="G29" s="504"/>
      <c r="H29" s="504"/>
    </row>
    <row r="30" spans="1:8" ht="126.75" customHeight="1">
      <c r="A30" s="823" t="s">
        <v>22</v>
      </c>
      <c r="B30" s="16"/>
      <c r="C30" s="820" t="s">
        <v>506</v>
      </c>
      <c r="D30" s="5"/>
      <c r="E30" s="5"/>
      <c r="F30" s="815" t="s">
        <v>557</v>
      </c>
      <c r="G30" s="504"/>
      <c r="H30" s="504"/>
    </row>
    <row r="31" spans="1:8" ht="126.75" customHeight="1">
      <c r="A31" s="819" t="s">
        <v>45</v>
      </c>
      <c r="B31" s="16"/>
      <c r="C31" s="820" t="s">
        <v>507</v>
      </c>
      <c r="D31" s="5"/>
      <c r="E31" s="5"/>
      <c r="F31" s="815" t="s">
        <v>558</v>
      </c>
      <c r="G31" s="504"/>
      <c r="H31" s="504"/>
    </row>
    <row r="32" spans="1:8" ht="126.75" customHeight="1">
      <c r="A32" s="819" t="s">
        <v>8</v>
      </c>
      <c r="B32" s="16"/>
      <c r="C32" s="820" t="s">
        <v>108</v>
      </c>
      <c r="D32" s="5"/>
      <c r="E32" s="5"/>
      <c r="F32" s="815" t="s">
        <v>559</v>
      </c>
      <c r="G32" s="504"/>
      <c r="H32" s="504"/>
    </row>
    <row r="33" spans="1:8" ht="126.75" customHeight="1">
      <c r="A33" s="819" t="s">
        <v>12</v>
      </c>
      <c r="B33" s="16"/>
      <c r="C33" s="820" t="s">
        <v>56</v>
      </c>
      <c r="D33" s="5"/>
      <c r="E33" s="5"/>
      <c r="F33" s="815" t="s">
        <v>561</v>
      </c>
      <c r="G33" s="504"/>
      <c r="H33" s="504"/>
    </row>
    <row r="34" spans="1:8" ht="126.75" customHeight="1">
      <c r="A34" s="819" t="s">
        <v>7</v>
      </c>
      <c r="B34" s="16"/>
      <c r="C34" s="820" t="s">
        <v>109</v>
      </c>
      <c r="D34" s="5"/>
      <c r="E34" s="5"/>
      <c r="F34" s="815" t="s">
        <v>560</v>
      </c>
      <c r="G34" s="504"/>
      <c r="H34" s="504"/>
    </row>
    <row r="35" spans="1:8" ht="15">
      <c r="A35" s="9"/>
      <c r="B35" s="5"/>
      <c r="C35" s="4"/>
      <c r="D35" s="5"/>
      <c r="E35" s="5"/>
      <c r="F35" s="4"/>
      <c r="G35" s="504"/>
      <c r="H35" s="504"/>
    </row>
    <row r="36" spans="1:8" ht="12.75" customHeight="1">
      <c r="A36" s="873" t="s">
        <v>6</v>
      </c>
      <c r="B36" s="873"/>
      <c r="C36" s="873"/>
      <c r="D36" s="873"/>
      <c r="E36" s="873"/>
      <c r="F36" s="873"/>
      <c r="G36" s="504"/>
      <c r="H36" s="504"/>
    </row>
    <row r="37" spans="1:8" ht="12.75" customHeight="1">
      <c r="A37" s="873"/>
      <c r="B37" s="873"/>
      <c r="C37" s="873"/>
      <c r="D37" s="873"/>
      <c r="E37" s="873"/>
      <c r="F37" s="873"/>
      <c r="G37" s="504"/>
      <c r="H37" s="504"/>
    </row>
    <row r="38" spans="1:8" ht="15">
      <c r="A38" s="10"/>
      <c r="B38" s="10"/>
      <c r="C38" s="10"/>
      <c r="D38" s="10"/>
      <c r="E38" s="10"/>
      <c r="F38" s="10"/>
      <c r="G38" s="504"/>
      <c r="H38" s="504"/>
    </row>
    <row r="39" spans="1:8" ht="12.75" customHeight="1">
      <c r="A39" s="874" t="s">
        <v>562</v>
      </c>
      <c r="B39" s="874"/>
      <c r="C39" s="874"/>
      <c r="D39" s="874"/>
      <c r="E39" s="874"/>
      <c r="F39" s="874"/>
      <c r="G39" s="504"/>
      <c r="H39" s="504"/>
    </row>
    <row r="40" spans="1:8" ht="12.75" customHeight="1">
      <c r="A40" s="874"/>
      <c r="B40" s="874"/>
      <c r="C40" s="874"/>
      <c r="D40" s="874"/>
      <c r="E40" s="874"/>
      <c r="F40" s="874"/>
      <c r="G40" s="504"/>
      <c r="H40" s="504"/>
    </row>
    <row r="41" spans="1:8" ht="12.75" customHeight="1">
      <c r="A41" s="874"/>
      <c r="B41" s="874"/>
      <c r="C41" s="874"/>
      <c r="D41" s="874"/>
      <c r="E41" s="874"/>
      <c r="F41" s="874"/>
      <c r="G41" s="504"/>
      <c r="H41" s="504"/>
    </row>
    <row r="42" spans="1:8" ht="12.75" customHeight="1">
      <c r="A42" s="874"/>
      <c r="B42" s="874"/>
      <c r="C42" s="874"/>
      <c r="D42" s="874"/>
      <c r="E42" s="874"/>
      <c r="F42" s="874"/>
      <c r="G42" s="504"/>
      <c r="H42" s="504"/>
    </row>
    <row r="43" spans="1:8" ht="12.75" customHeight="1">
      <c r="A43" s="874"/>
      <c r="B43" s="874"/>
      <c r="C43" s="874"/>
      <c r="D43" s="874"/>
      <c r="E43" s="874"/>
      <c r="F43" s="874"/>
      <c r="G43" s="504"/>
      <c r="H43" s="504"/>
    </row>
    <row r="44" spans="1:8" ht="12.75" customHeight="1">
      <c r="A44" s="874"/>
      <c r="B44" s="874"/>
      <c r="C44" s="874"/>
      <c r="D44" s="874"/>
      <c r="E44" s="874"/>
      <c r="F44" s="874"/>
      <c r="G44" s="504"/>
      <c r="H44" s="504"/>
    </row>
    <row r="45" spans="1:8" ht="12.75" customHeight="1">
      <c r="A45" s="874"/>
      <c r="B45" s="874"/>
      <c r="C45" s="874"/>
      <c r="D45" s="874"/>
      <c r="E45" s="874"/>
      <c r="F45" s="874"/>
      <c r="G45" s="504"/>
      <c r="H45" s="504"/>
    </row>
    <row r="46" spans="1:8" ht="12.75" customHeight="1">
      <c r="A46" s="874"/>
      <c r="B46" s="874"/>
      <c r="C46" s="874"/>
      <c r="D46" s="874"/>
      <c r="E46" s="874"/>
      <c r="F46" s="874"/>
      <c r="G46" s="504"/>
      <c r="H46" s="504"/>
    </row>
    <row r="47" spans="1:8" ht="12.75" customHeight="1">
      <c r="A47" s="874"/>
      <c r="B47" s="874"/>
      <c r="C47" s="874"/>
      <c r="D47" s="874"/>
      <c r="E47" s="874"/>
      <c r="F47" s="874"/>
      <c r="G47" s="504"/>
      <c r="H47" s="504"/>
    </row>
    <row r="48" spans="1:8" ht="12.75" customHeight="1">
      <c r="A48" s="874"/>
      <c r="B48" s="874"/>
      <c r="C48" s="874"/>
      <c r="D48" s="874"/>
      <c r="E48" s="874"/>
      <c r="F48" s="874"/>
      <c r="G48" s="504"/>
      <c r="H48" s="504"/>
    </row>
    <row r="49" spans="1:8" ht="12.75" customHeight="1">
      <c r="A49" s="874"/>
      <c r="B49" s="874"/>
      <c r="C49" s="874"/>
      <c r="D49" s="874"/>
      <c r="E49" s="874"/>
      <c r="F49" s="874"/>
      <c r="G49" s="504"/>
      <c r="H49" s="504"/>
    </row>
    <row r="50" spans="1:8" ht="12.75" customHeight="1">
      <c r="A50" s="874"/>
      <c r="B50" s="874"/>
      <c r="C50" s="874"/>
      <c r="D50" s="874"/>
      <c r="E50" s="874"/>
      <c r="F50" s="874"/>
      <c r="G50" s="504"/>
      <c r="H50" s="504"/>
    </row>
    <row r="51" spans="1:8" ht="12.75" customHeight="1">
      <c r="A51" s="874"/>
      <c r="B51" s="874"/>
      <c r="C51" s="874"/>
      <c r="D51" s="874"/>
      <c r="E51" s="874"/>
      <c r="F51" s="874"/>
      <c r="G51" s="504"/>
      <c r="H51" s="504"/>
    </row>
    <row r="52" spans="1:8" ht="12.75" customHeight="1">
      <c r="A52" s="874"/>
      <c r="B52" s="874"/>
      <c r="C52" s="874"/>
      <c r="D52" s="874"/>
      <c r="E52" s="874"/>
      <c r="F52" s="874"/>
      <c r="G52" s="504"/>
      <c r="H52" s="504"/>
    </row>
    <row r="53" spans="1:8" ht="12.75" customHeight="1">
      <c r="A53" s="874"/>
      <c r="B53" s="874"/>
      <c r="C53" s="874"/>
      <c r="D53" s="874"/>
      <c r="E53" s="874"/>
      <c r="F53" s="874"/>
      <c r="G53" s="504"/>
      <c r="H53" s="504"/>
    </row>
    <row r="54" spans="1:8" ht="12.75" customHeight="1">
      <c r="A54" s="874"/>
      <c r="B54" s="874"/>
      <c r="C54" s="874"/>
      <c r="D54" s="874"/>
      <c r="E54" s="874"/>
      <c r="F54" s="874"/>
      <c r="G54" s="504"/>
      <c r="H54" s="504"/>
    </row>
    <row r="55" spans="1:8" ht="12.75" customHeight="1">
      <c r="A55" s="874"/>
      <c r="B55" s="874"/>
      <c r="C55" s="874"/>
      <c r="D55" s="874"/>
      <c r="E55" s="874"/>
      <c r="F55" s="874"/>
      <c r="G55" s="504"/>
      <c r="H55" s="504"/>
    </row>
    <row r="56" spans="1:8" ht="12.75" customHeight="1">
      <c r="A56" s="874"/>
      <c r="B56" s="874"/>
      <c r="C56" s="874"/>
      <c r="D56" s="874"/>
      <c r="E56" s="874"/>
      <c r="F56" s="874"/>
      <c r="G56" s="504"/>
      <c r="H56" s="504"/>
    </row>
    <row r="57" spans="1:8" ht="12.75">
      <c r="A57" s="301"/>
      <c r="B57" s="301"/>
      <c r="C57" s="301"/>
      <c r="D57" s="301"/>
      <c r="E57" s="301"/>
      <c r="F57" s="301"/>
      <c r="G57" s="504"/>
      <c r="H57" s="504"/>
    </row>
    <row r="58" spans="1:8" ht="12.75">
      <c r="A58" s="301"/>
      <c r="B58" s="301"/>
      <c r="C58" s="301"/>
      <c r="D58" s="301"/>
      <c r="E58" s="301"/>
      <c r="F58" s="301"/>
      <c r="G58" s="504"/>
      <c r="H58" s="504"/>
    </row>
    <row r="59" spans="1:8" ht="12.75">
      <c r="A59" s="301"/>
      <c r="B59" s="301"/>
      <c r="C59" s="301"/>
      <c r="D59" s="301"/>
      <c r="E59" s="301"/>
      <c r="F59" s="301"/>
      <c r="G59" s="504"/>
      <c r="H59" s="504"/>
    </row>
    <row r="60" spans="1:8" ht="12.75">
      <c r="A60" s="301"/>
      <c r="B60" s="301"/>
      <c r="C60" s="301"/>
      <c r="D60" s="301"/>
      <c r="E60" s="301"/>
      <c r="F60" s="301"/>
      <c r="G60" s="504"/>
      <c r="H60" s="504"/>
    </row>
    <row r="61" spans="1:8" ht="12.75">
      <c r="A61" s="301"/>
      <c r="B61" s="301"/>
      <c r="C61" s="301"/>
      <c r="D61" s="301"/>
      <c r="E61" s="301"/>
      <c r="F61" s="301"/>
      <c r="G61" s="504"/>
      <c r="H61" s="504"/>
    </row>
    <row r="62" spans="1:8" ht="12.75">
      <c r="A62" s="301"/>
      <c r="B62" s="301"/>
      <c r="C62" s="301"/>
      <c r="D62" s="301"/>
      <c r="E62" s="301"/>
      <c r="F62" s="301"/>
      <c r="G62" s="504"/>
      <c r="H62" s="504"/>
    </row>
    <row r="63" spans="1:8" ht="12.75">
      <c r="A63" s="301"/>
      <c r="B63" s="301"/>
      <c r="C63" s="301"/>
      <c r="D63" s="301"/>
      <c r="E63" s="301"/>
      <c r="F63" s="301"/>
      <c r="G63" s="504"/>
      <c r="H63" s="504"/>
    </row>
    <row r="64" spans="1:8" ht="12.75">
      <c r="A64" s="301"/>
      <c r="B64" s="301"/>
      <c r="C64" s="301"/>
      <c r="D64" s="301"/>
      <c r="E64" s="301"/>
      <c r="F64" s="301"/>
      <c r="G64" s="504"/>
      <c r="H64" s="504"/>
    </row>
    <row r="65" spans="1:6" ht="12.75">
      <c r="A65" s="175"/>
      <c r="B65" s="175"/>
      <c r="C65" s="175"/>
      <c r="D65" s="175"/>
      <c r="E65" s="175"/>
      <c r="F65" s="175"/>
    </row>
    <row r="66" spans="1:6" ht="12.75">
      <c r="A66" s="175"/>
      <c r="B66" s="175"/>
      <c r="C66" s="175"/>
      <c r="D66" s="175"/>
      <c r="E66" s="175"/>
      <c r="F66" s="175"/>
    </row>
    <row r="67" spans="1:6" ht="12.75">
      <c r="A67" s="175"/>
      <c r="B67" s="175"/>
      <c r="C67" s="175"/>
      <c r="D67" s="175"/>
      <c r="E67" s="175"/>
      <c r="F67" s="175"/>
    </row>
    <row r="68" spans="1:6" ht="12.75">
      <c r="A68" s="175"/>
      <c r="B68" s="175"/>
      <c r="C68" s="175"/>
      <c r="D68" s="175"/>
      <c r="E68" s="175"/>
      <c r="F68" s="175"/>
    </row>
    <row r="69" spans="1:6" ht="12.75">
      <c r="A69" s="175"/>
      <c r="B69" s="175"/>
      <c r="C69" s="175"/>
      <c r="D69" s="175"/>
      <c r="E69" s="175"/>
      <c r="F69" s="175"/>
    </row>
    <row r="70" spans="1:6" ht="12.75">
      <c r="A70" s="175"/>
      <c r="B70" s="175"/>
      <c r="C70" s="175"/>
      <c r="D70" s="175"/>
      <c r="E70" s="175"/>
      <c r="F70" s="175"/>
    </row>
    <row r="71" spans="1:6" ht="12.75">
      <c r="A71" s="175"/>
      <c r="B71" s="175"/>
      <c r="C71" s="175"/>
      <c r="D71" s="175"/>
      <c r="E71" s="175"/>
      <c r="F71" s="175"/>
    </row>
    <row r="72" spans="1:6" ht="12.75">
      <c r="A72" s="175"/>
      <c r="B72" s="175"/>
      <c r="C72" s="175"/>
      <c r="D72" s="175"/>
      <c r="E72" s="175"/>
      <c r="F72" s="175"/>
    </row>
    <row r="73" spans="1:6" ht="12.75">
      <c r="A73" s="175"/>
      <c r="B73" s="175"/>
      <c r="C73" s="175"/>
      <c r="D73" s="175"/>
      <c r="E73" s="175"/>
      <c r="F73" s="175"/>
    </row>
  </sheetData>
  <sheetProtection password="C9A0" sheet="1"/>
  <mergeCells count="6">
    <mergeCell ref="A4:F5"/>
    <mergeCell ref="A7:F8"/>
    <mergeCell ref="A10:F10"/>
    <mergeCell ref="A21:F21"/>
    <mergeCell ref="A36:F37"/>
    <mergeCell ref="A39:F56"/>
  </mergeCells>
  <printOptions/>
  <pageMargins left="0.7" right="0.7" top="0.75" bottom="0.75" header="0.3" footer="0.3"/>
  <pageSetup horizontalDpi="1200" verticalDpi="1200" orientation="portrait" r:id="rId1"/>
  <headerFooter>
    <oddHeader>&amp;CSection 4.1a
Attachment 28
</oddHeader>
  </headerFooter>
</worksheet>
</file>

<file path=xl/worksheets/sheet3.xml><?xml version="1.0" encoding="utf-8"?>
<worksheet xmlns="http://schemas.openxmlformats.org/spreadsheetml/2006/main" xmlns:r="http://schemas.openxmlformats.org/officeDocument/2006/relationships">
  <dimension ref="A1:N79"/>
  <sheetViews>
    <sheetView tabSelected="1" view="pageLayout" workbookViewId="0" topLeftCell="B1">
      <selection activeCell="F2" sqref="F2"/>
    </sheetView>
  </sheetViews>
  <sheetFormatPr defaultColWidth="9.140625" defaultRowHeight="12.75"/>
  <cols>
    <col min="1" max="1" width="6.421875" style="0" customWidth="1"/>
    <col min="2" max="2" width="63.140625" style="0" bestFit="1" customWidth="1"/>
    <col min="3" max="3" width="2.00390625" style="0" customWidth="1"/>
    <col min="4" max="4" width="21.28125" style="0" bestFit="1" customWidth="1"/>
    <col min="5" max="5" width="2.140625" style="0" customWidth="1"/>
    <col min="6" max="6" width="22.57421875" style="0" bestFit="1" customWidth="1"/>
    <col min="7" max="7" width="2.140625" style="0" customWidth="1"/>
    <col min="8" max="8" width="21.7109375" style="0" bestFit="1" customWidth="1"/>
    <col min="9" max="9" width="2.140625" style="0" customWidth="1"/>
    <col min="10" max="10" width="21.57421875" style="0" bestFit="1" customWidth="1"/>
    <col min="11" max="11" width="2.140625" style="0" customWidth="1"/>
    <col min="12" max="12" width="21.57421875" style="0" bestFit="1" customWidth="1"/>
    <col min="13" max="13" width="2.140625" style="0" customWidth="1"/>
    <col min="14" max="14" width="21.57421875" style="0" bestFit="1" customWidth="1"/>
  </cols>
  <sheetData>
    <row r="1" spans="1:6" ht="19.5" thickBot="1">
      <c r="A1" s="17"/>
      <c r="B1" s="805" t="str">
        <f>'Budget Assumptions'!C1</f>
        <v>Passages Charter School - High School Campus</v>
      </c>
      <c r="C1" s="16"/>
      <c r="F1" s="18"/>
    </row>
    <row r="2" spans="2:3" ht="18.75" thickBot="1">
      <c r="B2" s="806" t="s">
        <v>118</v>
      </c>
      <c r="C2" s="16"/>
    </row>
    <row r="3" spans="1:3" ht="18.75" customHeight="1" thickBot="1">
      <c r="A3" s="17"/>
      <c r="B3" s="495" t="s">
        <v>191</v>
      </c>
      <c r="C3" s="16"/>
    </row>
    <row r="5" ht="13.5" thickBot="1"/>
    <row r="6" spans="6:14" ht="19.5" customHeight="1" thickBot="1">
      <c r="F6" s="875" t="s">
        <v>497</v>
      </c>
      <c r="G6" s="876"/>
      <c r="H6" s="876"/>
      <c r="I6" s="876"/>
      <c r="J6" s="876"/>
      <c r="K6" s="876"/>
      <c r="L6" s="876"/>
      <c r="M6" s="876"/>
      <c r="N6" s="877"/>
    </row>
    <row r="7" spans="2:14" ht="20.25" thickBot="1">
      <c r="B7" s="806" t="s">
        <v>43</v>
      </c>
      <c r="C7" s="19"/>
      <c r="D7" s="807" t="s">
        <v>65</v>
      </c>
      <c r="E7" s="20"/>
      <c r="F7" s="808" t="s">
        <v>66</v>
      </c>
      <c r="G7" s="20"/>
      <c r="H7" s="808">
        <f>F7+1</f>
        <v>2016</v>
      </c>
      <c r="I7" s="20"/>
      <c r="J7" s="808">
        <f>H7+1</f>
        <v>2017</v>
      </c>
      <c r="K7" s="20"/>
      <c r="L7" s="808">
        <f>J7+1</f>
        <v>2018</v>
      </c>
      <c r="M7" s="20"/>
      <c r="N7" s="808">
        <f>L7+1</f>
        <v>2019</v>
      </c>
    </row>
    <row r="8" spans="4:14" ht="22.5">
      <c r="D8" s="12"/>
      <c r="E8" s="12"/>
      <c r="F8" s="12"/>
      <c r="G8" s="12"/>
      <c r="H8" s="12"/>
      <c r="I8" s="12"/>
      <c r="J8" s="12"/>
      <c r="K8" s="12"/>
      <c r="L8" s="12"/>
      <c r="M8" s="12"/>
      <c r="N8" s="12"/>
    </row>
    <row r="9" spans="2:14" ht="18">
      <c r="B9" s="738" t="s">
        <v>61</v>
      </c>
      <c r="C9" s="15"/>
      <c r="D9" s="21"/>
      <c r="E9" s="22"/>
      <c r="F9" s="21">
        <v>0</v>
      </c>
      <c r="G9" s="23"/>
      <c r="H9" s="21">
        <v>10000</v>
      </c>
      <c r="I9" s="23"/>
      <c r="J9" s="21">
        <v>10000</v>
      </c>
      <c r="K9" s="24"/>
      <c r="L9" s="21">
        <v>10000</v>
      </c>
      <c r="M9" s="24"/>
      <c r="N9" s="21"/>
    </row>
    <row r="10" spans="2:14" ht="18">
      <c r="B10" s="738" t="s">
        <v>62</v>
      </c>
      <c r="C10" s="15"/>
      <c r="D10" s="21"/>
      <c r="E10" s="22"/>
      <c r="F10" s="21">
        <v>15000</v>
      </c>
      <c r="G10" s="23"/>
      <c r="H10" s="21">
        <v>15000</v>
      </c>
      <c r="I10" s="23"/>
      <c r="J10" s="21">
        <v>15000</v>
      </c>
      <c r="K10" s="24"/>
      <c r="L10" s="21">
        <v>15000</v>
      </c>
      <c r="M10" s="24"/>
      <c r="N10" s="21"/>
    </row>
    <row r="11" spans="2:14" ht="18">
      <c r="B11" s="738" t="s">
        <v>71</v>
      </c>
      <c r="C11" s="15"/>
      <c r="D11" s="547">
        <f>D43</f>
        <v>0</v>
      </c>
      <c r="E11" s="25"/>
      <c r="F11" s="547">
        <f>F43</f>
        <v>20000</v>
      </c>
      <c r="G11" s="26"/>
      <c r="H11" s="547">
        <f>H43</f>
        <v>0</v>
      </c>
      <c r="I11" s="26"/>
      <c r="J11" s="547">
        <f>J43</f>
        <v>20000</v>
      </c>
      <c r="K11" s="25"/>
      <c r="L11" s="547">
        <f>L43</f>
        <v>0</v>
      </c>
      <c r="M11" s="25"/>
      <c r="N11" s="547">
        <f>N43</f>
        <v>0</v>
      </c>
    </row>
    <row r="12" spans="2:14" ht="18">
      <c r="B12" s="738" t="s">
        <v>72</v>
      </c>
      <c r="C12" s="15"/>
      <c r="D12" s="547">
        <f>D65</f>
        <v>0</v>
      </c>
      <c r="E12" s="25"/>
      <c r="F12" s="547">
        <f>F65</f>
        <v>0</v>
      </c>
      <c r="G12" s="26"/>
      <c r="H12" s="547">
        <f>H65</f>
        <v>0</v>
      </c>
      <c r="I12" s="26"/>
      <c r="J12" s="547">
        <f>J65</f>
        <v>0</v>
      </c>
      <c r="K12" s="25"/>
      <c r="L12" s="547">
        <f>L65</f>
        <v>0</v>
      </c>
      <c r="M12" s="25"/>
      <c r="N12" s="547">
        <f>N65</f>
        <v>0</v>
      </c>
    </row>
    <row r="13" spans="2:14" ht="18">
      <c r="B13" s="738" t="s">
        <v>73</v>
      </c>
      <c r="C13" s="15"/>
      <c r="D13" s="21"/>
      <c r="E13" s="22"/>
      <c r="F13" s="21"/>
      <c r="G13" s="23"/>
      <c r="H13" s="21"/>
      <c r="I13" s="23"/>
      <c r="J13" s="21"/>
      <c r="K13" s="24"/>
      <c r="L13" s="21"/>
      <c r="M13" s="24"/>
      <c r="N13" s="21"/>
    </row>
    <row r="14" spans="2:14" ht="18">
      <c r="B14" s="738" t="s">
        <v>74</v>
      </c>
      <c r="C14" s="15"/>
      <c r="D14" s="21"/>
      <c r="E14" s="22"/>
      <c r="F14" s="21"/>
      <c r="G14" s="23"/>
      <c r="H14" s="21"/>
      <c r="I14" s="23"/>
      <c r="J14" s="21"/>
      <c r="K14" s="24"/>
      <c r="L14" s="21"/>
      <c r="M14" s="24"/>
      <c r="N14" s="21"/>
    </row>
    <row r="15" spans="2:14" ht="18">
      <c r="B15" s="738" t="s">
        <v>63</v>
      </c>
      <c r="C15" s="15"/>
      <c r="D15" s="21"/>
      <c r="E15" s="22"/>
      <c r="F15" s="21"/>
      <c r="G15" s="23"/>
      <c r="H15" s="21"/>
      <c r="I15" s="23"/>
      <c r="J15" s="21"/>
      <c r="K15" s="24"/>
      <c r="L15" s="21"/>
      <c r="M15" s="24"/>
      <c r="N15" s="21"/>
    </row>
    <row r="16" spans="2:14" ht="18">
      <c r="B16" s="739" t="s">
        <v>75</v>
      </c>
      <c r="C16" s="15"/>
      <c r="D16" s="21"/>
      <c r="E16" s="22"/>
      <c r="F16" s="21"/>
      <c r="G16" s="23"/>
      <c r="H16" s="21"/>
      <c r="I16" s="23"/>
      <c r="J16" s="21"/>
      <c r="K16" s="24"/>
      <c r="L16" s="21"/>
      <c r="M16" s="24"/>
      <c r="N16" s="21"/>
    </row>
    <row r="17" spans="2:14" ht="15.75">
      <c r="B17" s="740"/>
      <c r="D17" s="21"/>
      <c r="E17" s="22"/>
      <c r="F17" s="21"/>
      <c r="G17" s="23"/>
      <c r="H17" s="21"/>
      <c r="I17" s="23"/>
      <c r="J17" s="21"/>
      <c r="K17" s="24"/>
      <c r="L17" s="21"/>
      <c r="M17" s="24"/>
      <c r="N17" s="21"/>
    </row>
    <row r="18" spans="2:14" ht="15.75">
      <c r="B18" s="740"/>
      <c r="D18" s="21"/>
      <c r="E18" s="23"/>
      <c r="F18" s="21"/>
      <c r="G18" s="23"/>
      <c r="H18" s="21"/>
      <c r="I18" s="23"/>
      <c r="J18" s="21"/>
      <c r="K18" s="24"/>
      <c r="L18" s="21"/>
      <c r="M18" s="24"/>
      <c r="N18" s="21"/>
    </row>
    <row r="19" spans="2:14" ht="16.5" thickBot="1">
      <c r="B19" s="340"/>
      <c r="D19" s="27"/>
      <c r="E19" s="27"/>
      <c r="F19" s="27"/>
      <c r="G19" s="27"/>
      <c r="H19" s="27"/>
      <c r="I19" s="27"/>
      <c r="J19" s="24"/>
      <c r="K19" s="24"/>
      <c r="L19" s="24"/>
      <c r="M19" s="24"/>
      <c r="N19" s="24"/>
    </row>
    <row r="20" spans="2:14" ht="18.75" thickBot="1">
      <c r="B20" s="806" t="s">
        <v>64</v>
      </c>
      <c r="C20" s="15"/>
      <c r="D20" s="592">
        <f>SUM(D9:D18)</f>
        <v>0</v>
      </c>
      <c r="E20" s="26"/>
      <c r="F20" s="592">
        <f>SUM(F9:F18)</f>
        <v>35000</v>
      </c>
      <c r="G20" s="26"/>
      <c r="H20" s="592">
        <f>SUM(H9:H18)</f>
        <v>25000</v>
      </c>
      <c r="I20" s="26"/>
      <c r="J20" s="592">
        <f>SUM(J9:J18)</f>
        <v>45000</v>
      </c>
      <c r="K20" s="25"/>
      <c r="L20" s="592">
        <f>SUM(L9:L18)</f>
        <v>25000</v>
      </c>
      <c r="M20" s="25"/>
      <c r="N20" s="592">
        <f>SUM(N9:N18)</f>
        <v>0</v>
      </c>
    </row>
    <row r="21" spans="4:14" ht="15.75">
      <c r="D21" s="28"/>
      <c r="E21" s="28"/>
      <c r="F21" s="28"/>
      <c r="G21" s="28"/>
      <c r="H21" s="28"/>
      <c r="I21" s="28"/>
      <c r="J21" s="28"/>
      <c r="K21" s="28"/>
      <c r="L21" s="28"/>
      <c r="M21" s="28"/>
      <c r="N21" s="28"/>
    </row>
    <row r="23" ht="13.5" thickBot="1"/>
    <row r="24" spans="1:3" ht="13.5" thickBot="1">
      <c r="A24" s="29" t="s">
        <v>76</v>
      </c>
      <c r="B24" s="809" t="s">
        <v>116</v>
      </c>
      <c r="C24" s="31"/>
    </row>
    <row r="25" spans="2:14" ht="12.75">
      <c r="B25" s="810" t="s">
        <v>77</v>
      </c>
      <c r="C25" s="32"/>
      <c r="D25" s="33"/>
      <c r="E25" s="34"/>
      <c r="F25" s="33"/>
      <c r="G25" s="34"/>
      <c r="H25" s="33"/>
      <c r="I25" s="34"/>
      <c r="J25" s="33"/>
      <c r="K25" s="34"/>
      <c r="L25" s="33"/>
      <c r="M25" s="34"/>
      <c r="N25" s="33"/>
    </row>
    <row r="26" spans="2:14" ht="12.75">
      <c r="B26" s="811" t="s">
        <v>78</v>
      </c>
      <c r="C26" s="32"/>
      <c r="D26" s="33"/>
      <c r="E26" s="34"/>
      <c r="F26" s="33"/>
      <c r="G26" s="34"/>
      <c r="H26" s="33"/>
      <c r="I26" s="34"/>
      <c r="J26" s="33"/>
      <c r="K26" s="34"/>
      <c r="L26" s="33"/>
      <c r="M26" s="34"/>
      <c r="N26" s="33"/>
    </row>
    <row r="27" spans="1:14" ht="12.75">
      <c r="A27" s="36" t="s">
        <v>79</v>
      </c>
      <c r="B27" s="741" t="s">
        <v>545</v>
      </c>
      <c r="C27" s="32"/>
      <c r="D27" s="38"/>
      <c r="E27" s="39"/>
      <c r="F27" s="38">
        <v>20000</v>
      </c>
      <c r="G27" s="39"/>
      <c r="H27" s="38"/>
      <c r="I27" s="39"/>
      <c r="J27" s="38">
        <v>20000</v>
      </c>
      <c r="K27" s="39"/>
      <c r="L27" s="38"/>
      <c r="M27" s="39"/>
      <c r="N27" s="38"/>
    </row>
    <row r="28" spans="1:14" ht="12.75">
      <c r="A28" s="36" t="s">
        <v>80</v>
      </c>
      <c r="B28" s="741"/>
      <c r="C28" s="32"/>
      <c r="D28" s="38"/>
      <c r="E28" s="39"/>
      <c r="F28" s="38"/>
      <c r="G28" s="39"/>
      <c r="H28" s="38"/>
      <c r="I28" s="39"/>
      <c r="J28" s="38"/>
      <c r="K28" s="39"/>
      <c r="L28" s="38"/>
      <c r="M28" s="39"/>
      <c r="N28" s="38"/>
    </row>
    <row r="29" spans="1:14" ht="12.75">
      <c r="A29" s="36" t="s">
        <v>81</v>
      </c>
      <c r="B29" s="741"/>
      <c r="C29" s="32"/>
      <c r="D29" s="38"/>
      <c r="E29" s="39"/>
      <c r="F29" s="38"/>
      <c r="G29" s="39"/>
      <c r="H29" s="38"/>
      <c r="I29" s="39"/>
      <c r="J29" s="38"/>
      <c r="K29" s="39"/>
      <c r="L29" s="38"/>
      <c r="M29" s="39"/>
      <c r="N29" s="38"/>
    </row>
    <row r="30" spans="1:14" ht="12.75">
      <c r="A30" s="36" t="s">
        <v>82</v>
      </c>
      <c r="B30" s="741"/>
      <c r="C30" s="32"/>
      <c r="D30" s="38"/>
      <c r="E30" s="39"/>
      <c r="F30" s="38"/>
      <c r="G30" s="39"/>
      <c r="H30" s="38"/>
      <c r="I30" s="39"/>
      <c r="J30" s="38"/>
      <c r="K30" s="39"/>
      <c r="L30" s="38"/>
      <c r="M30" s="39"/>
      <c r="N30" s="38"/>
    </row>
    <row r="31" spans="1:14" ht="12.75">
      <c r="A31" s="36" t="s">
        <v>83</v>
      </c>
      <c r="B31" s="741"/>
      <c r="C31" s="32"/>
      <c r="D31" s="38"/>
      <c r="E31" s="39"/>
      <c r="F31" s="38"/>
      <c r="G31" s="39"/>
      <c r="H31" s="38"/>
      <c r="I31" s="39"/>
      <c r="J31" s="38"/>
      <c r="K31" s="39"/>
      <c r="L31" s="38"/>
      <c r="M31" s="39"/>
      <c r="N31" s="38"/>
    </row>
    <row r="32" spans="1:14" ht="12.75">
      <c r="A32" s="36" t="s">
        <v>84</v>
      </c>
      <c r="B32" s="741"/>
      <c r="C32" s="32"/>
      <c r="D32" s="38"/>
      <c r="E32" s="39"/>
      <c r="F32" s="38"/>
      <c r="G32" s="39"/>
      <c r="H32" s="38"/>
      <c r="I32" s="39"/>
      <c r="J32" s="38"/>
      <c r="K32" s="39"/>
      <c r="L32" s="38"/>
      <c r="M32" s="39"/>
      <c r="N32" s="38"/>
    </row>
    <row r="33" spans="1:14" ht="12.75">
      <c r="A33" s="36" t="s">
        <v>85</v>
      </c>
      <c r="B33" s="741"/>
      <c r="C33" s="32"/>
      <c r="D33" s="38"/>
      <c r="E33" s="39"/>
      <c r="F33" s="38"/>
      <c r="G33" s="39"/>
      <c r="H33" s="38"/>
      <c r="I33" s="39"/>
      <c r="J33" s="38"/>
      <c r="K33" s="39"/>
      <c r="L33" s="38"/>
      <c r="M33" s="39"/>
      <c r="N33" s="38"/>
    </row>
    <row r="34" spans="1:14" ht="12.75">
      <c r="A34" s="36" t="s">
        <v>86</v>
      </c>
      <c r="B34" s="741"/>
      <c r="C34" s="32"/>
      <c r="D34" s="38"/>
      <c r="E34" s="39"/>
      <c r="F34" s="38"/>
      <c r="G34" s="39"/>
      <c r="H34" s="38"/>
      <c r="I34" s="39"/>
      <c r="J34" s="38"/>
      <c r="K34" s="39"/>
      <c r="L34" s="38"/>
      <c r="M34" s="39"/>
      <c r="N34" s="38"/>
    </row>
    <row r="35" spans="1:14" ht="12.75">
      <c r="A35" s="36" t="s">
        <v>97</v>
      </c>
      <c r="B35" s="741"/>
      <c r="C35" s="32"/>
      <c r="D35" s="38"/>
      <c r="E35" s="39"/>
      <c r="F35" s="38"/>
      <c r="G35" s="39"/>
      <c r="H35" s="38"/>
      <c r="I35" s="39"/>
      <c r="J35" s="38"/>
      <c r="K35" s="39"/>
      <c r="L35" s="38"/>
      <c r="M35" s="39"/>
      <c r="N35" s="38"/>
    </row>
    <row r="36" spans="1:14" ht="12.75">
      <c r="A36" s="36" t="s">
        <v>98</v>
      </c>
      <c r="B36" s="741"/>
      <c r="C36" s="32"/>
      <c r="D36" s="38"/>
      <c r="E36" s="39"/>
      <c r="F36" s="38"/>
      <c r="G36" s="39"/>
      <c r="H36" s="38"/>
      <c r="I36" s="39"/>
      <c r="J36" s="38"/>
      <c r="K36" s="39"/>
      <c r="L36" s="38"/>
      <c r="M36" s="39"/>
      <c r="N36" s="38"/>
    </row>
    <row r="37" spans="1:14" ht="12.75">
      <c r="A37" s="36" t="s">
        <v>99</v>
      </c>
      <c r="B37" s="741"/>
      <c r="C37" s="32"/>
      <c r="D37" s="38"/>
      <c r="E37" s="39"/>
      <c r="F37" s="38"/>
      <c r="G37" s="39"/>
      <c r="H37" s="38"/>
      <c r="I37" s="39"/>
      <c r="J37" s="38"/>
      <c r="K37" s="39"/>
      <c r="L37" s="38"/>
      <c r="M37" s="39"/>
      <c r="N37" s="38"/>
    </row>
    <row r="38" spans="1:14" ht="12.75">
      <c r="A38" s="36" t="s">
        <v>100</v>
      </c>
      <c r="B38" s="741"/>
      <c r="C38" s="32"/>
      <c r="D38" s="38"/>
      <c r="E38" s="39"/>
      <c r="F38" s="38"/>
      <c r="G38" s="39"/>
      <c r="H38" s="38"/>
      <c r="I38" s="39"/>
      <c r="J38" s="38"/>
      <c r="K38" s="39"/>
      <c r="L38" s="38"/>
      <c r="M38" s="39"/>
      <c r="N38" s="38"/>
    </row>
    <row r="39" spans="1:14" ht="12.75">
      <c r="A39" s="36" t="s">
        <v>101</v>
      </c>
      <c r="B39" s="741"/>
      <c r="C39" s="32"/>
      <c r="D39" s="38"/>
      <c r="E39" s="39"/>
      <c r="F39" s="38"/>
      <c r="G39" s="39"/>
      <c r="H39" s="38"/>
      <c r="I39" s="39"/>
      <c r="J39" s="38"/>
      <c r="K39" s="39"/>
      <c r="L39" s="38"/>
      <c r="M39" s="39"/>
      <c r="N39" s="38"/>
    </row>
    <row r="40" spans="1:14" ht="12.75">
      <c r="A40" s="36" t="s">
        <v>102</v>
      </c>
      <c r="B40" s="741"/>
      <c r="C40" s="32"/>
      <c r="D40" s="38"/>
      <c r="E40" s="39"/>
      <c r="F40" s="38"/>
      <c r="G40" s="39"/>
      <c r="H40" s="38"/>
      <c r="I40" s="39"/>
      <c r="J40" s="38"/>
      <c r="K40" s="39"/>
      <c r="L40" s="38"/>
      <c r="M40" s="39"/>
      <c r="N40" s="38"/>
    </row>
    <row r="41" spans="1:14" ht="12.75">
      <c r="A41" s="36" t="s">
        <v>103</v>
      </c>
      <c r="B41" s="741" t="s">
        <v>59</v>
      </c>
      <c r="C41" s="32"/>
      <c r="D41" s="38"/>
      <c r="E41" s="39"/>
      <c r="F41" s="38"/>
      <c r="G41" s="39"/>
      <c r="H41" s="38"/>
      <c r="I41" s="39"/>
      <c r="J41" s="38"/>
      <c r="K41" s="39"/>
      <c r="L41" s="38"/>
      <c r="M41" s="39"/>
      <c r="N41" s="38"/>
    </row>
    <row r="42" spans="2:14" ht="13.5" thickBot="1">
      <c r="B42" s="32"/>
      <c r="C42" s="32"/>
      <c r="D42" s="39"/>
      <c r="E42" s="39"/>
      <c r="F42" s="39"/>
      <c r="G42" s="39"/>
      <c r="H42" s="39"/>
      <c r="I42" s="39"/>
      <c r="J42" s="39"/>
      <c r="K42" s="39"/>
      <c r="L42" s="39"/>
      <c r="M42" s="39"/>
      <c r="N42" s="39"/>
    </row>
    <row r="43" spans="2:14" ht="13.5" thickBot="1">
      <c r="B43" s="809" t="s">
        <v>452</v>
      </c>
      <c r="C43" s="32"/>
      <c r="D43" s="593">
        <f>SUM(D27:D41)</f>
        <v>0</v>
      </c>
      <c r="E43" s="41"/>
      <c r="F43" s="593">
        <f>SUM(F27:F41)</f>
        <v>20000</v>
      </c>
      <c r="G43" s="41"/>
      <c r="H43" s="593">
        <f>SUM(H27:H41)</f>
        <v>0</v>
      </c>
      <c r="I43" s="41"/>
      <c r="J43" s="593">
        <f>SUM(J27:J41)</f>
        <v>20000</v>
      </c>
      <c r="K43" s="41"/>
      <c r="L43" s="593">
        <f>SUM(L27:L41)</f>
        <v>0</v>
      </c>
      <c r="M43" s="41"/>
      <c r="N43" s="593">
        <f>SUM(N27:N41)</f>
        <v>0</v>
      </c>
    </row>
    <row r="44" spans="4:14" ht="12.75">
      <c r="D44" s="39"/>
      <c r="E44" s="39"/>
      <c r="F44" s="39"/>
      <c r="G44" s="39"/>
      <c r="H44" s="39"/>
      <c r="I44" s="39"/>
      <c r="J44" s="39"/>
      <c r="K44" s="39"/>
      <c r="L44" s="39"/>
      <c r="M44" s="39"/>
      <c r="N44" s="39"/>
    </row>
    <row r="45" spans="4:14" ht="13.5" thickBot="1">
      <c r="D45" s="39"/>
      <c r="E45" s="39"/>
      <c r="F45" s="39"/>
      <c r="G45" s="39"/>
      <c r="H45" s="39"/>
      <c r="I45" s="39"/>
      <c r="J45" s="39"/>
      <c r="K45" s="39"/>
      <c r="L45" s="39"/>
      <c r="M45" s="39"/>
      <c r="N45" s="39"/>
    </row>
    <row r="46" spans="1:14" ht="13.5" thickBot="1">
      <c r="A46" s="29" t="s">
        <v>88</v>
      </c>
      <c r="B46" s="809" t="s">
        <v>117</v>
      </c>
      <c r="C46" s="31"/>
      <c r="D46" s="39"/>
      <c r="E46" s="39"/>
      <c r="F46" s="39"/>
      <c r="G46" s="39"/>
      <c r="H46" s="39"/>
      <c r="I46" s="39"/>
      <c r="J46" s="39"/>
      <c r="K46" s="39"/>
      <c r="L46" s="39"/>
      <c r="M46" s="39"/>
      <c r="N46" s="39"/>
    </row>
    <row r="47" spans="2:14" ht="12.75">
      <c r="B47" s="812" t="s">
        <v>77</v>
      </c>
      <c r="C47" s="32"/>
      <c r="D47" s="33"/>
      <c r="E47" s="34"/>
      <c r="F47" s="33"/>
      <c r="G47" s="34"/>
      <c r="H47" s="33"/>
      <c r="I47" s="34"/>
      <c r="J47" s="35"/>
      <c r="K47" s="34"/>
      <c r="L47" s="35"/>
      <c r="M47" s="34"/>
      <c r="N47" s="35"/>
    </row>
    <row r="48" spans="2:14" ht="13.5" thickBot="1">
      <c r="B48" s="813" t="s">
        <v>78</v>
      </c>
      <c r="C48" s="32"/>
      <c r="D48" s="33"/>
      <c r="E48" s="34"/>
      <c r="F48" s="33"/>
      <c r="G48" s="34"/>
      <c r="H48" s="33"/>
      <c r="I48" s="34"/>
      <c r="J48" s="33"/>
      <c r="K48" s="34"/>
      <c r="L48" s="33"/>
      <c r="M48" s="34"/>
      <c r="N48" s="33"/>
    </row>
    <row r="49" spans="1:14" ht="12.75">
      <c r="A49" s="36" t="s">
        <v>79</v>
      </c>
      <c r="B49" s="742"/>
      <c r="C49" s="32"/>
      <c r="D49" s="38"/>
      <c r="E49" s="39"/>
      <c r="F49" s="38"/>
      <c r="G49" s="39"/>
      <c r="H49" s="38"/>
      <c r="I49" s="39"/>
      <c r="J49" s="38"/>
      <c r="K49" s="39"/>
      <c r="L49" s="38"/>
      <c r="M49" s="39"/>
      <c r="N49" s="38"/>
    </row>
    <row r="50" spans="1:14" ht="12.75">
      <c r="A50" s="36" t="s">
        <v>80</v>
      </c>
      <c r="B50" s="741"/>
      <c r="C50" s="32"/>
      <c r="D50" s="38"/>
      <c r="E50" s="39"/>
      <c r="F50" s="38"/>
      <c r="G50" s="39"/>
      <c r="H50" s="38"/>
      <c r="I50" s="39"/>
      <c r="J50" s="38"/>
      <c r="K50" s="39"/>
      <c r="L50" s="38"/>
      <c r="M50" s="39"/>
      <c r="N50" s="38"/>
    </row>
    <row r="51" spans="1:14" ht="12.75">
      <c r="A51" s="36" t="s">
        <v>81</v>
      </c>
      <c r="B51" s="741"/>
      <c r="C51" s="32"/>
      <c r="D51" s="38"/>
      <c r="E51" s="39"/>
      <c r="F51" s="38"/>
      <c r="G51" s="39"/>
      <c r="H51" s="38"/>
      <c r="I51" s="39"/>
      <c r="J51" s="38"/>
      <c r="K51" s="39"/>
      <c r="L51" s="38"/>
      <c r="M51" s="39"/>
      <c r="N51" s="38"/>
    </row>
    <row r="52" spans="1:14" ht="12.75">
      <c r="A52" s="36" t="s">
        <v>82</v>
      </c>
      <c r="B52" s="741"/>
      <c r="C52" s="32"/>
      <c r="D52" s="38"/>
      <c r="E52" s="39"/>
      <c r="F52" s="38"/>
      <c r="G52" s="39"/>
      <c r="H52" s="38"/>
      <c r="I52" s="39"/>
      <c r="J52" s="38"/>
      <c r="K52" s="39"/>
      <c r="L52" s="38"/>
      <c r="M52" s="39"/>
      <c r="N52" s="38"/>
    </row>
    <row r="53" spans="1:14" ht="12.75">
      <c r="A53" s="36" t="s">
        <v>83</v>
      </c>
      <c r="B53" s="741"/>
      <c r="C53" s="32"/>
      <c r="D53" s="38"/>
      <c r="E53" s="39"/>
      <c r="F53" s="38"/>
      <c r="G53" s="39"/>
      <c r="H53" s="38"/>
      <c r="I53" s="39"/>
      <c r="J53" s="38"/>
      <c r="K53" s="39"/>
      <c r="L53" s="38"/>
      <c r="M53" s="39"/>
      <c r="N53" s="38"/>
    </row>
    <row r="54" spans="1:14" ht="12.75">
      <c r="A54" s="36" t="s">
        <v>84</v>
      </c>
      <c r="B54" s="741"/>
      <c r="C54" s="32"/>
      <c r="D54" s="38"/>
      <c r="E54" s="39"/>
      <c r="F54" s="38"/>
      <c r="G54" s="39"/>
      <c r="H54" s="38"/>
      <c r="I54" s="39"/>
      <c r="J54" s="38"/>
      <c r="K54" s="39"/>
      <c r="L54" s="38"/>
      <c r="M54" s="39"/>
      <c r="N54" s="38"/>
    </row>
    <row r="55" spans="1:14" ht="12.75">
      <c r="A55" s="36" t="s">
        <v>85</v>
      </c>
      <c r="B55" s="741"/>
      <c r="C55" s="32"/>
      <c r="D55" s="38"/>
      <c r="E55" s="39"/>
      <c r="F55" s="38"/>
      <c r="G55" s="39"/>
      <c r="H55" s="38"/>
      <c r="I55" s="39"/>
      <c r="J55" s="38"/>
      <c r="K55" s="39"/>
      <c r="L55" s="38"/>
      <c r="M55" s="39"/>
      <c r="N55" s="38"/>
    </row>
    <row r="56" spans="1:14" ht="12.75">
      <c r="A56" s="36" t="s">
        <v>86</v>
      </c>
      <c r="B56" s="741"/>
      <c r="C56" s="32"/>
      <c r="D56" s="38"/>
      <c r="E56" s="39"/>
      <c r="F56" s="38"/>
      <c r="G56" s="39"/>
      <c r="H56" s="38"/>
      <c r="I56" s="39"/>
      <c r="J56" s="38"/>
      <c r="K56" s="39"/>
      <c r="L56" s="38"/>
      <c r="M56" s="39"/>
      <c r="N56" s="38"/>
    </row>
    <row r="57" spans="1:14" ht="12.75">
      <c r="A57" s="36" t="s">
        <v>97</v>
      </c>
      <c r="B57" s="741"/>
      <c r="C57" s="32"/>
      <c r="D57" s="38"/>
      <c r="E57" s="39"/>
      <c r="F57" s="38"/>
      <c r="G57" s="39"/>
      <c r="H57" s="38"/>
      <c r="I57" s="39"/>
      <c r="J57" s="38"/>
      <c r="K57" s="39"/>
      <c r="L57" s="38"/>
      <c r="M57" s="39"/>
      <c r="N57" s="38"/>
    </row>
    <row r="58" spans="1:14" ht="12.75">
      <c r="A58" s="36" t="s">
        <v>98</v>
      </c>
      <c r="B58" s="741"/>
      <c r="C58" s="32"/>
      <c r="D58" s="38"/>
      <c r="E58" s="39"/>
      <c r="F58" s="38"/>
      <c r="G58" s="39"/>
      <c r="H58" s="38"/>
      <c r="I58" s="39"/>
      <c r="J58" s="38"/>
      <c r="K58" s="39"/>
      <c r="L58" s="38"/>
      <c r="M58" s="39"/>
      <c r="N58" s="38"/>
    </row>
    <row r="59" spans="1:14" ht="12.75">
      <c r="A59" s="36" t="s">
        <v>99</v>
      </c>
      <c r="B59" s="741"/>
      <c r="C59" s="32"/>
      <c r="D59" s="38"/>
      <c r="E59" s="39"/>
      <c r="F59" s="38"/>
      <c r="G59" s="39"/>
      <c r="H59" s="38"/>
      <c r="I59" s="39"/>
      <c r="J59" s="38"/>
      <c r="K59" s="39"/>
      <c r="L59" s="38"/>
      <c r="M59" s="39"/>
      <c r="N59" s="38"/>
    </row>
    <row r="60" spans="1:14" ht="12.75">
      <c r="A60" s="36" t="s">
        <v>100</v>
      </c>
      <c r="B60" s="741"/>
      <c r="C60" s="32"/>
      <c r="D60" s="38"/>
      <c r="E60" s="39"/>
      <c r="F60" s="38"/>
      <c r="G60" s="39"/>
      <c r="H60" s="38"/>
      <c r="I60" s="39"/>
      <c r="J60" s="38"/>
      <c r="K60" s="39"/>
      <c r="L60" s="38"/>
      <c r="M60" s="39"/>
      <c r="N60" s="38"/>
    </row>
    <row r="61" spans="1:14" ht="12.75">
      <c r="A61" s="36" t="s">
        <v>101</v>
      </c>
      <c r="B61" s="741"/>
      <c r="C61" s="32"/>
      <c r="D61" s="38"/>
      <c r="E61" s="39"/>
      <c r="F61" s="38"/>
      <c r="G61" s="39"/>
      <c r="H61" s="38"/>
      <c r="I61" s="39"/>
      <c r="J61" s="38"/>
      <c r="K61" s="39"/>
      <c r="L61" s="38"/>
      <c r="M61" s="39"/>
      <c r="N61" s="38"/>
    </row>
    <row r="62" spans="1:14" ht="12.75">
      <c r="A62" s="36" t="s">
        <v>102</v>
      </c>
      <c r="B62" s="741"/>
      <c r="C62" s="32"/>
      <c r="D62" s="38"/>
      <c r="E62" s="39"/>
      <c r="F62" s="38"/>
      <c r="G62" s="39"/>
      <c r="H62" s="38"/>
      <c r="I62" s="39"/>
      <c r="J62" s="38"/>
      <c r="K62" s="39"/>
      <c r="L62" s="38"/>
      <c r="M62" s="39"/>
      <c r="N62" s="38"/>
    </row>
    <row r="63" spans="1:14" ht="12.75">
      <c r="A63" s="36" t="s">
        <v>103</v>
      </c>
      <c r="B63" s="741" t="s">
        <v>59</v>
      </c>
      <c r="C63" s="32"/>
      <c r="D63" s="38"/>
      <c r="E63" s="39"/>
      <c r="F63" s="38"/>
      <c r="G63" s="39"/>
      <c r="H63" s="38"/>
      <c r="I63" s="39"/>
      <c r="J63" s="38"/>
      <c r="K63" s="39"/>
      <c r="L63" s="38"/>
      <c r="M63" s="39"/>
      <c r="N63" s="38"/>
    </row>
    <row r="64" spans="2:14" ht="13.5" thickBot="1">
      <c r="B64" s="32"/>
      <c r="C64" s="32"/>
      <c r="D64" s="39"/>
      <c r="E64" s="39"/>
      <c r="F64" s="39"/>
      <c r="G64" s="39"/>
      <c r="H64" s="39"/>
      <c r="I64" s="39"/>
      <c r="J64" s="39"/>
      <c r="K64" s="39"/>
      <c r="L64" s="39"/>
      <c r="M64" s="39"/>
      <c r="N64" s="39"/>
    </row>
    <row r="65" spans="2:14" ht="13.5" thickBot="1">
      <c r="B65" s="809" t="s">
        <v>87</v>
      </c>
      <c r="C65" s="32"/>
      <c r="D65" s="593">
        <f>SUM(D49:D63)</f>
        <v>0</v>
      </c>
      <c r="E65" s="41"/>
      <c r="F65" s="593">
        <f>SUM(F49:F63)</f>
        <v>0</v>
      </c>
      <c r="G65" s="41"/>
      <c r="H65" s="593">
        <f>SUM(H49:H63)</f>
        <v>0</v>
      </c>
      <c r="I65" s="41"/>
      <c r="J65" s="593">
        <f>SUM(J49:J63)</f>
        <v>0</v>
      </c>
      <c r="K65" s="40"/>
      <c r="L65" s="593">
        <f>SUM(L49:L63)</f>
        <v>0</v>
      </c>
      <c r="M65" s="40"/>
      <c r="N65" s="593">
        <f>SUM(N49:N63)</f>
        <v>0</v>
      </c>
    </row>
    <row r="66" spans="4:14" ht="12.75">
      <c r="D66" s="39"/>
      <c r="E66" s="39"/>
      <c r="F66" s="39"/>
      <c r="G66" s="39"/>
      <c r="H66" s="39"/>
      <c r="I66" s="39"/>
      <c r="J66" s="39"/>
      <c r="K66" s="39"/>
      <c r="L66" s="39"/>
      <c r="M66" s="39"/>
      <c r="N66" s="39"/>
    </row>
    <row r="67" spans="2:14" ht="12.75">
      <c r="B67" s="31"/>
      <c r="D67" s="39"/>
      <c r="E67" s="39"/>
      <c r="F67" s="39"/>
      <c r="G67" s="39"/>
      <c r="H67" s="39"/>
      <c r="I67" s="39"/>
      <c r="J67" s="39"/>
      <c r="K67" s="39"/>
      <c r="L67" s="39"/>
      <c r="M67" s="39"/>
      <c r="N67" s="39"/>
    </row>
    <row r="68" ht="13.5" thickBot="1">
      <c r="B68" s="31"/>
    </row>
    <row r="69" ht="13.5" thickBot="1">
      <c r="B69" s="809" t="s">
        <v>89</v>
      </c>
    </row>
    <row r="70" ht="12.75">
      <c r="B70" s="812" t="s">
        <v>90</v>
      </c>
    </row>
    <row r="71" ht="13.5" thickBot="1">
      <c r="B71" s="813" t="s">
        <v>92</v>
      </c>
    </row>
    <row r="72" ht="13.5" thickBot="1"/>
    <row r="73" ht="13.5" thickBot="1">
      <c r="B73" s="814" t="s">
        <v>91</v>
      </c>
    </row>
    <row r="74" ht="30.75" customHeight="1" thickBot="1">
      <c r="B74" s="548" t="s">
        <v>93</v>
      </c>
    </row>
    <row r="75" ht="30.75" customHeight="1" thickBot="1">
      <c r="B75" s="548" t="s">
        <v>94</v>
      </c>
    </row>
    <row r="76" ht="30.75" customHeight="1" thickBot="1">
      <c r="B76" s="548" t="s">
        <v>95</v>
      </c>
    </row>
    <row r="77" ht="30.75" customHeight="1" thickBot="1">
      <c r="B77" s="548" t="s">
        <v>96</v>
      </c>
    </row>
    <row r="78" ht="30.75" customHeight="1" thickBot="1">
      <c r="B78" s="548" t="s">
        <v>0</v>
      </c>
    </row>
    <row r="79" ht="30.75" customHeight="1" thickBot="1">
      <c r="B79" s="548" t="s">
        <v>376</v>
      </c>
    </row>
  </sheetData>
  <sheetProtection password="C9A0" sheet="1"/>
  <mergeCells count="1">
    <mergeCell ref="F6:N6"/>
  </mergeCells>
  <printOptions/>
  <pageMargins left="0.7" right="0.7" top="0.75" bottom="0.75" header="0.3" footer="0.3"/>
  <pageSetup horizontalDpi="600" verticalDpi="600" orientation="landscape" r:id="rId1"/>
  <headerFooter>
    <oddHeader>&amp;CSection 4.1a
Attachment 28
</oddHeader>
  </headerFooter>
</worksheet>
</file>

<file path=xl/worksheets/sheet4.xml><?xml version="1.0" encoding="utf-8"?>
<worksheet xmlns="http://schemas.openxmlformats.org/spreadsheetml/2006/main" xmlns:r="http://schemas.openxmlformats.org/officeDocument/2006/relationships">
  <dimension ref="A1:M206"/>
  <sheetViews>
    <sheetView view="pageLayout" workbookViewId="0" topLeftCell="A1">
      <selection activeCell="F2" sqref="F2"/>
    </sheetView>
  </sheetViews>
  <sheetFormatPr defaultColWidth="9.140625" defaultRowHeight="12.75"/>
  <cols>
    <col min="1" max="1" width="79.00390625" style="0" customWidth="1"/>
    <col min="2" max="2" width="18.140625" style="0" customWidth="1"/>
    <col min="3" max="3" width="0" style="0" hidden="1" customWidth="1"/>
    <col min="4" max="4" width="1.57421875" style="0" customWidth="1"/>
    <col min="5" max="5" width="15.7109375" style="0" customWidth="1"/>
    <col min="6" max="6" width="1.28515625" style="0" customWidth="1"/>
    <col min="7" max="7" width="15.7109375" style="0" customWidth="1"/>
    <col min="8" max="8" width="1.57421875" style="0" customWidth="1"/>
    <col min="9" max="9" width="15.7109375" style="0" customWidth="1"/>
    <col min="10" max="10" width="1.57421875" style="0" customWidth="1"/>
    <col min="11" max="11" width="15.7109375" style="0" customWidth="1"/>
    <col min="12" max="12" width="1.57421875" style="0" customWidth="1"/>
    <col min="13" max="13" width="15.7109375" style="0" customWidth="1"/>
  </cols>
  <sheetData>
    <row r="1" spans="1:13" ht="18.75" thickBot="1">
      <c r="A1" s="878" t="str">
        <f>'Budget Assumptions'!C1</f>
        <v>Passages Charter School - High School Campus</v>
      </c>
      <c r="B1" s="879"/>
      <c r="C1" s="145"/>
      <c r="D1" s="145"/>
      <c r="E1" s="144"/>
      <c r="F1" s="144"/>
      <c r="G1" s="144"/>
      <c r="H1" s="144"/>
      <c r="I1" s="124"/>
      <c r="J1" s="124"/>
      <c r="K1" s="124"/>
      <c r="L1" s="124"/>
      <c r="M1" s="124"/>
    </row>
    <row r="2" spans="1:13" ht="18.75" customHeight="1" thickBot="1">
      <c r="A2" s="804" t="s">
        <v>496</v>
      </c>
      <c r="B2" s="827"/>
      <c r="C2" s="125"/>
      <c r="D2" s="125"/>
      <c r="E2" s="125"/>
      <c r="F2" s="125"/>
      <c r="G2" s="125"/>
      <c r="H2" s="125"/>
      <c r="I2" s="125"/>
      <c r="J2" s="125"/>
      <c r="K2" s="125"/>
      <c r="L2" s="125"/>
      <c r="M2" s="125"/>
    </row>
    <row r="3" spans="1:13" ht="13.5" thickBot="1">
      <c r="A3" s="126"/>
      <c r="B3" s="126"/>
      <c r="C3" s="126"/>
      <c r="D3" s="126"/>
      <c r="E3" s="126"/>
      <c r="F3" s="126"/>
      <c r="G3" s="126"/>
      <c r="H3" s="126"/>
      <c r="I3" s="126"/>
      <c r="J3" s="126"/>
      <c r="K3" s="126"/>
      <c r="L3" s="126"/>
      <c r="M3" s="126"/>
    </row>
    <row r="4" spans="1:13" ht="16.5" thickBot="1">
      <c r="A4" s="127"/>
      <c r="B4" s="880" t="s">
        <v>180</v>
      </c>
      <c r="C4" s="881"/>
      <c r="D4" s="881"/>
      <c r="E4" s="881"/>
      <c r="F4" s="881"/>
      <c r="G4" s="881"/>
      <c r="H4" s="881"/>
      <c r="I4" s="881"/>
      <c r="J4" s="881"/>
      <c r="K4" s="881"/>
      <c r="L4" s="881"/>
      <c r="M4" s="882"/>
    </row>
    <row r="5" spans="1:13" ht="16.5" thickBot="1">
      <c r="A5" s="774"/>
      <c r="B5" s="201"/>
      <c r="C5" s="202"/>
      <c r="D5" s="880" t="s">
        <v>192</v>
      </c>
      <c r="E5" s="881"/>
      <c r="F5" s="881"/>
      <c r="G5" s="881"/>
      <c r="H5" s="881"/>
      <c r="I5" s="881"/>
      <c r="J5" s="881"/>
      <c r="K5" s="881"/>
      <c r="L5" s="881"/>
      <c r="M5" s="882"/>
    </row>
    <row r="6" spans="1:13" ht="15.75" thickBot="1">
      <c r="A6" s="203" t="s">
        <v>403</v>
      </c>
      <c r="B6" s="204"/>
      <c r="C6" s="205"/>
      <c r="D6" s="206"/>
      <c r="E6" s="207">
        <v>2015</v>
      </c>
      <c r="F6" s="207"/>
      <c r="G6" s="207">
        <f>E6+1</f>
        <v>2016</v>
      </c>
      <c r="H6" s="207"/>
      <c r="I6" s="207">
        <f>G6+1</f>
        <v>2017</v>
      </c>
      <c r="J6" s="207"/>
      <c r="K6" s="207">
        <f>I6+1</f>
        <v>2018</v>
      </c>
      <c r="L6" s="207"/>
      <c r="M6" s="207">
        <f>K6+1</f>
        <v>2019</v>
      </c>
    </row>
    <row r="7" spans="1:13" ht="12.75">
      <c r="A7" s="208" t="s">
        <v>193</v>
      </c>
      <c r="B7" s="580" t="s">
        <v>194</v>
      </c>
      <c r="C7" s="128"/>
      <c r="D7" s="209"/>
      <c r="E7" s="197">
        <v>4.5</v>
      </c>
      <c r="F7" s="197"/>
      <c r="G7" s="197">
        <v>7</v>
      </c>
      <c r="H7" s="197"/>
      <c r="I7" s="197">
        <v>10.5</v>
      </c>
      <c r="J7" s="197"/>
      <c r="K7" s="197">
        <v>14</v>
      </c>
      <c r="L7" s="197"/>
      <c r="M7" s="197">
        <v>18</v>
      </c>
    </row>
    <row r="8" spans="1:13" ht="12.75">
      <c r="A8" s="746" t="s">
        <v>195</v>
      </c>
      <c r="B8" s="580" t="s">
        <v>194</v>
      </c>
      <c r="C8" s="128"/>
      <c r="D8" s="210"/>
      <c r="E8" s="210">
        <v>0.5</v>
      </c>
      <c r="F8" s="210"/>
      <c r="G8" s="210">
        <v>1</v>
      </c>
      <c r="H8" s="210"/>
      <c r="I8" s="210">
        <v>1</v>
      </c>
      <c r="J8" s="210"/>
      <c r="K8" s="210">
        <v>1</v>
      </c>
      <c r="L8" s="210"/>
      <c r="M8" s="210">
        <v>1</v>
      </c>
    </row>
    <row r="9" spans="1:13" ht="12.75">
      <c r="A9" s="746" t="s">
        <v>196</v>
      </c>
      <c r="B9" s="580" t="s">
        <v>194</v>
      </c>
      <c r="C9" s="198"/>
      <c r="D9" s="211"/>
      <c r="E9" s="210"/>
      <c r="F9" s="210"/>
      <c r="G9" s="210"/>
      <c r="H9" s="210"/>
      <c r="I9" s="210"/>
      <c r="J9" s="210"/>
      <c r="K9" s="210"/>
      <c r="L9" s="210"/>
      <c r="M9" s="210"/>
    </row>
    <row r="10" spans="1:13" ht="12.75">
      <c r="A10" s="746" t="s">
        <v>197</v>
      </c>
      <c r="B10" s="580" t="s">
        <v>194</v>
      </c>
      <c r="C10" s="128"/>
      <c r="D10" s="210"/>
      <c r="E10" s="210"/>
      <c r="F10" s="210"/>
      <c r="G10" s="210"/>
      <c r="H10" s="210"/>
      <c r="I10" s="210"/>
      <c r="J10" s="210"/>
      <c r="K10" s="210"/>
      <c r="L10" s="210"/>
      <c r="M10" s="210"/>
    </row>
    <row r="11" spans="1:13" ht="12.75">
      <c r="A11" s="746" t="s">
        <v>198</v>
      </c>
      <c r="B11" s="580" t="s">
        <v>194</v>
      </c>
      <c r="C11" s="128"/>
      <c r="D11" s="210"/>
      <c r="E11" s="210"/>
      <c r="F11" s="210"/>
      <c r="G11" s="210"/>
      <c r="H11" s="210"/>
      <c r="I11" s="210"/>
      <c r="J11" s="210"/>
      <c r="K11" s="210"/>
      <c r="L11" s="210"/>
      <c r="M11" s="210"/>
    </row>
    <row r="12" spans="1:13" ht="12.75">
      <c r="A12" s="746" t="s">
        <v>199</v>
      </c>
      <c r="B12" s="580" t="s">
        <v>194</v>
      </c>
      <c r="C12" s="128"/>
      <c r="D12" s="210"/>
      <c r="E12" s="210"/>
      <c r="F12" s="210"/>
      <c r="G12" s="210"/>
      <c r="H12" s="210"/>
      <c r="I12" s="210"/>
      <c r="J12" s="210"/>
      <c r="K12" s="210"/>
      <c r="L12" s="210"/>
      <c r="M12" s="210"/>
    </row>
    <row r="13" spans="1:13" ht="12.75">
      <c r="A13" s="746" t="s">
        <v>200</v>
      </c>
      <c r="B13" s="580" t="s">
        <v>194</v>
      </c>
      <c r="C13" s="128"/>
      <c r="D13" s="210"/>
      <c r="E13" s="210"/>
      <c r="F13" s="210"/>
      <c r="G13" s="210"/>
      <c r="H13" s="210"/>
      <c r="I13" s="210"/>
      <c r="J13" s="210"/>
      <c r="K13" s="210"/>
      <c r="L13" s="210"/>
      <c r="M13" s="210"/>
    </row>
    <row r="14" spans="1:13" ht="12.75">
      <c r="A14" s="746" t="s">
        <v>201</v>
      </c>
      <c r="B14" s="580" t="s">
        <v>194</v>
      </c>
      <c r="C14" s="128"/>
      <c r="D14" s="210"/>
      <c r="E14" s="210"/>
      <c r="F14" s="210"/>
      <c r="G14" s="210"/>
      <c r="H14" s="210"/>
      <c r="I14" s="210"/>
      <c r="J14" s="210"/>
      <c r="K14" s="210"/>
      <c r="L14" s="210"/>
      <c r="M14" s="210"/>
    </row>
    <row r="15" spans="1:13" ht="12.75">
      <c r="A15" s="746" t="s">
        <v>202</v>
      </c>
      <c r="B15" s="580" t="s">
        <v>194</v>
      </c>
      <c r="C15" s="128"/>
      <c r="D15" s="210"/>
      <c r="E15" s="210"/>
      <c r="F15" s="210"/>
      <c r="G15" s="210"/>
      <c r="H15" s="210"/>
      <c r="I15" s="210"/>
      <c r="J15" s="210"/>
      <c r="K15" s="210"/>
      <c r="L15" s="210"/>
      <c r="M15" s="210"/>
    </row>
    <row r="16" spans="1:13" ht="12.75">
      <c r="A16" s="212" t="s">
        <v>203</v>
      </c>
      <c r="B16" s="580" t="s">
        <v>194</v>
      </c>
      <c r="C16" s="128"/>
      <c r="D16" s="210"/>
      <c r="E16" s="210"/>
      <c r="F16" s="210"/>
      <c r="G16" s="210"/>
      <c r="H16" s="210"/>
      <c r="I16" s="210"/>
      <c r="J16" s="210"/>
      <c r="K16" s="210"/>
      <c r="L16" s="210"/>
      <c r="M16" s="210"/>
    </row>
    <row r="17" spans="1:13" ht="12.75">
      <c r="A17" s="212" t="s">
        <v>204</v>
      </c>
      <c r="B17" s="580" t="s">
        <v>194</v>
      </c>
      <c r="C17" s="128"/>
      <c r="D17" s="210"/>
      <c r="E17" s="210">
        <v>1</v>
      </c>
      <c r="F17" s="210"/>
      <c r="G17" s="210">
        <v>1</v>
      </c>
      <c r="H17" s="210"/>
      <c r="I17" s="210">
        <v>1</v>
      </c>
      <c r="J17" s="210"/>
      <c r="K17" s="210">
        <v>1</v>
      </c>
      <c r="L17" s="210"/>
      <c r="M17" s="210">
        <v>1</v>
      </c>
    </row>
    <row r="18" spans="1:13" ht="12.75">
      <c r="A18" s="212" t="s">
        <v>205</v>
      </c>
      <c r="B18" s="580" t="s">
        <v>194</v>
      </c>
      <c r="C18" s="128"/>
      <c r="D18" s="210"/>
      <c r="E18" s="210"/>
      <c r="F18" s="210"/>
      <c r="G18" s="210"/>
      <c r="H18" s="210"/>
      <c r="I18" s="210"/>
      <c r="J18" s="210"/>
      <c r="K18" s="210"/>
      <c r="L18" s="210"/>
      <c r="M18" s="210"/>
    </row>
    <row r="19" spans="1:13" ht="12.75">
      <c r="A19" s="208" t="s">
        <v>206</v>
      </c>
      <c r="B19" s="580" t="s">
        <v>194</v>
      </c>
      <c r="C19" s="128"/>
      <c r="D19" s="210"/>
      <c r="E19" s="210">
        <v>1</v>
      </c>
      <c r="F19" s="210"/>
      <c r="G19" s="210">
        <v>1</v>
      </c>
      <c r="H19" s="210"/>
      <c r="I19" s="210">
        <v>2</v>
      </c>
      <c r="J19" s="210"/>
      <c r="K19" s="210">
        <v>2</v>
      </c>
      <c r="L19" s="210"/>
      <c r="M19" s="210">
        <v>2</v>
      </c>
    </row>
    <row r="20" spans="1:13" ht="12.75">
      <c r="A20" s="212" t="s">
        <v>119</v>
      </c>
      <c r="B20" s="580" t="s">
        <v>194</v>
      </c>
      <c r="C20" s="128"/>
      <c r="D20" s="210"/>
      <c r="E20" s="210"/>
      <c r="F20" s="210"/>
      <c r="G20" s="210"/>
      <c r="H20" s="210"/>
      <c r="I20" s="210"/>
      <c r="J20" s="210"/>
      <c r="K20" s="210"/>
      <c r="L20" s="210"/>
      <c r="M20" s="210"/>
    </row>
    <row r="21" spans="1:13" ht="12.75">
      <c r="A21" s="208" t="s">
        <v>120</v>
      </c>
      <c r="B21" s="580" t="s">
        <v>194</v>
      </c>
      <c r="C21" s="198"/>
      <c r="D21" s="211"/>
      <c r="E21" s="210"/>
      <c r="F21" s="210"/>
      <c r="G21" s="210"/>
      <c r="H21" s="210"/>
      <c r="I21" s="210"/>
      <c r="J21" s="210"/>
      <c r="K21" s="210"/>
      <c r="L21" s="210"/>
      <c r="M21" s="210"/>
    </row>
    <row r="22" spans="1:13" ht="12.75">
      <c r="A22" s="213"/>
      <c r="B22" s="580" t="s">
        <v>194</v>
      </c>
      <c r="C22" s="198"/>
      <c r="D22" s="211"/>
      <c r="E22" s="210"/>
      <c r="F22" s="210"/>
      <c r="G22" s="210"/>
      <c r="H22" s="210"/>
      <c r="I22" s="210"/>
      <c r="J22" s="210"/>
      <c r="K22" s="210"/>
      <c r="L22" s="210"/>
      <c r="M22" s="210"/>
    </row>
    <row r="23" spans="1:13" ht="12.75">
      <c r="A23" s="208"/>
      <c r="B23" s="580" t="s">
        <v>194</v>
      </c>
      <c r="C23" s="198"/>
      <c r="D23" s="211"/>
      <c r="E23" s="210"/>
      <c r="F23" s="210"/>
      <c r="G23" s="210"/>
      <c r="H23" s="210"/>
      <c r="I23" s="210"/>
      <c r="J23" s="210"/>
      <c r="K23" s="210"/>
      <c r="L23" s="210"/>
      <c r="M23" s="210"/>
    </row>
    <row r="24" spans="1:13" ht="12.75">
      <c r="A24" s="208"/>
      <c r="B24" s="580" t="s">
        <v>194</v>
      </c>
      <c r="C24" s="198"/>
      <c r="D24" s="211"/>
      <c r="E24" s="210"/>
      <c r="F24" s="210"/>
      <c r="G24" s="210"/>
      <c r="H24" s="210"/>
      <c r="I24" s="210"/>
      <c r="J24" s="210"/>
      <c r="K24" s="210"/>
      <c r="L24" s="210"/>
      <c r="M24" s="210"/>
    </row>
    <row r="25" spans="1:13" ht="12.75">
      <c r="A25" s="208"/>
      <c r="B25" s="580" t="s">
        <v>194</v>
      </c>
      <c r="C25" s="198"/>
      <c r="D25" s="211"/>
      <c r="E25" s="210"/>
      <c r="F25" s="210"/>
      <c r="G25" s="210"/>
      <c r="H25" s="210"/>
      <c r="I25" s="210"/>
      <c r="J25" s="210"/>
      <c r="K25" s="210"/>
      <c r="L25" s="210"/>
      <c r="M25" s="210"/>
    </row>
    <row r="26" spans="1:13" ht="12.75">
      <c r="A26" s="208"/>
      <c r="B26" s="580" t="s">
        <v>194</v>
      </c>
      <c r="C26" s="198"/>
      <c r="D26" s="211"/>
      <c r="E26" s="210"/>
      <c r="F26" s="210"/>
      <c r="G26" s="210"/>
      <c r="H26" s="210"/>
      <c r="I26" s="210"/>
      <c r="J26" s="210"/>
      <c r="K26" s="210"/>
      <c r="L26" s="210"/>
      <c r="M26" s="210"/>
    </row>
    <row r="27" spans="1:13" ht="12.75">
      <c r="A27" s="208"/>
      <c r="B27" s="580" t="s">
        <v>194</v>
      </c>
      <c r="C27" s="198"/>
      <c r="D27" s="211"/>
      <c r="E27" s="210"/>
      <c r="F27" s="210"/>
      <c r="G27" s="210"/>
      <c r="H27" s="210"/>
      <c r="I27" s="210"/>
      <c r="J27" s="210"/>
      <c r="K27" s="210"/>
      <c r="L27" s="210"/>
      <c r="M27" s="210"/>
    </row>
    <row r="28" spans="1:13" ht="12.75">
      <c r="A28" s="212"/>
      <c r="B28" s="580" t="s">
        <v>194</v>
      </c>
      <c r="C28" s="128"/>
      <c r="D28" s="210"/>
      <c r="E28" s="210"/>
      <c r="F28" s="210"/>
      <c r="G28" s="210"/>
      <c r="H28" s="210"/>
      <c r="I28" s="210"/>
      <c r="J28" s="210"/>
      <c r="K28" s="210"/>
      <c r="L28" s="210"/>
      <c r="M28" s="210"/>
    </row>
    <row r="29" spans="1:13" ht="13.5" thickBot="1">
      <c r="A29" s="212"/>
      <c r="B29" s="580" t="s">
        <v>194</v>
      </c>
      <c r="C29" s="214"/>
      <c r="D29" s="215"/>
      <c r="E29" s="216"/>
      <c r="F29" s="216"/>
      <c r="G29" s="210"/>
      <c r="H29" s="216"/>
      <c r="I29" s="210"/>
      <c r="J29" s="216"/>
      <c r="K29" s="210"/>
      <c r="L29" s="216"/>
      <c r="M29" s="210"/>
    </row>
    <row r="30" spans="1:13" ht="30.75" thickBot="1">
      <c r="A30" s="203" t="s">
        <v>404</v>
      </c>
      <c r="B30" s="217"/>
      <c r="C30" s="218"/>
      <c r="D30" s="218"/>
      <c r="E30" s="219"/>
      <c r="F30" s="219"/>
      <c r="G30" s="219"/>
      <c r="H30" s="219"/>
      <c r="I30" s="219"/>
      <c r="J30" s="219"/>
      <c r="K30" s="219"/>
      <c r="L30" s="219"/>
      <c r="M30" s="220"/>
    </row>
    <row r="31" spans="1:13" ht="12.75">
      <c r="A31" s="221" t="s">
        <v>137</v>
      </c>
      <c r="B31" s="580" t="s">
        <v>194</v>
      </c>
      <c r="C31" s="222"/>
      <c r="D31" s="209"/>
      <c r="E31" s="209"/>
      <c r="F31" s="209"/>
      <c r="G31" s="209"/>
      <c r="H31" s="209"/>
      <c r="I31" s="209"/>
      <c r="J31" s="209"/>
      <c r="K31" s="209"/>
      <c r="L31" s="209"/>
      <c r="M31" s="209"/>
    </row>
    <row r="32" spans="1:13" ht="12.75">
      <c r="A32" s="747" t="s">
        <v>195</v>
      </c>
      <c r="B32" s="580" t="s">
        <v>194</v>
      </c>
      <c r="C32" s="128"/>
      <c r="D32" s="197"/>
      <c r="E32" s="197"/>
      <c r="F32" s="197"/>
      <c r="G32" s="197"/>
      <c r="H32" s="197"/>
      <c r="I32" s="197"/>
      <c r="J32" s="197"/>
      <c r="K32" s="197"/>
      <c r="L32" s="197"/>
      <c r="M32" s="197"/>
    </row>
    <row r="33" spans="1:13" ht="12.75">
      <c r="A33" s="747" t="s">
        <v>196</v>
      </c>
      <c r="B33" s="580" t="s">
        <v>194</v>
      </c>
      <c r="C33" s="128"/>
      <c r="D33" s="197"/>
      <c r="E33" s="197"/>
      <c r="F33" s="197"/>
      <c r="G33" s="197"/>
      <c r="H33" s="197"/>
      <c r="I33" s="197"/>
      <c r="J33" s="197"/>
      <c r="K33" s="197"/>
      <c r="L33" s="197"/>
      <c r="M33" s="197"/>
    </row>
    <row r="34" spans="1:13" ht="12.75">
      <c r="A34" s="747" t="s">
        <v>197</v>
      </c>
      <c r="B34" s="580" t="s">
        <v>194</v>
      </c>
      <c r="C34" s="128"/>
      <c r="D34" s="197"/>
      <c r="E34" s="197"/>
      <c r="F34" s="197"/>
      <c r="G34" s="197"/>
      <c r="H34" s="197"/>
      <c r="I34" s="197"/>
      <c r="J34" s="197"/>
      <c r="K34" s="197"/>
      <c r="L34" s="197"/>
      <c r="M34" s="197"/>
    </row>
    <row r="35" spans="1:13" ht="12.75">
      <c r="A35" s="747" t="s">
        <v>198</v>
      </c>
      <c r="B35" s="580" t="s">
        <v>194</v>
      </c>
      <c r="C35" s="128"/>
      <c r="D35" s="197"/>
      <c r="E35" s="197"/>
      <c r="F35" s="197"/>
      <c r="G35" s="197"/>
      <c r="H35" s="197"/>
      <c r="I35" s="197"/>
      <c r="J35" s="197"/>
      <c r="K35" s="197"/>
      <c r="L35" s="197"/>
      <c r="M35" s="197"/>
    </row>
    <row r="36" spans="1:13" ht="12.75">
      <c r="A36" s="747" t="s">
        <v>199</v>
      </c>
      <c r="B36" s="580" t="s">
        <v>194</v>
      </c>
      <c r="C36" s="128"/>
      <c r="D36" s="197"/>
      <c r="E36" s="197"/>
      <c r="F36" s="197"/>
      <c r="G36" s="197"/>
      <c r="H36" s="197"/>
      <c r="I36" s="197"/>
      <c r="J36" s="197"/>
      <c r="K36" s="197"/>
      <c r="L36" s="197"/>
      <c r="M36" s="197"/>
    </row>
    <row r="37" spans="1:13" ht="12.75">
      <c r="A37" s="747" t="s">
        <v>200</v>
      </c>
      <c r="B37" s="580" t="s">
        <v>194</v>
      </c>
      <c r="C37" s="128"/>
      <c r="D37" s="197"/>
      <c r="E37" s="197"/>
      <c r="F37" s="197"/>
      <c r="G37" s="197"/>
      <c r="H37" s="197"/>
      <c r="I37" s="197"/>
      <c r="J37" s="197"/>
      <c r="K37" s="197"/>
      <c r="L37" s="197"/>
      <c r="M37" s="197"/>
    </row>
    <row r="38" spans="1:13" ht="12.75">
      <c r="A38" s="747" t="s">
        <v>201</v>
      </c>
      <c r="B38" s="580" t="s">
        <v>194</v>
      </c>
      <c r="C38" s="128"/>
      <c r="D38" s="197"/>
      <c r="E38" s="197"/>
      <c r="F38" s="197"/>
      <c r="G38" s="197"/>
      <c r="H38" s="197"/>
      <c r="I38" s="197"/>
      <c r="J38" s="197"/>
      <c r="K38" s="197"/>
      <c r="L38" s="197"/>
      <c r="M38" s="197"/>
    </row>
    <row r="39" spans="1:13" ht="12.75">
      <c r="A39" s="747" t="s">
        <v>202</v>
      </c>
      <c r="B39" s="580" t="s">
        <v>194</v>
      </c>
      <c r="C39" s="128"/>
      <c r="D39" s="197"/>
      <c r="E39" s="197"/>
      <c r="F39" s="197"/>
      <c r="G39" s="197"/>
      <c r="H39" s="197"/>
      <c r="I39" s="197"/>
      <c r="J39" s="197"/>
      <c r="K39" s="197"/>
      <c r="L39" s="197"/>
      <c r="M39" s="197"/>
    </row>
    <row r="40" spans="1:13" ht="12.75">
      <c r="A40" s="221" t="s">
        <v>207</v>
      </c>
      <c r="B40" s="580" t="s">
        <v>194</v>
      </c>
      <c r="C40" s="128"/>
      <c r="D40" s="197"/>
      <c r="E40" s="197"/>
      <c r="F40" s="197"/>
      <c r="G40" s="197"/>
      <c r="H40" s="197"/>
      <c r="I40" s="197"/>
      <c r="J40" s="197"/>
      <c r="K40" s="197"/>
      <c r="L40" s="197"/>
      <c r="M40" s="197"/>
    </row>
    <row r="41" spans="1:13" ht="12.75">
      <c r="A41" s="221" t="s">
        <v>204</v>
      </c>
      <c r="B41" s="580" t="s">
        <v>194</v>
      </c>
      <c r="C41" s="128"/>
      <c r="D41" s="197"/>
      <c r="E41" s="197"/>
      <c r="F41" s="197"/>
      <c r="G41" s="197"/>
      <c r="H41" s="197"/>
      <c r="I41" s="197"/>
      <c r="J41" s="197"/>
      <c r="K41" s="197"/>
      <c r="L41" s="197"/>
      <c r="M41" s="197"/>
    </row>
    <row r="42" spans="1:13" ht="12.75">
      <c r="A42" s="221" t="s">
        <v>206</v>
      </c>
      <c r="B42" s="580" t="s">
        <v>194</v>
      </c>
      <c r="C42" s="128"/>
      <c r="D42" s="197"/>
      <c r="E42" s="197"/>
      <c r="F42" s="197"/>
      <c r="G42" s="197"/>
      <c r="H42" s="197"/>
      <c r="I42" s="197"/>
      <c r="J42" s="197"/>
      <c r="K42" s="197"/>
      <c r="L42" s="197"/>
      <c r="M42" s="197"/>
    </row>
    <row r="43" spans="1:13" ht="12.75">
      <c r="A43" s="221" t="s">
        <v>119</v>
      </c>
      <c r="B43" s="580" t="s">
        <v>194</v>
      </c>
      <c r="C43" s="128"/>
      <c r="D43" s="197"/>
      <c r="E43" s="197"/>
      <c r="F43" s="197"/>
      <c r="G43" s="197"/>
      <c r="H43" s="197"/>
      <c r="I43" s="197"/>
      <c r="J43" s="197"/>
      <c r="K43" s="197"/>
      <c r="L43" s="197"/>
      <c r="M43" s="197"/>
    </row>
    <row r="44" spans="1:13" ht="12.75">
      <c r="A44" s="221" t="s">
        <v>120</v>
      </c>
      <c r="B44" s="580" t="s">
        <v>194</v>
      </c>
      <c r="C44" s="128"/>
      <c r="D44" s="197"/>
      <c r="E44" s="197"/>
      <c r="F44" s="197"/>
      <c r="G44" s="197"/>
      <c r="H44" s="197"/>
      <c r="I44" s="197"/>
      <c r="J44" s="197"/>
      <c r="K44" s="197"/>
      <c r="L44" s="197"/>
      <c r="M44" s="197"/>
    </row>
    <row r="45" spans="1:13" ht="12.75">
      <c r="A45" s="221" t="s">
        <v>205</v>
      </c>
      <c r="B45" s="580" t="s">
        <v>194</v>
      </c>
      <c r="C45" s="128"/>
      <c r="D45" s="197"/>
      <c r="E45" s="197"/>
      <c r="F45" s="197"/>
      <c r="G45" s="197"/>
      <c r="H45" s="197"/>
      <c r="I45" s="197"/>
      <c r="J45" s="197"/>
      <c r="K45" s="197"/>
      <c r="L45" s="197"/>
      <c r="M45" s="197"/>
    </row>
    <row r="46" spans="1:13" ht="12.75">
      <c r="A46" s="221" t="s">
        <v>139</v>
      </c>
      <c r="B46" s="580" t="s">
        <v>194</v>
      </c>
      <c r="C46" s="128"/>
      <c r="D46" s="197"/>
      <c r="E46" s="197"/>
      <c r="F46" s="197"/>
      <c r="G46" s="197"/>
      <c r="H46" s="197"/>
      <c r="I46" s="197"/>
      <c r="J46" s="197"/>
      <c r="K46" s="197"/>
      <c r="L46" s="197"/>
      <c r="M46" s="197"/>
    </row>
    <row r="47" spans="1:13" ht="12.75">
      <c r="A47" s="221" t="s">
        <v>121</v>
      </c>
      <c r="B47" s="580" t="s">
        <v>194</v>
      </c>
      <c r="C47" s="128"/>
      <c r="D47" s="197"/>
      <c r="E47" s="197"/>
      <c r="F47" s="197"/>
      <c r="G47" s="197"/>
      <c r="H47" s="197"/>
      <c r="I47" s="197"/>
      <c r="J47" s="197"/>
      <c r="K47" s="197"/>
      <c r="L47" s="197"/>
      <c r="M47" s="197"/>
    </row>
    <row r="48" spans="1:13" ht="12.75">
      <c r="A48" s="221" t="s">
        <v>208</v>
      </c>
      <c r="B48" s="580" t="s">
        <v>194</v>
      </c>
      <c r="C48" s="128"/>
      <c r="D48" s="197"/>
      <c r="E48" s="197"/>
      <c r="F48" s="197"/>
      <c r="G48" s="197"/>
      <c r="H48" s="197"/>
      <c r="I48" s="197"/>
      <c r="J48" s="197"/>
      <c r="K48" s="197"/>
      <c r="L48" s="197"/>
      <c r="M48" s="197"/>
    </row>
    <row r="49" spans="1:13" ht="12.75">
      <c r="A49" s="221" t="s">
        <v>209</v>
      </c>
      <c r="B49" s="580" t="s">
        <v>194</v>
      </c>
      <c r="C49" s="128"/>
      <c r="D49" s="197"/>
      <c r="E49" s="197">
        <v>1</v>
      </c>
      <c r="F49" s="197"/>
      <c r="G49" s="197">
        <v>1</v>
      </c>
      <c r="H49" s="197"/>
      <c r="I49" s="197">
        <v>1</v>
      </c>
      <c r="J49" s="197"/>
      <c r="K49" s="197">
        <v>1</v>
      </c>
      <c r="L49" s="197"/>
      <c r="M49" s="197">
        <v>1</v>
      </c>
    </row>
    <row r="50" spans="1:13" ht="12.75">
      <c r="A50" s="223" t="s">
        <v>546</v>
      </c>
      <c r="B50" s="580" t="s">
        <v>194</v>
      </c>
      <c r="C50" s="128"/>
      <c r="D50" s="197"/>
      <c r="E50" s="197">
        <v>1</v>
      </c>
      <c r="F50" s="197"/>
      <c r="G50" s="197">
        <v>1</v>
      </c>
      <c r="H50" s="197"/>
      <c r="I50" s="197">
        <v>1</v>
      </c>
      <c r="J50" s="197"/>
      <c r="K50" s="197">
        <v>1</v>
      </c>
      <c r="L50" s="197"/>
      <c r="M50" s="197">
        <v>1</v>
      </c>
    </row>
    <row r="51" spans="1:13" ht="12.75">
      <c r="A51" s="129" t="s">
        <v>547</v>
      </c>
      <c r="B51" s="580" t="s">
        <v>194</v>
      </c>
      <c r="C51" s="128"/>
      <c r="D51" s="197"/>
      <c r="E51" s="197">
        <v>0.3</v>
      </c>
      <c r="F51" s="197"/>
      <c r="G51" s="197">
        <v>0.4</v>
      </c>
      <c r="H51" s="197"/>
      <c r="I51" s="197">
        <v>0.5</v>
      </c>
      <c r="J51" s="197"/>
      <c r="K51" s="197">
        <v>0.5</v>
      </c>
      <c r="L51" s="197"/>
      <c r="M51" s="197">
        <v>0.5</v>
      </c>
    </row>
    <row r="52" spans="1:13" ht="12.75">
      <c r="A52" s="129"/>
      <c r="B52" s="580" t="s">
        <v>194</v>
      </c>
      <c r="C52" s="128"/>
      <c r="D52" s="197"/>
      <c r="E52" s="197"/>
      <c r="F52" s="197"/>
      <c r="G52" s="197"/>
      <c r="H52" s="197"/>
      <c r="I52" s="197"/>
      <c r="J52" s="197"/>
      <c r="K52" s="197"/>
      <c r="L52" s="197"/>
      <c r="M52" s="197"/>
    </row>
    <row r="53" spans="1:13" ht="12.75">
      <c r="A53" s="129"/>
      <c r="B53" s="580" t="s">
        <v>194</v>
      </c>
      <c r="C53" s="128"/>
      <c r="D53" s="197"/>
      <c r="E53" s="197"/>
      <c r="F53" s="197"/>
      <c r="G53" s="197"/>
      <c r="H53" s="197"/>
      <c r="I53" s="197"/>
      <c r="J53" s="197"/>
      <c r="K53" s="197"/>
      <c r="L53" s="197"/>
      <c r="M53" s="197"/>
    </row>
    <row r="54" spans="1:13" ht="12.75">
      <c r="A54" s="129"/>
      <c r="B54" s="580" t="s">
        <v>194</v>
      </c>
      <c r="C54" s="128"/>
      <c r="D54" s="197"/>
      <c r="E54" s="197"/>
      <c r="F54" s="197"/>
      <c r="G54" s="197"/>
      <c r="H54" s="197"/>
      <c r="I54" s="197"/>
      <c r="J54" s="197"/>
      <c r="K54" s="197"/>
      <c r="L54" s="197"/>
      <c r="M54" s="197"/>
    </row>
    <row r="55" spans="1:13" ht="12.75">
      <c r="A55" s="224"/>
      <c r="B55" s="580" t="s">
        <v>194</v>
      </c>
      <c r="C55" s="128"/>
      <c r="D55" s="197"/>
      <c r="E55" s="197"/>
      <c r="F55" s="197"/>
      <c r="G55" s="197"/>
      <c r="H55" s="197"/>
      <c r="I55" s="197"/>
      <c r="J55" s="197"/>
      <c r="K55" s="197"/>
      <c r="L55" s="197"/>
      <c r="M55" s="197"/>
    </row>
    <row r="56" spans="1:13" ht="12.75">
      <c r="A56" s="225"/>
      <c r="B56" s="580" t="s">
        <v>194</v>
      </c>
      <c r="C56" s="128"/>
      <c r="D56" s="197"/>
      <c r="E56" s="197"/>
      <c r="F56" s="197"/>
      <c r="G56" s="197"/>
      <c r="H56" s="197"/>
      <c r="I56" s="197"/>
      <c r="J56" s="197"/>
      <c r="K56" s="197"/>
      <c r="L56" s="197"/>
      <c r="M56" s="197"/>
    </row>
    <row r="57" spans="1:13" ht="12.75">
      <c r="A57" s="226"/>
      <c r="B57" s="580" t="s">
        <v>194</v>
      </c>
      <c r="C57" s="198"/>
      <c r="D57" s="211"/>
      <c r="E57" s="197"/>
      <c r="F57" s="210"/>
      <c r="G57" s="197"/>
      <c r="H57" s="210"/>
      <c r="I57" s="197"/>
      <c r="J57" s="210"/>
      <c r="K57" s="197"/>
      <c r="L57" s="210"/>
      <c r="M57" s="210"/>
    </row>
    <row r="58" spans="1:13" ht="12.75">
      <c r="A58" s="130"/>
      <c r="B58" s="130"/>
      <c r="C58" s="130"/>
      <c r="D58" s="130"/>
      <c r="E58" s="130"/>
      <c r="F58" s="130"/>
      <c r="G58" s="130"/>
      <c r="H58" s="130"/>
      <c r="I58" s="130"/>
      <c r="J58" s="130"/>
      <c r="K58" s="130"/>
      <c r="L58" s="130"/>
      <c r="M58" s="130"/>
    </row>
    <row r="59" spans="1:13" ht="13.5" thickBot="1">
      <c r="A59" s="125"/>
      <c r="B59" s="125"/>
      <c r="C59" s="125"/>
      <c r="D59" s="125"/>
      <c r="E59" s="125"/>
      <c r="F59" s="125"/>
      <c r="G59" s="125"/>
      <c r="H59" s="125"/>
      <c r="I59" s="125"/>
      <c r="J59" s="125"/>
      <c r="K59" s="125"/>
      <c r="L59" s="125"/>
      <c r="M59" s="125"/>
    </row>
    <row r="60" spans="1:13" ht="16.5" thickBot="1">
      <c r="A60" s="131"/>
      <c r="B60" s="880" t="s">
        <v>181</v>
      </c>
      <c r="C60" s="881"/>
      <c r="D60" s="881"/>
      <c r="E60" s="881"/>
      <c r="F60" s="881"/>
      <c r="G60" s="881"/>
      <c r="H60" s="881"/>
      <c r="I60" s="881"/>
      <c r="J60" s="881"/>
      <c r="K60" s="881"/>
      <c r="L60" s="881"/>
      <c r="M60" s="882"/>
    </row>
    <row r="61" spans="1:13" ht="12.75">
      <c r="A61" s="132"/>
      <c r="B61" s="227"/>
      <c r="C61" s="228" t="s">
        <v>135</v>
      </c>
      <c r="D61" s="228"/>
      <c r="E61" s="229">
        <f>$E$6</f>
        <v>2015</v>
      </c>
      <c r="F61" s="229"/>
      <c r="G61" s="229">
        <f>$G$6</f>
        <v>2016</v>
      </c>
      <c r="H61" s="229"/>
      <c r="I61" s="229">
        <f>$I$6</f>
        <v>2017</v>
      </c>
      <c r="J61" s="229"/>
      <c r="K61" s="229">
        <f>$K$6</f>
        <v>2018</v>
      </c>
      <c r="L61" s="229"/>
      <c r="M61" s="229">
        <f>$M$6</f>
        <v>2019</v>
      </c>
    </row>
    <row r="62" spans="1:13" ht="15.75">
      <c r="A62" s="883" t="s">
        <v>539</v>
      </c>
      <c r="B62" s="884"/>
      <c r="C62" s="133"/>
      <c r="D62" s="200"/>
      <c r="E62" s="200">
        <v>0</v>
      </c>
      <c r="F62" s="200"/>
      <c r="G62" s="200">
        <v>0.03</v>
      </c>
      <c r="H62" s="200"/>
      <c r="I62" s="200">
        <v>0.03</v>
      </c>
      <c r="J62" s="200"/>
      <c r="K62" s="200">
        <v>0.03</v>
      </c>
      <c r="L62" s="200">
        <v>0.01</v>
      </c>
      <c r="M62" s="200">
        <v>0.03</v>
      </c>
    </row>
    <row r="63" spans="1:13" ht="13.5" thickBot="1">
      <c r="A63" s="19"/>
      <c r="B63" s="19"/>
      <c r="C63" s="134"/>
      <c r="D63" s="230"/>
      <c r="E63" s="230"/>
      <c r="F63" s="230"/>
      <c r="G63" s="230"/>
      <c r="H63" s="230"/>
      <c r="I63" s="230"/>
      <c r="J63" s="230"/>
      <c r="K63" s="230"/>
      <c r="L63" s="230"/>
      <c r="M63" s="230"/>
    </row>
    <row r="64" spans="1:13" ht="27" thickBot="1">
      <c r="A64" s="231" t="str">
        <f aca="true" t="shared" si="0" ref="A64:A107">A6</f>
        <v>Positions that Participate in the Chicago Teachers' Pension Fund (CTPF):         </v>
      </c>
      <c r="B64" s="207" t="s">
        <v>138</v>
      </c>
      <c r="C64" s="232"/>
      <c r="D64" s="233"/>
      <c r="E64" s="234"/>
      <c r="F64" s="234"/>
      <c r="G64" s="234"/>
      <c r="H64" s="234"/>
      <c r="I64" s="234"/>
      <c r="J64" s="234"/>
      <c r="K64" s="234"/>
      <c r="L64" s="234"/>
      <c r="M64" s="235"/>
    </row>
    <row r="65" spans="1:13" ht="12.75">
      <c r="A65" s="238" t="str">
        <f t="shared" si="0"/>
        <v>Teachers </v>
      </c>
      <c r="B65" s="236">
        <v>40000</v>
      </c>
      <c r="C65" s="135">
        <f aca="true" t="shared" si="1" ref="C65:C87">B65*(1+C$62)</f>
        <v>40000</v>
      </c>
      <c r="D65" s="237"/>
      <c r="E65" s="579">
        <f aca="true" t="shared" si="2" ref="E65:E87">C65*(1+E$62)</f>
        <v>40000</v>
      </c>
      <c r="F65" s="579"/>
      <c r="G65" s="579">
        <f>E65*(1+G$62)</f>
        <v>41200</v>
      </c>
      <c r="H65" s="579"/>
      <c r="I65" s="579">
        <f>G65*(1+I$62)</f>
        <v>42436</v>
      </c>
      <c r="J65" s="579"/>
      <c r="K65" s="579">
        <f>I65*(1+K$62)</f>
        <v>43709.08</v>
      </c>
      <c r="L65" s="579"/>
      <c r="M65" s="579">
        <f>K65*(1+M$62)</f>
        <v>45020.3524</v>
      </c>
    </row>
    <row r="66" spans="1:13" ht="12.75">
      <c r="A66" s="748" t="str">
        <f t="shared" si="0"/>
        <v>SPED Teachers (reimbursed by CPS)</v>
      </c>
      <c r="B66" s="239">
        <v>50000</v>
      </c>
      <c r="C66" s="135">
        <f t="shared" si="1"/>
        <v>50000</v>
      </c>
      <c r="D66" s="240"/>
      <c r="E66" s="579">
        <f t="shared" si="2"/>
        <v>50000</v>
      </c>
      <c r="F66" s="579"/>
      <c r="G66" s="579">
        <f aca="true" t="shared" si="3" ref="G66:G87">E66*(1+G$62)</f>
        <v>51500</v>
      </c>
      <c r="H66" s="579"/>
      <c r="I66" s="579">
        <f aca="true" t="shared" si="4" ref="I66:I87">G66*(1+I$62)</f>
        <v>53045</v>
      </c>
      <c r="J66" s="579"/>
      <c r="K66" s="579">
        <f aca="true" t="shared" si="5" ref="K66:K87">I66*(1+K$62)</f>
        <v>54636.35</v>
      </c>
      <c r="L66" s="579"/>
      <c r="M66" s="579">
        <f aca="true" t="shared" si="6" ref="M66:M87">K66*(1+M$62)</f>
        <v>56275.4405</v>
      </c>
    </row>
    <row r="67" spans="1:13" ht="12.75">
      <c r="A67" s="748" t="str">
        <f t="shared" si="0"/>
        <v>SPED Aides (reimbursed by CPS)</v>
      </c>
      <c r="B67" s="239"/>
      <c r="C67" s="196">
        <f t="shared" si="1"/>
        <v>0</v>
      </c>
      <c r="D67" s="241"/>
      <c r="E67" s="579">
        <f t="shared" si="2"/>
        <v>0</v>
      </c>
      <c r="F67" s="579"/>
      <c r="G67" s="579">
        <f t="shared" si="3"/>
        <v>0</v>
      </c>
      <c r="H67" s="579"/>
      <c r="I67" s="579">
        <f t="shared" si="4"/>
        <v>0</v>
      </c>
      <c r="J67" s="579"/>
      <c r="K67" s="579">
        <f t="shared" si="5"/>
        <v>0</v>
      </c>
      <c r="L67" s="579"/>
      <c r="M67" s="579">
        <f t="shared" si="6"/>
        <v>0</v>
      </c>
    </row>
    <row r="68" spans="1:13" ht="12.75">
      <c r="A68" s="748" t="str">
        <f t="shared" si="0"/>
        <v>SPED Clinicians-Psychologist (reimbursed by CPS)</v>
      </c>
      <c r="B68" s="239"/>
      <c r="C68" s="135">
        <f t="shared" si="1"/>
        <v>0</v>
      </c>
      <c r="D68" s="240"/>
      <c r="E68" s="579">
        <f t="shared" si="2"/>
        <v>0</v>
      </c>
      <c r="F68" s="579"/>
      <c r="G68" s="579">
        <f t="shared" si="3"/>
        <v>0</v>
      </c>
      <c r="H68" s="579"/>
      <c r="I68" s="579">
        <f t="shared" si="4"/>
        <v>0</v>
      </c>
      <c r="J68" s="579"/>
      <c r="K68" s="579">
        <f t="shared" si="5"/>
        <v>0</v>
      </c>
      <c r="L68" s="579"/>
      <c r="M68" s="579">
        <f t="shared" si="6"/>
        <v>0</v>
      </c>
    </row>
    <row r="69" spans="1:13" ht="12.75">
      <c r="A69" s="748" t="str">
        <f t="shared" si="0"/>
        <v>SPED Clinicians-Social Worker (reimbursed by CPS)</v>
      </c>
      <c r="B69" s="239"/>
      <c r="C69" s="135">
        <f t="shared" si="1"/>
        <v>0</v>
      </c>
      <c r="D69" s="240"/>
      <c r="E69" s="579">
        <f t="shared" si="2"/>
        <v>0</v>
      </c>
      <c r="F69" s="579"/>
      <c r="G69" s="579">
        <f t="shared" si="3"/>
        <v>0</v>
      </c>
      <c r="H69" s="579"/>
      <c r="I69" s="579">
        <f t="shared" si="4"/>
        <v>0</v>
      </c>
      <c r="J69" s="579"/>
      <c r="K69" s="579">
        <f t="shared" si="5"/>
        <v>0</v>
      </c>
      <c r="L69" s="579"/>
      <c r="M69" s="579">
        <f t="shared" si="6"/>
        <v>0</v>
      </c>
    </row>
    <row r="70" spans="1:13" ht="12.75">
      <c r="A70" s="748" t="str">
        <f t="shared" si="0"/>
        <v>SPED Clinicians-Speech Therapist (reimbursed by CPS)</v>
      </c>
      <c r="B70" s="239"/>
      <c r="C70" s="135">
        <f t="shared" si="1"/>
        <v>0</v>
      </c>
      <c r="D70" s="240"/>
      <c r="E70" s="579">
        <f t="shared" si="2"/>
        <v>0</v>
      </c>
      <c r="F70" s="579"/>
      <c r="G70" s="579">
        <f t="shared" si="3"/>
        <v>0</v>
      </c>
      <c r="H70" s="579"/>
      <c r="I70" s="579">
        <f t="shared" si="4"/>
        <v>0</v>
      </c>
      <c r="J70" s="579"/>
      <c r="K70" s="579">
        <f t="shared" si="5"/>
        <v>0</v>
      </c>
      <c r="L70" s="579"/>
      <c r="M70" s="579">
        <f t="shared" si="6"/>
        <v>0</v>
      </c>
    </row>
    <row r="71" spans="1:13" ht="12.75">
      <c r="A71" s="748" t="str">
        <f t="shared" si="0"/>
        <v>SPED Clinicians-Physical Therapist (reimbursed by CPS)</v>
      </c>
      <c r="B71" s="239"/>
      <c r="C71" s="135">
        <f t="shared" si="1"/>
        <v>0</v>
      </c>
      <c r="D71" s="240"/>
      <c r="E71" s="579">
        <f t="shared" si="2"/>
        <v>0</v>
      </c>
      <c r="F71" s="579"/>
      <c r="G71" s="579">
        <f t="shared" si="3"/>
        <v>0</v>
      </c>
      <c r="H71" s="579"/>
      <c r="I71" s="579">
        <f t="shared" si="4"/>
        <v>0</v>
      </c>
      <c r="J71" s="579"/>
      <c r="K71" s="579">
        <f t="shared" si="5"/>
        <v>0</v>
      </c>
      <c r="L71" s="579"/>
      <c r="M71" s="579">
        <f t="shared" si="6"/>
        <v>0</v>
      </c>
    </row>
    <row r="72" spans="1:13" ht="12.75">
      <c r="A72" s="748" t="str">
        <f t="shared" si="0"/>
        <v>SPED Clinicians-Occupational Therapist (reimbursed by CPS)</v>
      </c>
      <c r="B72" s="239"/>
      <c r="C72" s="135">
        <f t="shared" si="1"/>
        <v>0</v>
      </c>
      <c r="D72" s="240"/>
      <c r="E72" s="579">
        <f t="shared" si="2"/>
        <v>0</v>
      </c>
      <c r="F72" s="579"/>
      <c r="G72" s="579">
        <f t="shared" si="3"/>
        <v>0</v>
      </c>
      <c r="H72" s="579"/>
      <c r="I72" s="579">
        <f t="shared" si="4"/>
        <v>0</v>
      </c>
      <c r="J72" s="579"/>
      <c r="K72" s="579">
        <f t="shared" si="5"/>
        <v>0</v>
      </c>
      <c r="L72" s="579"/>
      <c r="M72" s="579">
        <f t="shared" si="6"/>
        <v>0</v>
      </c>
    </row>
    <row r="73" spans="1:13" ht="12.75">
      <c r="A73" s="748" t="str">
        <f t="shared" si="0"/>
        <v>SPED Clinicians-Nurse (reimbursed by CPS)</v>
      </c>
      <c r="B73" s="239"/>
      <c r="C73" s="196">
        <f t="shared" si="1"/>
        <v>0</v>
      </c>
      <c r="D73" s="241"/>
      <c r="E73" s="579">
        <f t="shared" si="2"/>
        <v>0</v>
      </c>
      <c r="F73" s="579"/>
      <c r="G73" s="579">
        <f t="shared" si="3"/>
        <v>0</v>
      </c>
      <c r="H73" s="579"/>
      <c r="I73" s="579">
        <f t="shared" si="4"/>
        <v>0</v>
      </c>
      <c r="J73" s="579"/>
      <c r="K73" s="579">
        <f t="shared" si="5"/>
        <v>0</v>
      </c>
      <c r="L73" s="579"/>
      <c r="M73" s="579">
        <f t="shared" si="6"/>
        <v>0</v>
      </c>
    </row>
    <row r="74" spans="1:13" ht="12.75">
      <c r="A74" s="238" t="str">
        <f t="shared" si="0"/>
        <v>Teachers Aides</v>
      </c>
      <c r="B74" s="239"/>
      <c r="C74" s="135">
        <f t="shared" si="1"/>
        <v>0</v>
      </c>
      <c r="D74" s="240"/>
      <c r="E74" s="579">
        <f t="shared" si="2"/>
        <v>0</v>
      </c>
      <c r="F74" s="579"/>
      <c r="G74" s="579">
        <f t="shared" si="3"/>
        <v>0</v>
      </c>
      <c r="H74" s="579"/>
      <c r="I74" s="579">
        <f t="shared" si="4"/>
        <v>0</v>
      </c>
      <c r="J74" s="579"/>
      <c r="K74" s="579">
        <f t="shared" si="5"/>
        <v>0</v>
      </c>
      <c r="L74" s="579"/>
      <c r="M74" s="579">
        <f t="shared" si="6"/>
        <v>0</v>
      </c>
    </row>
    <row r="75" spans="1:13" ht="12.75">
      <c r="A75" s="238" t="str">
        <f t="shared" si="0"/>
        <v>Counselors</v>
      </c>
      <c r="B75" s="239">
        <v>38000</v>
      </c>
      <c r="C75" s="135">
        <f t="shared" si="1"/>
        <v>38000</v>
      </c>
      <c r="D75" s="240"/>
      <c r="E75" s="579">
        <f t="shared" si="2"/>
        <v>38000</v>
      </c>
      <c r="F75" s="579"/>
      <c r="G75" s="579">
        <f t="shared" si="3"/>
        <v>39140</v>
      </c>
      <c r="H75" s="579"/>
      <c r="I75" s="579">
        <f t="shared" si="4"/>
        <v>40314.200000000004</v>
      </c>
      <c r="J75" s="579"/>
      <c r="K75" s="579">
        <f t="shared" si="5"/>
        <v>41523.626000000004</v>
      </c>
      <c r="L75" s="579"/>
      <c r="M75" s="579">
        <f t="shared" si="6"/>
        <v>42769.334780000005</v>
      </c>
    </row>
    <row r="76" spans="1:13" ht="12.75">
      <c r="A76" s="238" t="str">
        <f t="shared" si="0"/>
        <v>Librarians</v>
      </c>
      <c r="B76" s="239"/>
      <c r="C76" s="135">
        <f t="shared" si="1"/>
        <v>0</v>
      </c>
      <c r="D76" s="240"/>
      <c r="E76" s="579">
        <f t="shared" si="2"/>
        <v>0</v>
      </c>
      <c r="F76" s="579"/>
      <c r="G76" s="579">
        <f t="shared" si="3"/>
        <v>0</v>
      </c>
      <c r="H76" s="579"/>
      <c r="I76" s="579">
        <f t="shared" si="4"/>
        <v>0</v>
      </c>
      <c r="J76" s="579"/>
      <c r="K76" s="579">
        <f t="shared" si="5"/>
        <v>0</v>
      </c>
      <c r="L76" s="579"/>
      <c r="M76" s="579">
        <f t="shared" si="6"/>
        <v>0</v>
      </c>
    </row>
    <row r="77" spans="1:13" ht="12.75">
      <c r="A77" s="238" t="str">
        <f t="shared" si="0"/>
        <v>Deans</v>
      </c>
      <c r="B77" s="239">
        <v>48000</v>
      </c>
      <c r="C77" s="135">
        <f t="shared" si="1"/>
        <v>48000</v>
      </c>
      <c r="D77" s="240"/>
      <c r="E77" s="579">
        <f t="shared" si="2"/>
        <v>48000</v>
      </c>
      <c r="F77" s="579"/>
      <c r="G77" s="579">
        <f t="shared" si="3"/>
        <v>49440</v>
      </c>
      <c r="H77" s="579"/>
      <c r="I77" s="579">
        <f t="shared" si="4"/>
        <v>50923.200000000004</v>
      </c>
      <c r="J77" s="579"/>
      <c r="K77" s="579">
        <f t="shared" si="5"/>
        <v>52450.89600000001</v>
      </c>
      <c r="L77" s="579"/>
      <c r="M77" s="579">
        <f t="shared" si="6"/>
        <v>54024.42288000001</v>
      </c>
    </row>
    <row r="78" spans="1:13" ht="12.75">
      <c r="A78" s="238" t="str">
        <f t="shared" si="0"/>
        <v>Principal</v>
      </c>
      <c r="B78" s="239"/>
      <c r="C78" s="135">
        <f t="shared" si="1"/>
        <v>0</v>
      </c>
      <c r="D78" s="240"/>
      <c r="E78" s="579">
        <f t="shared" si="2"/>
        <v>0</v>
      </c>
      <c r="F78" s="579"/>
      <c r="G78" s="579">
        <f t="shared" si="3"/>
        <v>0</v>
      </c>
      <c r="H78" s="579"/>
      <c r="I78" s="579">
        <f t="shared" si="4"/>
        <v>0</v>
      </c>
      <c r="J78" s="579"/>
      <c r="K78" s="579">
        <f t="shared" si="5"/>
        <v>0</v>
      </c>
      <c r="L78" s="579"/>
      <c r="M78" s="579">
        <f t="shared" si="6"/>
        <v>0</v>
      </c>
    </row>
    <row r="79" spans="1:13" ht="12.75">
      <c r="A79" s="238" t="str">
        <f t="shared" si="0"/>
        <v>Assistant Principal</v>
      </c>
      <c r="B79" s="239"/>
      <c r="C79" s="135">
        <f t="shared" si="1"/>
        <v>0</v>
      </c>
      <c r="D79" s="240"/>
      <c r="E79" s="579">
        <f t="shared" si="2"/>
        <v>0</v>
      </c>
      <c r="F79" s="579"/>
      <c r="G79" s="579">
        <f t="shared" si="3"/>
        <v>0</v>
      </c>
      <c r="H79" s="579"/>
      <c r="I79" s="579">
        <f t="shared" si="4"/>
        <v>0</v>
      </c>
      <c r="J79" s="579"/>
      <c r="K79" s="579">
        <f t="shared" si="5"/>
        <v>0</v>
      </c>
      <c r="L79" s="579"/>
      <c r="M79" s="579">
        <f t="shared" si="6"/>
        <v>0</v>
      </c>
    </row>
    <row r="80" spans="1:13" ht="12.75">
      <c r="A80" s="772">
        <f t="shared" si="0"/>
        <v>0</v>
      </c>
      <c r="B80" s="239"/>
      <c r="C80" s="135">
        <f t="shared" si="1"/>
        <v>0</v>
      </c>
      <c r="D80" s="240"/>
      <c r="E80" s="579">
        <f t="shared" si="2"/>
        <v>0</v>
      </c>
      <c r="F80" s="579"/>
      <c r="G80" s="579">
        <f t="shared" si="3"/>
        <v>0</v>
      </c>
      <c r="H80" s="579"/>
      <c r="I80" s="579">
        <f t="shared" si="4"/>
        <v>0</v>
      </c>
      <c r="J80" s="579"/>
      <c r="K80" s="579">
        <f t="shared" si="5"/>
        <v>0</v>
      </c>
      <c r="L80" s="579"/>
      <c r="M80" s="579">
        <f t="shared" si="6"/>
        <v>0</v>
      </c>
    </row>
    <row r="81" spans="1:13" ht="12.75">
      <c r="A81" s="594">
        <f t="shared" si="0"/>
        <v>0</v>
      </c>
      <c r="B81" s="239"/>
      <c r="C81" s="135">
        <f t="shared" si="1"/>
        <v>0</v>
      </c>
      <c r="D81" s="240"/>
      <c r="E81" s="579">
        <f t="shared" si="2"/>
        <v>0</v>
      </c>
      <c r="F81" s="579"/>
      <c r="G81" s="579">
        <f t="shared" si="3"/>
        <v>0</v>
      </c>
      <c r="H81" s="579"/>
      <c r="I81" s="579">
        <f t="shared" si="4"/>
        <v>0</v>
      </c>
      <c r="J81" s="579"/>
      <c r="K81" s="579">
        <f t="shared" si="5"/>
        <v>0</v>
      </c>
      <c r="L81" s="579"/>
      <c r="M81" s="579">
        <f t="shared" si="6"/>
        <v>0</v>
      </c>
    </row>
    <row r="82" spans="1:13" ht="12.75">
      <c r="A82" s="594">
        <f t="shared" si="0"/>
        <v>0</v>
      </c>
      <c r="B82" s="239"/>
      <c r="C82" s="135">
        <f t="shared" si="1"/>
        <v>0</v>
      </c>
      <c r="D82" s="240"/>
      <c r="E82" s="579">
        <f t="shared" si="2"/>
        <v>0</v>
      </c>
      <c r="F82" s="579"/>
      <c r="G82" s="579">
        <f t="shared" si="3"/>
        <v>0</v>
      </c>
      <c r="H82" s="579"/>
      <c r="I82" s="579">
        <f t="shared" si="4"/>
        <v>0</v>
      </c>
      <c r="J82" s="579"/>
      <c r="K82" s="579">
        <f t="shared" si="5"/>
        <v>0</v>
      </c>
      <c r="L82" s="579"/>
      <c r="M82" s="579">
        <f t="shared" si="6"/>
        <v>0</v>
      </c>
    </row>
    <row r="83" spans="1:13" ht="12.75">
      <c r="A83" s="594">
        <f t="shared" si="0"/>
        <v>0</v>
      </c>
      <c r="B83" s="239"/>
      <c r="C83" s="135">
        <f t="shared" si="1"/>
        <v>0</v>
      </c>
      <c r="D83" s="240"/>
      <c r="E83" s="579">
        <f t="shared" si="2"/>
        <v>0</v>
      </c>
      <c r="F83" s="579"/>
      <c r="G83" s="579">
        <f t="shared" si="3"/>
        <v>0</v>
      </c>
      <c r="H83" s="579"/>
      <c r="I83" s="579">
        <f t="shared" si="4"/>
        <v>0</v>
      </c>
      <c r="J83" s="579"/>
      <c r="K83" s="579">
        <f t="shared" si="5"/>
        <v>0</v>
      </c>
      <c r="L83" s="579"/>
      <c r="M83" s="579">
        <f t="shared" si="6"/>
        <v>0</v>
      </c>
    </row>
    <row r="84" spans="1:13" ht="12.75">
      <c r="A84" s="594">
        <f t="shared" si="0"/>
        <v>0</v>
      </c>
      <c r="B84" s="239"/>
      <c r="C84" s="135">
        <f t="shared" si="1"/>
        <v>0</v>
      </c>
      <c r="D84" s="240"/>
      <c r="E84" s="579">
        <f t="shared" si="2"/>
        <v>0</v>
      </c>
      <c r="F84" s="579"/>
      <c r="G84" s="579">
        <f t="shared" si="3"/>
        <v>0</v>
      </c>
      <c r="H84" s="579"/>
      <c r="I84" s="579">
        <f t="shared" si="4"/>
        <v>0</v>
      </c>
      <c r="J84" s="579"/>
      <c r="K84" s="579">
        <f t="shared" si="5"/>
        <v>0</v>
      </c>
      <c r="L84" s="579"/>
      <c r="M84" s="579">
        <f t="shared" si="6"/>
        <v>0</v>
      </c>
    </row>
    <row r="85" spans="1:13" ht="12.75">
      <c r="A85" s="594">
        <f t="shared" si="0"/>
        <v>0</v>
      </c>
      <c r="B85" s="239"/>
      <c r="C85" s="135">
        <f t="shared" si="1"/>
        <v>0</v>
      </c>
      <c r="D85" s="135"/>
      <c r="E85" s="579">
        <f t="shared" si="2"/>
        <v>0</v>
      </c>
      <c r="F85" s="579"/>
      <c r="G85" s="579">
        <f t="shared" si="3"/>
        <v>0</v>
      </c>
      <c r="H85" s="579"/>
      <c r="I85" s="579">
        <f t="shared" si="4"/>
        <v>0</v>
      </c>
      <c r="J85" s="579"/>
      <c r="K85" s="579">
        <f t="shared" si="5"/>
        <v>0</v>
      </c>
      <c r="L85" s="579"/>
      <c r="M85" s="579">
        <f t="shared" si="6"/>
        <v>0</v>
      </c>
    </row>
    <row r="86" spans="1:13" ht="12.75">
      <c r="A86" s="594">
        <f t="shared" si="0"/>
        <v>0</v>
      </c>
      <c r="B86" s="239"/>
      <c r="C86" s="135">
        <f t="shared" si="1"/>
        <v>0</v>
      </c>
      <c r="D86" s="135"/>
      <c r="E86" s="579">
        <f t="shared" si="2"/>
        <v>0</v>
      </c>
      <c r="F86" s="579"/>
      <c r="G86" s="579">
        <f t="shared" si="3"/>
        <v>0</v>
      </c>
      <c r="H86" s="579"/>
      <c r="I86" s="579">
        <f t="shared" si="4"/>
        <v>0</v>
      </c>
      <c r="J86" s="579"/>
      <c r="K86" s="579">
        <f t="shared" si="5"/>
        <v>0</v>
      </c>
      <c r="L86" s="579"/>
      <c r="M86" s="579">
        <f t="shared" si="6"/>
        <v>0</v>
      </c>
    </row>
    <row r="87" spans="1:13" ht="13.5" thickBot="1">
      <c r="A87" s="595">
        <f t="shared" si="0"/>
        <v>0</v>
      </c>
      <c r="B87" s="242"/>
      <c r="C87" s="243">
        <f t="shared" si="1"/>
        <v>0</v>
      </c>
      <c r="D87" s="243"/>
      <c r="E87" s="579">
        <f t="shared" si="2"/>
        <v>0</v>
      </c>
      <c r="F87" s="579"/>
      <c r="G87" s="579">
        <f t="shared" si="3"/>
        <v>0</v>
      </c>
      <c r="H87" s="579"/>
      <c r="I87" s="579">
        <f t="shared" si="4"/>
        <v>0</v>
      </c>
      <c r="J87" s="579"/>
      <c r="K87" s="579">
        <f t="shared" si="5"/>
        <v>0</v>
      </c>
      <c r="L87" s="579"/>
      <c r="M87" s="579">
        <f t="shared" si="6"/>
        <v>0</v>
      </c>
    </row>
    <row r="88" spans="1:13" ht="30.75" thickBot="1">
      <c r="A88" s="244" t="str">
        <f t="shared" si="0"/>
        <v>Positions that Do NOT Participate in the Chicago Teachers' Pension Fund (CTPF):         </v>
      </c>
      <c r="B88" s="245"/>
      <c r="C88" s="246"/>
      <c r="D88" s="246"/>
      <c r="E88" s="246"/>
      <c r="F88" s="246"/>
      <c r="G88" s="246"/>
      <c r="H88" s="246"/>
      <c r="I88" s="246"/>
      <c r="J88" s="246"/>
      <c r="K88" s="246"/>
      <c r="L88" s="246"/>
      <c r="M88" s="247"/>
    </row>
    <row r="89" spans="1:13" ht="12.75">
      <c r="A89" s="248" t="str">
        <f t="shared" si="0"/>
        <v>Teachers</v>
      </c>
      <c r="B89" s="236"/>
      <c r="C89" s="237">
        <f>B89*(1+C$62)</f>
        <v>0</v>
      </c>
      <c r="D89" s="237"/>
      <c r="E89" s="579">
        <f aca="true" t="shared" si="7" ref="E89:E115">C89*(1+E$62)</f>
        <v>0</v>
      </c>
      <c r="F89" s="579"/>
      <c r="G89" s="579">
        <f>E89*(1+G$62)</f>
        <v>0</v>
      </c>
      <c r="H89" s="579"/>
      <c r="I89" s="579">
        <f>G89*(1+I$62)</f>
        <v>0</v>
      </c>
      <c r="J89" s="579"/>
      <c r="K89" s="579">
        <f>I89*(1+K$62)</f>
        <v>0</v>
      </c>
      <c r="L89" s="579"/>
      <c r="M89" s="579">
        <f>K89*(1+M$62)</f>
        <v>0</v>
      </c>
    </row>
    <row r="90" spans="1:13" ht="12.75">
      <c r="A90" s="749" t="str">
        <f t="shared" si="0"/>
        <v>SPED Teachers (reimbursed by CPS)</v>
      </c>
      <c r="B90" s="239"/>
      <c r="C90" s="135">
        <f>B90*(1+C$62)</f>
        <v>0</v>
      </c>
      <c r="D90" s="135"/>
      <c r="E90" s="579">
        <f t="shared" si="7"/>
        <v>0</v>
      </c>
      <c r="F90" s="579"/>
      <c r="G90" s="579">
        <f aca="true" t="shared" si="8" ref="G90:G115">E90*(1+G$62)</f>
        <v>0</v>
      </c>
      <c r="H90" s="579"/>
      <c r="I90" s="579">
        <f aca="true" t="shared" si="9" ref="I90:I115">G90*(1+I$62)</f>
        <v>0</v>
      </c>
      <c r="J90" s="579"/>
      <c r="K90" s="579">
        <f aca="true" t="shared" si="10" ref="K90:K115">I90*(1+K$62)</f>
        <v>0</v>
      </c>
      <c r="L90" s="579"/>
      <c r="M90" s="579">
        <f aca="true" t="shared" si="11" ref="M90:M115">K90*(1+M$62)</f>
        <v>0</v>
      </c>
    </row>
    <row r="91" spans="1:13" ht="12.75">
      <c r="A91" s="749" t="str">
        <f t="shared" si="0"/>
        <v>SPED Aides (reimbursed by CPS)</v>
      </c>
      <c r="B91" s="239"/>
      <c r="C91" s="135">
        <f>B91*(1+C$62)</f>
        <v>0</v>
      </c>
      <c r="D91" s="135"/>
      <c r="E91" s="579">
        <f t="shared" si="7"/>
        <v>0</v>
      </c>
      <c r="F91" s="579"/>
      <c r="G91" s="579">
        <f t="shared" si="8"/>
        <v>0</v>
      </c>
      <c r="H91" s="579"/>
      <c r="I91" s="579">
        <f t="shared" si="9"/>
        <v>0</v>
      </c>
      <c r="J91" s="579"/>
      <c r="K91" s="579">
        <f t="shared" si="10"/>
        <v>0</v>
      </c>
      <c r="L91" s="579"/>
      <c r="M91" s="579">
        <f t="shared" si="11"/>
        <v>0</v>
      </c>
    </row>
    <row r="92" spans="1:13" ht="12.75">
      <c r="A92" s="749" t="str">
        <f t="shared" si="0"/>
        <v>SPED Clinicians-Psychologist (reimbursed by CPS)</v>
      </c>
      <c r="B92" s="239"/>
      <c r="C92" s="135">
        <f aca="true" t="shared" si="12" ref="C92:C115">B92*(1+C$62)</f>
        <v>0</v>
      </c>
      <c r="D92" s="135"/>
      <c r="E92" s="579">
        <f t="shared" si="7"/>
        <v>0</v>
      </c>
      <c r="F92" s="579"/>
      <c r="G92" s="579">
        <f t="shared" si="8"/>
        <v>0</v>
      </c>
      <c r="H92" s="579"/>
      <c r="I92" s="579">
        <f t="shared" si="9"/>
        <v>0</v>
      </c>
      <c r="J92" s="579"/>
      <c r="K92" s="579">
        <f t="shared" si="10"/>
        <v>0</v>
      </c>
      <c r="L92" s="579"/>
      <c r="M92" s="579">
        <f t="shared" si="11"/>
        <v>0</v>
      </c>
    </row>
    <row r="93" spans="1:13" ht="12.75">
      <c r="A93" s="749" t="str">
        <f t="shared" si="0"/>
        <v>SPED Clinicians-Social Worker (reimbursed by CPS)</v>
      </c>
      <c r="B93" s="239"/>
      <c r="C93" s="135">
        <f t="shared" si="12"/>
        <v>0</v>
      </c>
      <c r="D93" s="135"/>
      <c r="E93" s="579">
        <f t="shared" si="7"/>
        <v>0</v>
      </c>
      <c r="F93" s="579"/>
      <c r="G93" s="579">
        <f t="shared" si="8"/>
        <v>0</v>
      </c>
      <c r="H93" s="579"/>
      <c r="I93" s="579">
        <f t="shared" si="9"/>
        <v>0</v>
      </c>
      <c r="J93" s="579"/>
      <c r="K93" s="579">
        <f t="shared" si="10"/>
        <v>0</v>
      </c>
      <c r="L93" s="579"/>
      <c r="M93" s="579">
        <f t="shared" si="11"/>
        <v>0</v>
      </c>
    </row>
    <row r="94" spans="1:13" ht="12.75">
      <c r="A94" s="749" t="str">
        <f t="shared" si="0"/>
        <v>SPED Clinicians-Speech Therapist (reimbursed by CPS)</v>
      </c>
      <c r="B94" s="239"/>
      <c r="C94" s="135">
        <f t="shared" si="12"/>
        <v>0</v>
      </c>
      <c r="D94" s="135"/>
      <c r="E94" s="579">
        <f t="shared" si="7"/>
        <v>0</v>
      </c>
      <c r="F94" s="579"/>
      <c r="G94" s="579">
        <f t="shared" si="8"/>
        <v>0</v>
      </c>
      <c r="H94" s="579"/>
      <c r="I94" s="579">
        <f t="shared" si="9"/>
        <v>0</v>
      </c>
      <c r="J94" s="579"/>
      <c r="K94" s="579">
        <f t="shared" si="10"/>
        <v>0</v>
      </c>
      <c r="L94" s="579"/>
      <c r="M94" s="579">
        <f t="shared" si="11"/>
        <v>0</v>
      </c>
    </row>
    <row r="95" spans="1:13" ht="12.75">
      <c r="A95" s="749" t="str">
        <f t="shared" si="0"/>
        <v>SPED Clinicians-Physical Therapist (reimbursed by CPS)</v>
      </c>
      <c r="B95" s="239"/>
      <c r="C95" s="135">
        <f t="shared" si="12"/>
        <v>0</v>
      </c>
      <c r="D95" s="135"/>
      <c r="E95" s="579">
        <f t="shared" si="7"/>
        <v>0</v>
      </c>
      <c r="F95" s="579"/>
      <c r="G95" s="579">
        <f t="shared" si="8"/>
        <v>0</v>
      </c>
      <c r="H95" s="579"/>
      <c r="I95" s="579">
        <f t="shared" si="9"/>
        <v>0</v>
      </c>
      <c r="J95" s="579"/>
      <c r="K95" s="579">
        <f t="shared" si="10"/>
        <v>0</v>
      </c>
      <c r="L95" s="579"/>
      <c r="M95" s="579">
        <f t="shared" si="11"/>
        <v>0</v>
      </c>
    </row>
    <row r="96" spans="1:13" ht="12.75">
      <c r="A96" s="749" t="str">
        <f t="shared" si="0"/>
        <v>SPED Clinicians-Occupational Therapist (reimbursed by CPS)</v>
      </c>
      <c r="B96" s="239"/>
      <c r="C96" s="135">
        <f t="shared" si="12"/>
        <v>0</v>
      </c>
      <c r="D96" s="135"/>
      <c r="E96" s="579">
        <f t="shared" si="7"/>
        <v>0</v>
      </c>
      <c r="F96" s="579"/>
      <c r="G96" s="579">
        <f t="shared" si="8"/>
        <v>0</v>
      </c>
      <c r="H96" s="579"/>
      <c r="I96" s="579">
        <f t="shared" si="9"/>
        <v>0</v>
      </c>
      <c r="J96" s="579"/>
      <c r="K96" s="579">
        <f t="shared" si="10"/>
        <v>0</v>
      </c>
      <c r="L96" s="579"/>
      <c r="M96" s="579">
        <f t="shared" si="11"/>
        <v>0</v>
      </c>
    </row>
    <row r="97" spans="1:13" ht="12.75">
      <c r="A97" s="749" t="str">
        <f t="shared" si="0"/>
        <v>SPED Clinicians-Nurse (reimbursed by CPS)</v>
      </c>
      <c r="B97" s="239"/>
      <c r="C97" s="135">
        <f t="shared" si="12"/>
        <v>0</v>
      </c>
      <c r="D97" s="135"/>
      <c r="E97" s="579">
        <f t="shared" si="7"/>
        <v>0</v>
      </c>
      <c r="F97" s="579"/>
      <c r="G97" s="579">
        <f t="shared" si="8"/>
        <v>0</v>
      </c>
      <c r="H97" s="579"/>
      <c r="I97" s="579">
        <f t="shared" si="9"/>
        <v>0</v>
      </c>
      <c r="J97" s="579"/>
      <c r="K97" s="579">
        <f t="shared" si="10"/>
        <v>0</v>
      </c>
      <c r="L97" s="579"/>
      <c r="M97" s="579">
        <f t="shared" si="11"/>
        <v>0</v>
      </c>
    </row>
    <row r="98" spans="1:13" ht="12.75">
      <c r="A98" s="248" t="str">
        <f t="shared" si="0"/>
        <v>Teacher Assistants/Aides</v>
      </c>
      <c r="B98" s="240"/>
      <c r="C98" s="135">
        <f t="shared" si="12"/>
        <v>0</v>
      </c>
      <c r="D98" s="135"/>
      <c r="E98" s="579">
        <f t="shared" si="7"/>
        <v>0</v>
      </c>
      <c r="F98" s="579"/>
      <c r="G98" s="579">
        <f t="shared" si="8"/>
        <v>0</v>
      </c>
      <c r="H98" s="579"/>
      <c r="I98" s="579">
        <f t="shared" si="9"/>
        <v>0</v>
      </c>
      <c r="J98" s="579"/>
      <c r="K98" s="579">
        <f t="shared" si="10"/>
        <v>0</v>
      </c>
      <c r="L98" s="579"/>
      <c r="M98" s="579">
        <f t="shared" si="11"/>
        <v>0</v>
      </c>
    </row>
    <row r="99" spans="1:13" ht="12.75">
      <c r="A99" s="248" t="str">
        <f t="shared" si="0"/>
        <v>Counselors</v>
      </c>
      <c r="B99" s="240"/>
      <c r="C99" s="135">
        <f t="shared" si="12"/>
        <v>0</v>
      </c>
      <c r="D99" s="135"/>
      <c r="E99" s="579">
        <f t="shared" si="7"/>
        <v>0</v>
      </c>
      <c r="F99" s="579"/>
      <c r="G99" s="579">
        <f t="shared" si="8"/>
        <v>0</v>
      </c>
      <c r="H99" s="579"/>
      <c r="I99" s="579">
        <f t="shared" si="9"/>
        <v>0</v>
      </c>
      <c r="J99" s="579"/>
      <c r="K99" s="579">
        <f t="shared" si="10"/>
        <v>0</v>
      </c>
      <c r="L99" s="579"/>
      <c r="M99" s="579">
        <f t="shared" si="11"/>
        <v>0</v>
      </c>
    </row>
    <row r="100" spans="1:13" ht="12.75">
      <c r="A100" s="248" t="str">
        <f t="shared" si="0"/>
        <v>Deans</v>
      </c>
      <c r="B100" s="240"/>
      <c r="C100" s="135">
        <f t="shared" si="12"/>
        <v>0</v>
      </c>
      <c r="D100" s="135"/>
      <c r="E100" s="579">
        <f t="shared" si="7"/>
        <v>0</v>
      </c>
      <c r="F100" s="579"/>
      <c r="G100" s="579">
        <f t="shared" si="8"/>
        <v>0</v>
      </c>
      <c r="H100" s="579"/>
      <c r="I100" s="579">
        <f t="shared" si="9"/>
        <v>0</v>
      </c>
      <c r="J100" s="579"/>
      <c r="K100" s="579">
        <f t="shared" si="10"/>
        <v>0</v>
      </c>
      <c r="L100" s="579"/>
      <c r="M100" s="579">
        <f t="shared" si="11"/>
        <v>0</v>
      </c>
    </row>
    <row r="101" spans="1:13" ht="12.75">
      <c r="A101" s="248" t="str">
        <f t="shared" si="0"/>
        <v>Principal</v>
      </c>
      <c r="B101" s="240"/>
      <c r="C101" s="135">
        <f t="shared" si="12"/>
        <v>0</v>
      </c>
      <c r="D101" s="135"/>
      <c r="E101" s="579">
        <f t="shared" si="7"/>
        <v>0</v>
      </c>
      <c r="F101" s="579"/>
      <c r="G101" s="579">
        <f t="shared" si="8"/>
        <v>0</v>
      </c>
      <c r="H101" s="579"/>
      <c r="I101" s="579">
        <f t="shared" si="9"/>
        <v>0</v>
      </c>
      <c r="J101" s="579"/>
      <c r="K101" s="579">
        <f t="shared" si="10"/>
        <v>0</v>
      </c>
      <c r="L101" s="579"/>
      <c r="M101" s="579">
        <f t="shared" si="11"/>
        <v>0</v>
      </c>
    </row>
    <row r="102" spans="1:13" ht="12.75">
      <c r="A102" s="248" t="str">
        <f t="shared" si="0"/>
        <v>Assistant Principal</v>
      </c>
      <c r="B102" s="240"/>
      <c r="C102" s="135">
        <f t="shared" si="12"/>
        <v>0</v>
      </c>
      <c r="D102" s="135"/>
      <c r="E102" s="579">
        <f t="shared" si="7"/>
        <v>0</v>
      </c>
      <c r="F102" s="579"/>
      <c r="G102" s="579">
        <f t="shared" si="8"/>
        <v>0</v>
      </c>
      <c r="H102" s="579"/>
      <c r="I102" s="579">
        <f t="shared" si="9"/>
        <v>0</v>
      </c>
      <c r="J102" s="579"/>
      <c r="K102" s="579">
        <f t="shared" si="10"/>
        <v>0</v>
      </c>
      <c r="L102" s="579"/>
      <c r="M102" s="579">
        <f t="shared" si="11"/>
        <v>0</v>
      </c>
    </row>
    <row r="103" spans="1:13" ht="12.75">
      <c r="A103" s="248" t="str">
        <f t="shared" si="0"/>
        <v>Librarians</v>
      </c>
      <c r="B103" s="240"/>
      <c r="C103" s="135">
        <f t="shared" si="12"/>
        <v>0</v>
      </c>
      <c r="D103" s="241"/>
      <c r="E103" s="579">
        <f t="shared" si="7"/>
        <v>0</v>
      </c>
      <c r="F103" s="579"/>
      <c r="G103" s="579">
        <f t="shared" si="8"/>
        <v>0</v>
      </c>
      <c r="H103" s="579"/>
      <c r="I103" s="579">
        <f t="shared" si="9"/>
        <v>0</v>
      </c>
      <c r="J103" s="579"/>
      <c r="K103" s="579">
        <f t="shared" si="10"/>
        <v>0</v>
      </c>
      <c r="L103" s="579"/>
      <c r="M103" s="579">
        <f t="shared" si="11"/>
        <v>0</v>
      </c>
    </row>
    <row r="104" spans="1:13" ht="12.75">
      <c r="A104" s="248" t="str">
        <f t="shared" si="0"/>
        <v>Custodians</v>
      </c>
      <c r="B104" s="240"/>
      <c r="C104" s="135">
        <f t="shared" si="12"/>
        <v>0</v>
      </c>
      <c r="D104" s="135"/>
      <c r="E104" s="579">
        <f t="shared" si="7"/>
        <v>0</v>
      </c>
      <c r="F104" s="579"/>
      <c r="G104" s="579">
        <f t="shared" si="8"/>
        <v>0</v>
      </c>
      <c r="H104" s="579"/>
      <c r="I104" s="579">
        <f t="shared" si="9"/>
        <v>0</v>
      </c>
      <c r="J104" s="579"/>
      <c r="K104" s="579">
        <f t="shared" si="10"/>
        <v>0</v>
      </c>
      <c r="L104" s="579"/>
      <c r="M104" s="579">
        <f t="shared" si="11"/>
        <v>0</v>
      </c>
    </row>
    <row r="105" spans="1:13" ht="12.75">
      <c r="A105" s="248" t="str">
        <f t="shared" si="0"/>
        <v>Security</v>
      </c>
      <c r="B105" s="240"/>
      <c r="C105" s="135">
        <f t="shared" si="12"/>
        <v>0</v>
      </c>
      <c r="D105" s="135"/>
      <c r="E105" s="579">
        <f t="shared" si="7"/>
        <v>0</v>
      </c>
      <c r="F105" s="579"/>
      <c r="G105" s="579">
        <f t="shared" si="8"/>
        <v>0</v>
      </c>
      <c r="H105" s="579"/>
      <c r="I105" s="579">
        <f t="shared" si="9"/>
        <v>0</v>
      </c>
      <c r="J105" s="579"/>
      <c r="K105" s="579">
        <f t="shared" si="10"/>
        <v>0</v>
      </c>
      <c r="L105" s="579"/>
      <c r="M105" s="579">
        <f t="shared" si="11"/>
        <v>0</v>
      </c>
    </row>
    <row r="106" spans="1:13" ht="12.75">
      <c r="A106" s="248" t="str">
        <f t="shared" si="0"/>
        <v>Full-Time Executive Team (i.e., CEO's, COO, CFO, Directors, etc.)</v>
      </c>
      <c r="B106" s="240"/>
      <c r="C106" s="135">
        <f t="shared" si="12"/>
        <v>0</v>
      </c>
      <c r="D106" s="135"/>
      <c r="E106" s="579">
        <f t="shared" si="7"/>
        <v>0</v>
      </c>
      <c r="F106" s="579"/>
      <c r="G106" s="579">
        <f t="shared" si="8"/>
        <v>0</v>
      </c>
      <c r="H106" s="579"/>
      <c r="I106" s="579">
        <f t="shared" si="9"/>
        <v>0</v>
      </c>
      <c r="J106" s="579"/>
      <c r="K106" s="579">
        <f t="shared" si="10"/>
        <v>0</v>
      </c>
      <c r="L106" s="579"/>
      <c r="M106" s="579">
        <f t="shared" si="11"/>
        <v>0</v>
      </c>
    </row>
    <row r="107" spans="1:13" ht="12.75">
      <c r="A107" s="248" t="str">
        <f t="shared" si="0"/>
        <v>Full-Time Administrative Staff</v>
      </c>
      <c r="B107" s="240">
        <v>27000</v>
      </c>
      <c r="C107" s="135">
        <f t="shared" si="12"/>
        <v>27000</v>
      </c>
      <c r="D107" s="135"/>
      <c r="E107" s="579">
        <f t="shared" si="7"/>
        <v>27000</v>
      </c>
      <c r="F107" s="579"/>
      <c r="G107" s="579">
        <f t="shared" si="8"/>
        <v>27810</v>
      </c>
      <c r="H107" s="579"/>
      <c r="I107" s="579">
        <f t="shared" si="9"/>
        <v>28644.3</v>
      </c>
      <c r="J107" s="579"/>
      <c r="K107" s="579">
        <f t="shared" si="10"/>
        <v>29503.629</v>
      </c>
      <c r="L107" s="579"/>
      <c r="M107" s="579">
        <f t="shared" si="11"/>
        <v>30388.73787</v>
      </c>
    </row>
    <row r="108" spans="1:13" ht="12.75">
      <c r="A108" s="773" t="str">
        <f>A50</f>
        <v>Technology</v>
      </c>
      <c r="B108" s="240">
        <v>30000</v>
      </c>
      <c r="C108" s="135">
        <f t="shared" si="12"/>
        <v>30000</v>
      </c>
      <c r="D108" s="135"/>
      <c r="E108" s="579">
        <f t="shared" si="7"/>
        <v>30000</v>
      </c>
      <c r="F108" s="579"/>
      <c r="G108" s="579">
        <f t="shared" si="8"/>
        <v>30900</v>
      </c>
      <c r="H108" s="579"/>
      <c r="I108" s="579">
        <f t="shared" si="9"/>
        <v>31827</v>
      </c>
      <c r="J108" s="579"/>
      <c r="K108" s="579">
        <f t="shared" si="10"/>
        <v>32781.81</v>
      </c>
      <c r="L108" s="579"/>
      <c r="M108" s="579">
        <f t="shared" si="11"/>
        <v>33765.264299999995</v>
      </c>
    </row>
    <row r="109" spans="1:13" ht="12.75">
      <c r="A109" s="773" t="str">
        <f aca="true" t="shared" si="13" ref="A109:A115">A51</f>
        <v>Subs</v>
      </c>
      <c r="B109" s="240">
        <v>10000</v>
      </c>
      <c r="C109" s="135">
        <f t="shared" si="12"/>
        <v>10000</v>
      </c>
      <c r="D109" s="135"/>
      <c r="E109" s="579">
        <f t="shared" si="7"/>
        <v>10000</v>
      </c>
      <c r="F109" s="579"/>
      <c r="G109" s="579">
        <f t="shared" si="8"/>
        <v>10300</v>
      </c>
      <c r="H109" s="579"/>
      <c r="I109" s="579">
        <f t="shared" si="9"/>
        <v>10609</v>
      </c>
      <c r="J109" s="579"/>
      <c r="K109" s="579">
        <f t="shared" si="10"/>
        <v>10927.27</v>
      </c>
      <c r="L109" s="579"/>
      <c r="M109" s="579">
        <f t="shared" si="11"/>
        <v>11255.0881</v>
      </c>
    </row>
    <row r="110" spans="1:13" ht="12.75">
      <c r="A110" s="773">
        <f t="shared" si="13"/>
        <v>0</v>
      </c>
      <c r="B110" s="240"/>
      <c r="C110" s="135">
        <f t="shared" si="12"/>
        <v>0</v>
      </c>
      <c r="D110" s="135"/>
      <c r="E110" s="579">
        <f t="shared" si="7"/>
        <v>0</v>
      </c>
      <c r="F110" s="579"/>
      <c r="G110" s="579">
        <f t="shared" si="8"/>
        <v>0</v>
      </c>
      <c r="H110" s="579"/>
      <c r="I110" s="579">
        <f t="shared" si="9"/>
        <v>0</v>
      </c>
      <c r="J110" s="579"/>
      <c r="K110" s="579">
        <f t="shared" si="10"/>
        <v>0</v>
      </c>
      <c r="L110" s="579"/>
      <c r="M110" s="579">
        <f t="shared" si="11"/>
        <v>0</v>
      </c>
    </row>
    <row r="111" spans="1:13" ht="12.75">
      <c r="A111" s="773">
        <f t="shared" si="13"/>
        <v>0</v>
      </c>
      <c r="B111" s="240"/>
      <c r="C111" s="135">
        <f t="shared" si="12"/>
        <v>0</v>
      </c>
      <c r="D111" s="135"/>
      <c r="E111" s="579">
        <f t="shared" si="7"/>
        <v>0</v>
      </c>
      <c r="F111" s="579"/>
      <c r="G111" s="579">
        <f t="shared" si="8"/>
        <v>0</v>
      </c>
      <c r="H111" s="579"/>
      <c r="I111" s="579">
        <f t="shared" si="9"/>
        <v>0</v>
      </c>
      <c r="J111" s="579"/>
      <c r="K111" s="579">
        <f t="shared" si="10"/>
        <v>0</v>
      </c>
      <c r="L111" s="579"/>
      <c r="M111" s="579">
        <f t="shared" si="11"/>
        <v>0</v>
      </c>
    </row>
    <row r="112" spans="1:13" ht="12.75">
      <c r="A112" s="773">
        <f t="shared" si="13"/>
        <v>0</v>
      </c>
      <c r="B112" s="240"/>
      <c r="C112" s="135">
        <f t="shared" si="12"/>
        <v>0</v>
      </c>
      <c r="D112" s="135"/>
      <c r="E112" s="579">
        <f t="shared" si="7"/>
        <v>0</v>
      </c>
      <c r="F112" s="579"/>
      <c r="G112" s="579">
        <f t="shared" si="8"/>
        <v>0</v>
      </c>
      <c r="H112" s="579"/>
      <c r="I112" s="579">
        <f t="shared" si="9"/>
        <v>0</v>
      </c>
      <c r="J112" s="579"/>
      <c r="K112" s="579">
        <f t="shared" si="10"/>
        <v>0</v>
      </c>
      <c r="L112" s="579"/>
      <c r="M112" s="579">
        <f t="shared" si="11"/>
        <v>0</v>
      </c>
    </row>
    <row r="113" spans="1:13" ht="12.75">
      <c r="A113" s="773">
        <f t="shared" si="13"/>
        <v>0</v>
      </c>
      <c r="B113" s="240"/>
      <c r="C113" s="135">
        <f t="shared" si="12"/>
        <v>0</v>
      </c>
      <c r="D113" s="135"/>
      <c r="E113" s="579">
        <f t="shared" si="7"/>
        <v>0</v>
      </c>
      <c r="F113" s="579"/>
      <c r="G113" s="579">
        <f t="shared" si="8"/>
        <v>0</v>
      </c>
      <c r="H113" s="579"/>
      <c r="I113" s="579">
        <f t="shared" si="9"/>
        <v>0</v>
      </c>
      <c r="J113" s="579"/>
      <c r="K113" s="579">
        <f t="shared" si="10"/>
        <v>0</v>
      </c>
      <c r="L113" s="579"/>
      <c r="M113" s="579">
        <f t="shared" si="11"/>
        <v>0</v>
      </c>
    </row>
    <row r="114" spans="1:13" ht="12.75">
      <c r="A114" s="773">
        <f t="shared" si="13"/>
        <v>0</v>
      </c>
      <c r="B114" s="240"/>
      <c r="C114" s="135">
        <f t="shared" si="12"/>
        <v>0</v>
      </c>
      <c r="D114" s="135"/>
      <c r="E114" s="579">
        <f t="shared" si="7"/>
        <v>0</v>
      </c>
      <c r="F114" s="579"/>
      <c r="G114" s="579">
        <f t="shared" si="8"/>
        <v>0</v>
      </c>
      <c r="H114" s="579"/>
      <c r="I114" s="579">
        <f t="shared" si="9"/>
        <v>0</v>
      </c>
      <c r="J114" s="579"/>
      <c r="K114" s="579">
        <f t="shared" si="10"/>
        <v>0</v>
      </c>
      <c r="L114" s="579"/>
      <c r="M114" s="579">
        <f t="shared" si="11"/>
        <v>0</v>
      </c>
    </row>
    <row r="115" spans="1:13" ht="12.75">
      <c r="A115" s="773">
        <f t="shared" si="13"/>
        <v>0</v>
      </c>
      <c r="B115" s="240"/>
      <c r="C115" s="135">
        <f t="shared" si="12"/>
        <v>0</v>
      </c>
      <c r="D115" s="135"/>
      <c r="E115" s="579">
        <f t="shared" si="7"/>
        <v>0</v>
      </c>
      <c r="F115" s="579"/>
      <c r="G115" s="579">
        <f t="shared" si="8"/>
        <v>0</v>
      </c>
      <c r="H115" s="579"/>
      <c r="I115" s="579">
        <f t="shared" si="9"/>
        <v>0</v>
      </c>
      <c r="J115" s="579"/>
      <c r="K115" s="579">
        <f t="shared" si="10"/>
        <v>0</v>
      </c>
      <c r="L115" s="579"/>
      <c r="M115" s="579">
        <f t="shared" si="11"/>
        <v>0</v>
      </c>
    </row>
    <row r="116" spans="1:13" ht="13.5" thickBot="1">
      <c r="A116" s="249"/>
      <c r="B116" s="125"/>
      <c r="C116" s="125"/>
      <c r="D116" s="125"/>
      <c r="E116" s="125"/>
      <c r="F116" s="125"/>
      <c r="G116" s="125"/>
      <c r="H116" s="125"/>
      <c r="I116" s="125"/>
      <c r="J116" s="125"/>
      <c r="K116" s="125"/>
      <c r="L116" s="125"/>
      <c r="M116" s="125"/>
    </row>
    <row r="117" spans="1:13" ht="16.5" thickBot="1">
      <c r="A117" s="250"/>
      <c r="B117" s="885" t="s">
        <v>182</v>
      </c>
      <c r="C117" s="886"/>
      <c r="D117" s="886"/>
      <c r="E117" s="886"/>
      <c r="F117" s="886"/>
      <c r="G117" s="886"/>
      <c r="H117" s="886"/>
      <c r="I117" s="886"/>
      <c r="J117" s="886"/>
      <c r="K117" s="886"/>
      <c r="L117" s="886"/>
      <c r="M117" s="887"/>
    </row>
    <row r="118" spans="1:13" ht="15.75" thickBot="1">
      <c r="A118" s="251" t="str">
        <f>A6</f>
        <v>Positions that Participate in the Chicago Teachers' Pension Fund (CTPF):         </v>
      </c>
      <c r="B118" s="252"/>
      <c r="C118" s="253" t="s">
        <v>135</v>
      </c>
      <c r="D118" s="253"/>
      <c r="E118" s="253">
        <f>$E$6</f>
        <v>2015</v>
      </c>
      <c r="F118" s="253"/>
      <c r="G118" s="253">
        <f>$G$6</f>
        <v>2016</v>
      </c>
      <c r="H118" s="253"/>
      <c r="I118" s="253">
        <f>$I$6</f>
        <v>2017</v>
      </c>
      <c r="J118" s="253"/>
      <c r="K118" s="253">
        <f>$K$6</f>
        <v>2018</v>
      </c>
      <c r="L118" s="253"/>
      <c r="M118" s="254">
        <f>$M$6</f>
        <v>2019</v>
      </c>
    </row>
    <row r="119" spans="1:13" ht="12.75">
      <c r="A119" s="255" t="str">
        <f>A7</f>
        <v>Teachers </v>
      </c>
      <c r="B119" s="598" t="s">
        <v>194</v>
      </c>
      <c r="C119" s="599"/>
      <c r="D119" s="599"/>
      <c r="E119" s="600">
        <f aca="true" t="shared" si="14" ref="E119:E141">E7*E65</f>
        <v>180000</v>
      </c>
      <c r="F119" s="248"/>
      <c r="G119" s="600">
        <f aca="true" t="shared" si="15" ref="G119:G141">G7*G65</f>
        <v>288400</v>
      </c>
      <c r="H119" s="600"/>
      <c r="I119" s="600">
        <f aca="true" t="shared" si="16" ref="I119:I141">I7*I65</f>
        <v>445578</v>
      </c>
      <c r="J119" s="600"/>
      <c r="K119" s="600">
        <f aca="true" t="shared" si="17" ref="K119:K141">K7*K65</f>
        <v>611927.12</v>
      </c>
      <c r="L119" s="600"/>
      <c r="M119" s="600">
        <f aca="true" t="shared" si="18" ref="M119:M141">M7*M65</f>
        <v>810366.3432</v>
      </c>
    </row>
    <row r="120" spans="1:13" ht="12.75">
      <c r="A120" s="750" t="str">
        <f aca="true" t="shared" si="19" ref="A120:A141">A8</f>
        <v>SPED Teachers (reimbursed by CPS)</v>
      </c>
      <c r="B120" s="598" t="s">
        <v>194</v>
      </c>
      <c r="C120" s="600"/>
      <c r="D120" s="600"/>
      <c r="E120" s="600">
        <f t="shared" si="14"/>
        <v>25000</v>
      </c>
      <c r="F120" s="248"/>
      <c r="G120" s="600">
        <f t="shared" si="15"/>
        <v>51500</v>
      </c>
      <c r="H120" s="600"/>
      <c r="I120" s="600">
        <f t="shared" si="16"/>
        <v>53045</v>
      </c>
      <c r="J120" s="600"/>
      <c r="K120" s="600">
        <f t="shared" si="17"/>
        <v>54636.35</v>
      </c>
      <c r="L120" s="600"/>
      <c r="M120" s="600">
        <f t="shared" si="18"/>
        <v>56275.4405</v>
      </c>
    </row>
    <row r="121" spans="1:13" ht="12.75">
      <c r="A121" s="750" t="str">
        <f t="shared" si="19"/>
        <v>SPED Aides (reimbursed by CPS)</v>
      </c>
      <c r="B121" s="598" t="s">
        <v>194</v>
      </c>
      <c r="C121" s="601">
        <f aca="true" t="shared" si="20" ref="C121:C126">C65*C7</f>
        <v>0</v>
      </c>
      <c r="D121" s="601"/>
      <c r="E121" s="600">
        <f t="shared" si="14"/>
        <v>0</v>
      </c>
      <c r="F121" s="248"/>
      <c r="G121" s="600">
        <f t="shared" si="15"/>
        <v>0</v>
      </c>
      <c r="H121" s="600"/>
      <c r="I121" s="600">
        <f t="shared" si="16"/>
        <v>0</v>
      </c>
      <c r="J121" s="600"/>
      <c r="K121" s="600">
        <f t="shared" si="17"/>
        <v>0</v>
      </c>
      <c r="L121" s="600"/>
      <c r="M121" s="600">
        <f t="shared" si="18"/>
        <v>0</v>
      </c>
    </row>
    <row r="122" spans="1:13" ht="12.75">
      <c r="A122" s="750" t="str">
        <f t="shared" si="19"/>
        <v>SPED Clinicians-Psychologist (reimbursed by CPS)</v>
      </c>
      <c r="B122" s="598" t="s">
        <v>194</v>
      </c>
      <c r="C122" s="601">
        <f t="shared" si="20"/>
        <v>0</v>
      </c>
      <c r="D122" s="601"/>
      <c r="E122" s="600">
        <f t="shared" si="14"/>
        <v>0</v>
      </c>
      <c r="F122" s="248"/>
      <c r="G122" s="600">
        <f t="shared" si="15"/>
        <v>0</v>
      </c>
      <c r="H122" s="600"/>
      <c r="I122" s="600">
        <f t="shared" si="16"/>
        <v>0</v>
      </c>
      <c r="J122" s="600"/>
      <c r="K122" s="600">
        <f t="shared" si="17"/>
        <v>0</v>
      </c>
      <c r="L122" s="600"/>
      <c r="M122" s="600">
        <f t="shared" si="18"/>
        <v>0</v>
      </c>
    </row>
    <row r="123" spans="1:13" ht="12.75">
      <c r="A123" s="750" t="str">
        <f t="shared" si="19"/>
        <v>SPED Clinicians-Social Worker (reimbursed by CPS)</v>
      </c>
      <c r="B123" s="598" t="s">
        <v>194</v>
      </c>
      <c r="C123" s="600">
        <f t="shared" si="20"/>
        <v>0</v>
      </c>
      <c r="D123" s="600"/>
      <c r="E123" s="600">
        <f t="shared" si="14"/>
        <v>0</v>
      </c>
      <c r="F123" s="248"/>
      <c r="G123" s="600">
        <f t="shared" si="15"/>
        <v>0</v>
      </c>
      <c r="H123" s="600"/>
      <c r="I123" s="600">
        <f t="shared" si="16"/>
        <v>0</v>
      </c>
      <c r="J123" s="600"/>
      <c r="K123" s="600">
        <f t="shared" si="17"/>
        <v>0</v>
      </c>
      <c r="L123" s="600"/>
      <c r="M123" s="600">
        <f t="shared" si="18"/>
        <v>0</v>
      </c>
    </row>
    <row r="124" spans="1:13" ht="12.75">
      <c r="A124" s="750" t="str">
        <f t="shared" si="19"/>
        <v>SPED Clinicians-Speech Therapist (reimbursed by CPS)</v>
      </c>
      <c r="B124" s="598" t="s">
        <v>194</v>
      </c>
      <c r="C124" s="601">
        <f t="shared" si="20"/>
        <v>0</v>
      </c>
      <c r="D124" s="601"/>
      <c r="E124" s="600">
        <f t="shared" si="14"/>
        <v>0</v>
      </c>
      <c r="F124" s="248"/>
      <c r="G124" s="600">
        <f t="shared" si="15"/>
        <v>0</v>
      </c>
      <c r="H124" s="600"/>
      <c r="I124" s="600">
        <f t="shared" si="16"/>
        <v>0</v>
      </c>
      <c r="J124" s="600"/>
      <c r="K124" s="600">
        <f t="shared" si="17"/>
        <v>0</v>
      </c>
      <c r="L124" s="600"/>
      <c r="M124" s="600">
        <f t="shared" si="18"/>
        <v>0</v>
      </c>
    </row>
    <row r="125" spans="1:13" ht="12.75">
      <c r="A125" s="750" t="str">
        <f t="shared" si="19"/>
        <v>SPED Clinicians-Physical Therapist (reimbursed by CPS)</v>
      </c>
      <c r="B125" s="598" t="s">
        <v>194</v>
      </c>
      <c r="C125" s="601">
        <f t="shared" si="20"/>
        <v>0</v>
      </c>
      <c r="D125" s="601"/>
      <c r="E125" s="600">
        <f t="shared" si="14"/>
        <v>0</v>
      </c>
      <c r="F125" s="248"/>
      <c r="G125" s="600">
        <f t="shared" si="15"/>
        <v>0</v>
      </c>
      <c r="H125" s="600"/>
      <c r="I125" s="600">
        <f t="shared" si="16"/>
        <v>0</v>
      </c>
      <c r="J125" s="600"/>
      <c r="K125" s="600">
        <f t="shared" si="17"/>
        <v>0</v>
      </c>
      <c r="L125" s="600"/>
      <c r="M125" s="600">
        <f t="shared" si="18"/>
        <v>0</v>
      </c>
    </row>
    <row r="126" spans="1:13" ht="12.75">
      <c r="A126" s="750" t="str">
        <f t="shared" si="19"/>
        <v>SPED Clinicians-Occupational Therapist (reimbursed by CPS)</v>
      </c>
      <c r="B126" s="598" t="s">
        <v>194</v>
      </c>
      <c r="C126" s="601">
        <f t="shared" si="20"/>
        <v>0</v>
      </c>
      <c r="D126" s="601"/>
      <c r="E126" s="600">
        <f t="shared" si="14"/>
        <v>0</v>
      </c>
      <c r="F126" s="248"/>
      <c r="G126" s="600">
        <f t="shared" si="15"/>
        <v>0</v>
      </c>
      <c r="H126" s="600"/>
      <c r="I126" s="600">
        <f t="shared" si="16"/>
        <v>0</v>
      </c>
      <c r="J126" s="600"/>
      <c r="K126" s="600">
        <f t="shared" si="17"/>
        <v>0</v>
      </c>
      <c r="L126" s="600"/>
      <c r="M126" s="600">
        <f t="shared" si="18"/>
        <v>0</v>
      </c>
    </row>
    <row r="127" spans="1:13" ht="12.75">
      <c r="A127" s="750" t="str">
        <f t="shared" si="19"/>
        <v>SPED Clinicians-Nurse (reimbursed by CPS)</v>
      </c>
      <c r="B127" s="598" t="s">
        <v>194</v>
      </c>
      <c r="C127" s="601">
        <f>C71*C19</f>
        <v>0</v>
      </c>
      <c r="D127" s="601"/>
      <c r="E127" s="600">
        <f t="shared" si="14"/>
        <v>0</v>
      </c>
      <c r="F127" s="248"/>
      <c r="G127" s="600">
        <f t="shared" si="15"/>
        <v>0</v>
      </c>
      <c r="H127" s="600"/>
      <c r="I127" s="600">
        <f t="shared" si="16"/>
        <v>0</v>
      </c>
      <c r="J127" s="600"/>
      <c r="K127" s="600">
        <f t="shared" si="17"/>
        <v>0</v>
      </c>
      <c r="L127" s="600"/>
      <c r="M127" s="600">
        <f t="shared" si="18"/>
        <v>0</v>
      </c>
    </row>
    <row r="128" spans="1:13" ht="12.75">
      <c r="A128" s="255" t="str">
        <f t="shared" si="19"/>
        <v>Teachers Aides</v>
      </c>
      <c r="B128" s="598" t="s">
        <v>194</v>
      </c>
      <c r="C128" s="601">
        <f>C72*C20</f>
        <v>0</v>
      </c>
      <c r="D128" s="601"/>
      <c r="E128" s="600">
        <f t="shared" si="14"/>
        <v>0</v>
      </c>
      <c r="F128" s="248"/>
      <c r="G128" s="600">
        <f t="shared" si="15"/>
        <v>0</v>
      </c>
      <c r="H128" s="600"/>
      <c r="I128" s="600">
        <f t="shared" si="16"/>
        <v>0</v>
      </c>
      <c r="J128" s="600"/>
      <c r="K128" s="600">
        <f t="shared" si="17"/>
        <v>0</v>
      </c>
      <c r="L128" s="600"/>
      <c r="M128" s="600">
        <f t="shared" si="18"/>
        <v>0</v>
      </c>
    </row>
    <row r="129" spans="1:13" ht="13.5" thickBot="1">
      <c r="A129" s="255" t="str">
        <f t="shared" si="19"/>
        <v>Counselors</v>
      </c>
      <c r="B129" s="598" t="s">
        <v>194</v>
      </c>
      <c r="C129" s="602"/>
      <c r="D129" s="602"/>
      <c r="E129" s="600">
        <f t="shared" si="14"/>
        <v>38000</v>
      </c>
      <c r="F129" s="248"/>
      <c r="G129" s="600">
        <f t="shared" si="15"/>
        <v>39140</v>
      </c>
      <c r="H129" s="600"/>
      <c r="I129" s="600">
        <f t="shared" si="16"/>
        <v>40314.200000000004</v>
      </c>
      <c r="J129" s="600"/>
      <c r="K129" s="600">
        <f t="shared" si="17"/>
        <v>41523.626000000004</v>
      </c>
      <c r="L129" s="600"/>
      <c r="M129" s="600">
        <f t="shared" si="18"/>
        <v>42769.334780000005</v>
      </c>
    </row>
    <row r="130" spans="1:13" ht="13.5" thickBot="1">
      <c r="A130" s="255" t="str">
        <f t="shared" si="19"/>
        <v>Librarians</v>
      </c>
      <c r="B130" s="598" t="s">
        <v>194</v>
      </c>
      <c r="C130" s="603">
        <f>SUM(C121:C129)</f>
        <v>0</v>
      </c>
      <c r="D130" s="601"/>
      <c r="E130" s="600">
        <f t="shared" si="14"/>
        <v>0</v>
      </c>
      <c r="F130" s="248"/>
      <c r="G130" s="600">
        <f t="shared" si="15"/>
        <v>0</v>
      </c>
      <c r="H130" s="600"/>
      <c r="I130" s="600">
        <f t="shared" si="16"/>
        <v>0</v>
      </c>
      <c r="J130" s="600"/>
      <c r="K130" s="600">
        <f t="shared" si="17"/>
        <v>0</v>
      </c>
      <c r="L130" s="600"/>
      <c r="M130" s="600">
        <f t="shared" si="18"/>
        <v>0</v>
      </c>
    </row>
    <row r="131" spans="1:13" ht="12.75">
      <c r="A131" s="255" t="str">
        <f t="shared" si="19"/>
        <v>Deans</v>
      </c>
      <c r="B131" s="598" t="s">
        <v>194</v>
      </c>
      <c r="C131" s="604"/>
      <c r="D131" s="604"/>
      <c r="E131" s="600">
        <f t="shared" si="14"/>
        <v>48000</v>
      </c>
      <c r="F131" s="248"/>
      <c r="G131" s="600">
        <f t="shared" si="15"/>
        <v>49440</v>
      </c>
      <c r="H131" s="600"/>
      <c r="I131" s="600">
        <f t="shared" si="16"/>
        <v>101846.40000000001</v>
      </c>
      <c r="J131" s="600"/>
      <c r="K131" s="600">
        <f t="shared" si="17"/>
        <v>104901.79200000002</v>
      </c>
      <c r="L131" s="600"/>
      <c r="M131" s="600">
        <f t="shared" si="18"/>
        <v>108048.84576000003</v>
      </c>
    </row>
    <row r="132" spans="1:13" ht="12.75">
      <c r="A132" s="255" t="str">
        <f t="shared" si="19"/>
        <v>Principal</v>
      </c>
      <c r="B132" s="598" t="s">
        <v>194</v>
      </c>
      <c r="C132" s="601">
        <f>C74*C28</f>
        <v>0</v>
      </c>
      <c r="D132" s="601"/>
      <c r="E132" s="600">
        <f t="shared" si="14"/>
        <v>0</v>
      </c>
      <c r="F132" s="248"/>
      <c r="G132" s="600">
        <f t="shared" si="15"/>
        <v>0</v>
      </c>
      <c r="H132" s="600"/>
      <c r="I132" s="600">
        <f t="shared" si="16"/>
        <v>0</v>
      </c>
      <c r="J132" s="600"/>
      <c r="K132" s="600">
        <f t="shared" si="17"/>
        <v>0</v>
      </c>
      <c r="L132" s="600"/>
      <c r="M132" s="600">
        <f t="shared" si="18"/>
        <v>0</v>
      </c>
    </row>
    <row r="133" spans="1:13" ht="12.75">
      <c r="A133" s="255" t="str">
        <f t="shared" si="19"/>
        <v>Assistant Principal</v>
      </c>
      <c r="B133" s="598" t="s">
        <v>194</v>
      </c>
      <c r="C133" s="601">
        <f>C75*C29</f>
        <v>0</v>
      </c>
      <c r="D133" s="601"/>
      <c r="E133" s="600">
        <f t="shared" si="14"/>
        <v>0</v>
      </c>
      <c r="F133" s="248"/>
      <c r="G133" s="600">
        <f t="shared" si="15"/>
        <v>0</v>
      </c>
      <c r="H133" s="600"/>
      <c r="I133" s="600">
        <f t="shared" si="16"/>
        <v>0</v>
      </c>
      <c r="J133" s="600"/>
      <c r="K133" s="600">
        <f t="shared" si="17"/>
        <v>0</v>
      </c>
      <c r="L133" s="600"/>
      <c r="M133" s="600">
        <f t="shared" si="18"/>
        <v>0</v>
      </c>
    </row>
    <row r="134" spans="1:13" ht="12.75">
      <c r="A134" s="596">
        <f t="shared" si="19"/>
        <v>0</v>
      </c>
      <c r="B134" s="598" t="s">
        <v>194</v>
      </c>
      <c r="C134" s="601">
        <f aca="true" t="shared" si="21" ref="C134:C141">C76*C30</f>
        <v>0</v>
      </c>
      <c r="D134" s="601"/>
      <c r="E134" s="600">
        <f t="shared" si="14"/>
        <v>0</v>
      </c>
      <c r="F134" s="248"/>
      <c r="G134" s="600">
        <f t="shared" si="15"/>
        <v>0</v>
      </c>
      <c r="H134" s="600"/>
      <c r="I134" s="600">
        <f t="shared" si="16"/>
        <v>0</v>
      </c>
      <c r="J134" s="600"/>
      <c r="K134" s="600">
        <f t="shared" si="17"/>
        <v>0</v>
      </c>
      <c r="L134" s="600"/>
      <c r="M134" s="600">
        <f t="shared" si="18"/>
        <v>0</v>
      </c>
    </row>
    <row r="135" spans="1:13" ht="12.75">
      <c r="A135" s="596">
        <f t="shared" si="19"/>
        <v>0</v>
      </c>
      <c r="B135" s="598" t="s">
        <v>194</v>
      </c>
      <c r="C135" s="601">
        <f t="shared" si="21"/>
        <v>0</v>
      </c>
      <c r="D135" s="601"/>
      <c r="E135" s="600">
        <f t="shared" si="14"/>
        <v>0</v>
      </c>
      <c r="F135" s="248"/>
      <c r="G135" s="600">
        <f t="shared" si="15"/>
        <v>0</v>
      </c>
      <c r="H135" s="600"/>
      <c r="I135" s="600">
        <f t="shared" si="16"/>
        <v>0</v>
      </c>
      <c r="J135" s="600"/>
      <c r="K135" s="600">
        <f t="shared" si="17"/>
        <v>0</v>
      </c>
      <c r="L135" s="600"/>
      <c r="M135" s="600">
        <f t="shared" si="18"/>
        <v>0</v>
      </c>
    </row>
    <row r="136" spans="1:13" ht="12.75">
      <c r="A136" s="596">
        <f t="shared" si="19"/>
        <v>0</v>
      </c>
      <c r="B136" s="598" t="s">
        <v>194</v>
      </c>
      <c r="C136" s="601">
        <f t="shared" si="21"/>
        <v>0</v>
      </c>
      <c r="D136" s="601"/>
      <c r="E136" s="600">
        <f t="shared" si="14"/>
        <v>0</v>
      </c>
      <c r="F136" s="248"/>
      <c r="G136" s="600">
        <f t="shared" si="15"/>
        <v>0</v>
      </c>
      <c r="H136" s="600"/>
      <c r="I136" s="600">
        <f t="shared" si="16"/>
        <v>0</v>
      </c>
      <c r="J136" s="600"/>
      <c r="K136" s="600">
        <f t="shared" si="17"/>
        <v>0</v>
      </c>
      <c r="L136" s="600"/>
      <c r="M136" s="600">
        <f t="shared" si="18"/>
        <v>0</v>
      </c>
    </row>
    <row r="137" spans="1:13" ht="12.75">
      <c r="A137" s="596">
        <f t="shared" si="19"/>
        <v>0</v>
      </c>
      <c r="B137" s="598" t="s">
        <v>194</v>
      </c>
      <c r="C137" s="601">
        <f t="shared" si="21"/>
        <v>0</v>
      </c>
      <c r="D137" s="601"/>
      <c r="E137" s="600">
        <f t="shared" si="14"/>
        <v>0</v>
      </c>
      <c r="F137" s="248"/>
      <c r="G137" s="600">
        <f t="shared" si="15"/>
        <v>0</v>
      </c>
      <c r="H137" s="600"/>
      <c r="I137" s="600">
        <f t="shared" si="16"/>
        <v>0</v>
      </c>
      <c r="J137" s="600"/>
      <c r="K137" s="600">
        <f t="shared" si="17"/>
        <v>0</v>
      </c>
      <c r="L137" s="600"/>
      <c r="M137" s="600">
        <f t="shared" si="18"/>
        <v>0</v>
      </c>
    </row>
    <row r="138" spans="1:13" ht="12.75">
      <c r="A138" s="596">
        <f t="shared" si="19"/>
        <v>0</v>
      </c>
      <c r="B138" s="598" t="s">
        <v>194</v>
      </c>
      <c r="C138" s="601">
        <f t="shared" si="21"/>
        <v>0</v>
      </c>
      <c r="D138" s="601"/>
      <c r="E138" s="600">
        <f t="shared" si="14"/>
        <v>0</v>
      </c>
      <c r="F138" s="248"/>
      <c r="G138" s="600">
        <f t="shared" si="15"/>
        <v>0</v>
      </c>
      <c r="H138" s="600"/>
      <c r="I138" s="600">
        <f t="shared" si="16"/>
        <v>0</v>
      </c>
      <c r="J138" s="600"/>
      <c r="K138" s="600">
        <f t="shared" si="17"/>
        <v>0</v>
      </c>
      <c r="L138" s="600"/>
      <c r="M138" s="600">
        <f t="shared" si="18"/>
        <v>0</v>
      </c>
    </row>
    <row r="139" spans="1:13" ht="12.75">
      <c r="A139" s="596">
        <f t="shared" si="19"/>
        <v>0</v>
      </c>
      <c r="B139" s="598" t="s">
        <v>194</v>
      </c>
      <c r="C139" s="601">
        <f t="shared" si="21"/>
        <v>0</v>
      </c>
      <c r="D139" s="601"/>
      <c r="E139" s="600">
        <f t="shared" si="14"/>
        <v>0</v>
      </c>
      <c r="F139" s="248"/>
      <c r="G139" s="600">
        <f t="shared" si="15"/>
        <v>0</v>
      </c>
      <c r="H139" s="600"/>
      <c r="I139" s="600">
        <f t="shared" si="16"/>
        <v>0</v>
      </c>
      <c r="J139" s="600"/>
      <c r="K139" s="600">
        <f t="shared" si="17"/>
        <v>0</v>
      </c>
      <c r="L139" s="600"/>
      <c r="M139" s="600">
        <f t="shared" si="18"/>
        <v>0</v>
      </c>
    </row>
    <row r="140" spans="1:13" ht="12.75">
      <c r="A140" s="596">
        <f t="shared" si="19"/>
        <v>0</v>
      </c>
      <c r="B140" s="598" t="s">
        <v>194</v>
      </c>
      <c r="C140" s="601">
        <f t="shared" si="21"/>
        <v>0</v>
      </c>
      <c r="D140" s="601"/>
      <c r="E140" s="600">
        <f t="shared" si="14"/>
        <v>0</v>
      </c>
      <c r="F140" s="600"/>
      <c r="G140" s="600">
        <f t="shared" si="15"/>
        <v>0</v>
      </c>
      <c r="H140" s="600"/>
      <c r="I140" s="600">
        <f t="shared" si="16"/>
        <v>0</v>
      </c>
      <c r="J140" s="600"/>
      <c r="K140" s="600">
        <f t="shared" si="17"/>
        <v>0</v>
      </c>
      <c r="L140" s="600"/>
      <c r="M140" s="600">
        <f t="shared" si="18"/>
        <v>0</v>
      </c>
    </row>
    <row r="141" spans="1:13" ht="13.5" thickBot="1">
      <c r="A141" s="597">
        <f t="shared" si="19"/>
        <v>0</v>
      </c>
      <c r="B141" s="605" t="s">
        <v>194</v>
      </c>
      <c r="C141" s="606">
        <f t="shared" si="21"/>
        <v>0</v>
      </c>
      <c r="D141" s="606"/>
      <c r="E141" s="607">
        <f t="shared" si="14"/>
        <v>0</v>
      </c>
      <c r="F141" s="607"/>
      <c r="G141" s="607">
        <f t="shared" si="15"/>
        <v>0</v>
      </c>
      <c r="H141" s="607"/>
      <c r="I141" s="607">
        <f t="shared" si="16"/>
        <v>0</v>
      </c>
      <c r="J141" s="607"/>
      <c r="K141" s="607">
        <f t="shared" si="17"/>
        <v>0</v>
      </c>
      <c r="L141" s="607"/>
      <c r="M141" s="607">
        <f t="shared" si="18"/>
        <v>0</v>
      </c>
    </row>
    <row r="142" spans="1:13" ht="13.5" thickBot="1">
      <c r="A142" s="619" t="s">
        <v>211</v>
      </c>
      <c r="B142" s="608"/>
      <c r="C142" s="608"/>
      <c r="D142" s="608"/>
      <c r="E142" s="609">
        <f>SUM(E119:E141)</f>
        <v>291000</v>
      </c>
      <c r="F142" s="610"/>
      <c r="G142" s="609">
        <f>SUM(G119:G141)</f>
        <v>428480</v>
      </c>
      <c r="H142" s="610"/>
      <c r="I142" s="609">
        <f>SUM(I119:I141)</f>
        <v>640783.6</v>
      </c>
      <c r="J142" s="610"/>
      <c r="K142" s="609">
        <f>SUM(K119:K141)</f>
        <v>812988.888</v>
      </c>
      <c r="L142" s="610"/>
      <c r="M142" s="609">
        <f>SUM(M119:M141)</f>
        <v>1017459.9642400001</v>
      </c>
    </row>
    <row r="143" spans="1:13" ht="13.5" thickBot="1">
      <c r="A143" s="620" t="s">
        <v>454</v>
      </c>
      <c r="B143" s="611"/>
      <c r="C143" s="612"/>
      <c r="D143" s="612"/>
      <c r="E143" s="612"/>
      <c r="F143" s="612"/>
      <c r="G143" s="612"/>
      <c r="H143" s="612"/>
      <c r="I143" s="612"/>
      <c r="J143" s="612"/>
      <c r="K143" s="612"/>
      <c r="L143" s="612"/>
      <c r="M143" s="612"/>
    </row>
    <row r="144" spans="1:13" ht="12.75">
      <c r="A144" s="583" t="s">
        <v>212</v>
      </c>
      <c r="B144" s="613" t="s">
        <v>194</v>
      </c>
      <c r="C144" s="256"/>
      <c r="D144" s="256"/>
      <c r="E144" s="263"/>
      <c r="F144" s="263"/>
      <c r="G144" s="263"/>
      <c r="H144" s="263"/>
      <c r="I144" s="263"/>
      <c r="J144" s="263"/>
      <c r="K144" s="263"/>
      <c r="L144" s="263"/>
      <c r="M144" s="263"/>
    </row>
    <row r="145" spans="1:13" ht="12.75">
      <c r="A145" s="583" t="s">
        <v>213</v>
      </c>
      <c r="B145" s="613" t="s">
        <v>194</v>
      </c>
      <c r="C145" s="256"/>
      <c r="D145" s="256"/>
      <c r="E145" s="263"/>
      <c r="F145" s="263"/>
      <c r="G145" s="263"/>
      <c r="H145" s="263"/>
      <c r="I145" s="263"/>
      <c r="J145" s="263"/>
      <c r="K145" s="263"/>
      <c r="L145" s="263"/>
      <c r="M145" s="263"/>
    </row>
    <row r="146" spans="1:13" ht="12.75">
      <c r="A146" s="583" t="s">
        <v>214</v>
      </c>
      <c r="B146" s="613" t="s">
        <v>194</v>
      </c>
      <c r="C146" s="256"/>
      <c r="D146" s="256"/>
      <c r="E146" s="263"/>
      <c r="F146" s="263"/>
      <c r="G146" s="263"/>
      <c r="H146" s="263"/>
      <c r="I146" s="263"/>
      <c r="J146" s="263"/>
      <c r="K146" s="263"/>
      <c r="L146" s="263"/>
      <c r="M146" s="263"/>
    </row>
    <row r="147" spans="1:13" ht="13.5" thickBot="1">
      <c r="A147" s="584" t="s">
        <v>215</v>
      </c>
      <c r="B147" s="613" t="s">
        <v>194</v>
      </c>
      <c r="C147" s="256"/>
      <c r="D147" s="256"/>
      <c r="E147" s="589">
        <v>5000</v>
      </c>
      <c r="F147" s="589"/>
      <c r="G147" s="589">
        <v>6500</v>
      </c>
      <c r="H147" s="589"/>
      <c r="I147" s="589">
        <v>7500</v>
      </c>
      <c r="J147" s="589"/>
      <c r="K147" s="589">
        <v>8500</v>
      </c>
      <c r="L147" s="589"/>
      <c r="M147" s="589">
        <v>10000</v>
      </c>
    </row>
    <row r="148" spans="1:13" ht="13.5" thickBot="1">
      <c r="A148" s="619" t="s">
        <v>216</v>
      </c>
      <c r="B148" s="614"/>
      <c r="C148" s="257"/>
      <c r="D148" s="257"/>
      <c r="E148" s="609">
        <f>SUM(E144:E147)</f>
        <v>5000</v>
      </c>
      <c r="F148" s="615"/>
      <c r="G148" s="609">
        <f>SUM(G144:G147)</f>
        <v>6500</v>
      </c>
      <c r="H148" s="610"/>
      <c r="I148" s="609">
        <f>SUM(I144:I147)</f>
        <v>7500</v>
      </c>
      <c r="J148" s="610"/>
      <c r="K148" s="609">
        <f>SUM(K144:K147)</f>
        <v>8500</v>
      </c>
      <c r="L148" s="610"/>
      <c r="M148" s="609">
        <f>SUM(M144:M147)</f>
        <v>10000</v>
      </c>
    </row>
    <row r="149" spans="1:13" ht="13.5" thickBot="1">
      <c r="A149" s="618" t="str">
        <f aca="true" t="shared" si="22" ref="A149:A176">A30</f>
        <v>Positions that Do NOT Participate in the Chicago Teachers' Pension Fund (CTPF):         </v>
      </c>
      <c r="B149" s="259"/>
      <c r="C149" s="260"/>
      <c r="D149" s="260"/>
      <c r="E149" s="261"/>
      <c r="F149" s="261"/>
      <c r="G149" s="261"/>
      <c r="H149" s="261"/>
      <c r="I149" s="261"/>
      <c r="J149" s="261"/>
      <c r="K149" s="261"/>
      <c r="L149" s="261"/>
      <c r="M149" s="262"/>
    </row>
    <row r="150" spans="1:13" ht="12.75">
      <c r="A150" s="238" t="str">
        <f t="shared" si="22"/>
        <v>Teachers</v>
      </c>
      <c r="B150" s="580" t="s">
        <v>194</v>
      </c>
      <c r="C150" s="258">
        <f aca="true" t="shared" si="23" ref="C150:C166">C85*C39</f>
        <v>0</v>
      </c>
      <c r="D150" s="258"/>
      <c r="E150" s="604">
        <f>E31*E89</f>
        <v>0</v>
      </c>
      <c r="F150" s="604"/>
      <c r="G150" s="604">
        <f>G31*G89</f>
        <v>0</v>
      </c>
      <c r="H150" s="604"/>
      <c r="I150" s="604">
        <f aca="true" t="shared" si="24" ref="I150:I176">I31*I89</f>
        <v>0</v>
      </c>
      <c r="J150" s="604"/>
      <c r="K150" s="604">
        <f aca="true" t="shared" si="25" ref="K150:K176">K31*K89</f>
        <v>0</v>
      </c>
      <c r="L150" s="604"/>
      <c r="M150" s="604">
        <f aca="true" t="shared" si="26" ref="M150:M176">M31*M89</f>
        <v>0</v>
      </c>
    </row>
    <row r="151" spans="1:13" ht="12.75">
      <c r="A151" s="750" t="str">
        <f t="shared" si="22"/>
        <v>SPED Teachers (reimbursed by CPS)</v>
      </c>
      <c r="B151" s="580" t="s">
        <v>194</v>
      </c>
      <c r="C151" s="256">
        <f t="shared" si="23"/>
        <v>0</v>
      </c>
      <c r="D151" s="256"/>
      <c r="E151" s="604">
        <f aca="true" t="shared" si="27" ref="E151:E176">E32*E90</f>
        <v>0</v>
      </c>
      <c r="F151" s="600"/>
      <c r="G151" s="604">
        <f aca="true" t="shared" si="28" ref="G151:G176">G32*G90</f>
        <v>0</v>
      </c>
      <c r="H151" s="600"/>
      <c r="I151" s="604">
        <f t="shared" si="24"/>
        <v>0</v>
      </c>
      <c r="J151" s="600"/>
      <c r="K151" s="604">
        <f t="shared" si="25"/>
        <v>0</v>
      </c>
      <c r="L151" s="600"/>
      <c r="M151" s="604">
        <f t="shared" si="26"/>
        <v>0</v>
      </c>
    </row>
    <row r="152" spans="1:13" ht="12.75">
      <c r="A152" s="750" t="str">
        <f t="shared" si="22"/>
        <v>SPED Aides (reimbursed by CPS)</v>
      </c>
      <c r="B152" s="580" t="s">
        <v>194</v>
      </c>
      <c r="C152" s="256">
        <f t="shared" si="23"/>
        <v>0</v>
      </c>
      <c r="D152" s="256"/>
      <c r="E152" s="604">
        <f t="shared" si="27"/>
        <v>0</v>
      </c>
      <c r="F152" s="600"/>
      <c r="G152" s="604">
        <f t="shared" si="28"/>
        <v>0</v>
      </c>
      <c r="H152" s="600"/>
      <c r="I152" s="604">
        <f t="shared" si="24"/>
        <v>0</v>
      </c>
      <c r="J152" s="600"/>
      <c r="K152" s="604">
        <f t="shared" si="25"/>
        <v>0</v>
      </c>
      <c r="L152" s="600"/>
      <c r="M152" s="604">
        <f t="shared" si="26"/>
        <v>0</v>
      </c>
    </row>
    <row r="153" spans="1:13" ht="12.75">
      <c r="A153" s="750" t="str">
        <f t="shared" si="22"/>
        <v>SPED Clinicians-Psychologist (reimbursed by CPS)</v>
      </c>
      <c r="B153" s="580" t="s">
        <v>194</v>
      </c>
      <c r="C153" s="256">
        <f t="shared" si="23"/>
        <v>0</v>
      </c>
      <c r="D153" s="256"/>
      <c r="E153" s="604">
        <f t="shared" si="27"/>
        <v>0</v>
      </c>
      <c r="F153" s="600"/>
      <c r="G153" s="604">
        <f t="shared" si="28"/>
        <v>0</v>
      </c>
      <c r="H153" s="600"/>
      <c r="I153" s="604">
        <f t="shared" si="24"/>
        <v>0</v>
      </c>
      <c r="J153" s="600"/>
      <c r="K153" s="604">
        <f t="shared" si="25"/>
        <v>0</v>
      </c>
      <c r="L153" s="600"/>
      <c r="M153" s="604">
        <f t="shared" si="26"/>
        <v>0</v>
      </c>
    </row>
    <row r="154" spans="1:13" ht="12.75">
      <c r="A154" s="750" t="str">
        <f t="shared" si="22"/>
        <v>SPED Clinicians-Social Worker (reimbursed by CPS)</v>
      </c>
      <c r="B154" s="580" t="s">
        <v>194</v>
      </c>
      <c r="C154" s="256">
        <f t="shared" si="23"/>
        <v>0</v>
      </c>
      <c r="D154" s="256"/>
      <c r="E154" s="604">
        <f t="shared" si="27"/>
        <v>0</v>
      </c>
      <c r="F154" s="600"/>
      <c r="G154" s="604">
        <f t="shared" si="28"/>
        <v>0</v>
      </c>
      <c r="H154" s="600"/>
      <c r="I154" s="604">
        <f t="shared" si="24"/>
        <v>0</v>
      </c>
      <c r="J154" s="600"/>
      <c r="K154" s="604">
        <f t="shared" si="25"/>
        <v>0</v>
      </c>
      <c r="L154" s="600"/>
      <c r="M154" s="604">
        <f t="shared" si="26"/>
        <v>0</v>
      </c>
    </row>
    <row r="155" spans="1:13" ht="12.75">
      <c r="A155" s="750" t="str">
        <f t="shared" si="22"/>
        <v>SPED Clinicians-Speech Therapist (reimbursed by CPS)</v>
      </c>
      <c r="B155" s="580" t="s">
        <v>194</v>
      </c>
      <c r="C155" s="256">
        <f t="shared" si="23"/>
        <v>0</v>
      </c>
      <c r="D155" s="256"/>
      <c r="E155" s="604">
        <f t="shared" si="27"/>
        <v>0</v>
      </c>
      <c r="F155" s="600"/>
      <c r="G155" s="604">
        <f t="shared" si="28"/>
        <v>0</v>
      </c>
      <c r="H155" s="600"/>
      <c r="I155" s="604">
        <f t="shared" si="24"/>
        <v>0</v>
      </c>
      <c r="J155" s="600"/>
      <c r="K155" s="604">
        <f t="shared" si="25"/>
        <v>0</v>
      </c>
      <c r="L155" s="600"/>
      <c r="M155" s="604">
        <f t="shared" si="26"/>
        <v>0</v>
      </c>
    </row>
    <row r="156" spans="1:13" ht="12.75">
      <c r="A156" s="750" t="str">
        <f t="shared" si="22"/>
        <v>SPED Clinicians-Physical Therapist (reimbursed by CPS)</v>
      </c>
      <c r="B156" s="580" t="s">
        <v>194</v>
      </c>
      <c r="C156" s="256">
        <f t="shared" si="23"/>
        <v>0</v>
      </c>
      <c r="D156" s="256"/>
      <c r="E156" s="604">
        <f t="shared" si="27"/>
        <v>0</v>
      </c>
      <c r="F156" s="600"/>
      <c r="G156" s="604">
        <f t="shared" si="28"/>
        <v>0</v>
      </c>
      <c r="H156" s="600"/>
      <c r="I156" s="604">
        <f t="shared" si="24"/>
        <v>0</v>
      </c>
      <c r="J156" s="600"/>
      <c r="K156" s="604">
        <f t="shared" si="25"/>
        <v>0</v>
      </c>
      <c r="L156" s="600"/>
      <c r="M156" s="604">
        <f t="shared" si="26"/>
        <v>0</v>
      </c>
    </row>
    <row r="157" spans="1:13" ht="12.75">
      <c r="A157" s="750" t="str">
        <f t="shared" si="22"/>
        <v>SPED Clinicians-Occupational Therapist (reimbursed by CPS)</v>
      </c>
      <c r="B157" s="580" t="s">
        <v>194</v>
      </c>
      <c r="C157" s="256">
        <f t="shared" si="23"/>
        <v>0</v>
      </c>
      <c r="D157" s="256"/>
      <c r="E157" s="604">
        <f t="shared" si="27"/>
        <v>0</v>
      </c>
      <c r="F157" s="600"/>
      <c r="G157" s="604">
        <f t="shared" si="28"/>
        <v>0</v>
      </c>
      <c r="H157" s="600"/>
      <c r="I157" s="604">
        <f t="shared" si="24"/>
        <v>0</v>
      </c>
      <c r="J157" s="600"/>
      <c r="K157" s="604">
        <f t="shared" si="25"/>
        <v>0</v>
      </c>
      <c r="L157" s="600"/>
      <c r="M157" s="604">
        <f t="shared" si="26"/>
        <v>0</v>
      </c>
    </row>
    <row r="158" spans="1:13" ht="12.75">
      <c r="A158" s="750" t="str">
        <f t="shared" si="22"/>
        <v>SPED Clinicians-Nurse (reimbursed by CPS)</v>
      </c>
      <c r="B158" s="580" t="s">
        <v>194</v>
      </c>
      <c r="C158" s="256">
        <f t="shared" si="23"/>
        <v>0</v>
      </c>
      <c r="D158" s="256"/>
      <c r="E158" s="604">
        <f t="shared" si="27"/>
        <v>0</v>
      </c>
      <c r="F158" s="600"/>
      <c r="G158" s="604">
        <f t="shared" si="28"/>
        <v>0</v>
      </c>
      <c r="H158" s="600"/>
      <c r="I158" s="604">
        <f t="shared" si="24"/>
        <v>0</v>
      </c>
      <c r="J158" s="600"/>
      <c r="K158" s="604">
        <f t="shared" si="25"/>
        <v>0</v>
      </c>
      <c r="L158" s="600"/>
      <c r="M158" s="604">
        <f t="shared" si="26"/>
        <v>0</v>
      </c>
    </row>
    <row r="159" spans="1:13" ht="12.75">
      <c r="A159" s="255" t="str">
        <f t="shared" si="22"/>
        <v>Teacher Assistants/Aides</v>
      </c>
      <c r="B159" s="580" t="s">
        <v>194</v>
      </c>
      <c r="C159" s="256">
        <f t="shared" si="23"/>
        <v>0</v>
      </c>
      <c r="D159" s="256"/>
      <c r="E159" s="604">
        <f t="shared" si="27"/>
        <v>0</v>
      </c>
      <c r="F159" s="600"/>
      <c r="G159" s="604">
        <f t="shared" si="28"/>
        <v>0</v>
      </c>
      <c r="H159" s="600"/>
      <c r="I159" s="604">
        <f t="shared" si="24"/>
        <v>0</v>
      </c>
      <c r="J159" s="600"/>
      <c r="K159" s="604">
        <f t="shared" si="25"/>
        <v>0</v>
      </c>
      <c r="L159" s="600"/>
      <c r="M159" s="604">
        <f t="shared" si="26"/>
        <v>0</v>
      </c>
    </row>
    <row r="160" spans="1:13" ht="12.75">
      <c r="A160" s="255" t="str">
        <f t="shared" si="22"/>
        <v>Counselors</v>
      </c>
      <c r="B160" s="580" t="s">
        <v>194</v>
      </c>
      <c r="C160" s="256">
        <f t="shared" si="23"/>
        <v>0</v>
      </c>
      <c r="D160" s="256"/>
      <c r="E160" s="604">
        <f t="shared" si="27"/>
        <v>0</v>
      </c>
      <c r="F160" s="600"/>
      <c r="G160" s="604">
        <f t="shared" si="28"/>
        <v>0</v>
      </c>
      <c r="H160" s="600"/>
      <c r="I160" s="604">
        <f t="shared" si="24"/>
        <v>0</v>
      </c>
      <c r="J160" s="600"/>
      <c r="K160" s="604">
        <f t="shared" si="25"/>
        <v>0</v>
      </c>
      <c r="L160" s="600"/>
      <c r="M160" s="604">
        <f t="shared" si="26"/>
        <v>0</v>
      </c>
    </row>
    <row r="161" spans="1:13" ht="12.75">
      <c r="A161" s="255" t="str">
        <f t="shared" si="22"/>
        <v>Deans</v>
      </c>
      <c r="B161" s="580" t="s">
        <v>194</v>
      </c>
      <c r="C161" s="256">
        <f t="shared" si="23"/>
        <v>0</v>
      </c>
      <c r="D161" s="256"/>
      <c r="E161" s="604">
        <f t="shared" si="27"/>
        <v>0</v>
      </c>
      <c r="F161" s="600"/>
      <c r="G161" s="604">
        <f t="shared" si="28"/>
        <v>0</v>
      </c>
      <c r="H161" s="600"/>
      <c r="I161" s="604">
        <f t="shared" si="24"/>
        <v>0</v>
      </c>
      <c r="J161" s="600"/>
      <c r="K161" s="604">
        <f t="shared" si="25"/>
        <v>0</v>
      </c>
      <c r="L161" s="600"/>
      <c r="M161" s="604">
        <f t="shared" si="26"/>
        <v>0</v>
      </c>
    </row>
    <row r="162" spans="1:13" ht="12.75">
      <c r="A162" s="255" t="str">
        <f t="shared" si="22"/>
        <v>Principal</v>
      </c>
      <c r="B162" s="580" t="s">
        <v>194</v>
      </c>
      <c r="C162" s="256">
        <f t="shared" si="23"/>
        <v>0</v>
      </c>
      <c r="D162" s="256"/>
      <c r="E162" s="604">
        <f t="shared" si="27"/>
        <v>0</v>
      </c>
      <c r="F162" s="600"/>
      <c r="G162" s="604">
        <f t="shared" si="28"/>
        <v>0</v>
      </c>
      <c r="H162" s="600"/>
      <c r="I162" s="604">
        <f t="shared" si="24"/>
        <v>0</v>
      </c>
      <c r="J162" s="600"/>
      <c r="K162" s="604">
        <f t="shared" si="25"/>
        <v>0</v>
      </c>
      <c r="L162" s="600"/>
      <c r="M162" s="604">
        <f t="shared" si="26"/>
        <v>0</v>
      </c>
    </row>
    <row r="163" spans="1:13" ht="12.75">
      <c r="A163" s="255" t="str">
        <f t="shared" si="22"/>
        <v>Assistant Principal</v>
      </c>
      <c r="B163" s="580" t="s">
        <v>194</v>
      </c>
      <c r="C163" s="256">
        <f t="shared" si="23"/>
        <v>0</v>
      </c>
      <c r="D163" s="256"/>
      <c r="E163" s="604">
        <f t="shared" si="27"/>
        <v>0</v>
      </c>
      <c r="F163" s="600"/>
      <c r="G163" s="604">
        <f t="shared" si="28"/>
        <v>0</v>
      </c>
      <c r="H163" s="600"/>
      <c r="I163" s="604">
        <f t="shared" si="24"/>
        <v>0</v>
      </c>
      <c r="J163" s="600"/>
      <c r="K163" s="604">
        <f t="shared" si="25"/>
        <v>0</v>
      </c>
      <c r="L163" s="600"/>
      <c r="M163" s="604">
        <f t="shared" si="26"/>
        <v>0</v>
      </c>
    </row>
    <row r="164" spans="1:13" ht="12.75">
      <c r="A164" s="255" t="str">
        <f t="shared" si="22"/>
        <v>Librarians</v>
      </c>
      <c r="B164" s="580" t="s">
        <v>194</v>
      </c>
      <c r="C164" s="256">
        <f t="shared" si="23"/>
        <v>0</v>
      </c>
      <c r="D164" s="256"/>
      <c r="E164" s="604">
        <f t="shared" si="27"/>
        <v>0</v>
      </c>
      <c r="F164" s="600"/>
      <c r="G164" s="604">
        <f t="shared" si="28"/>
        <v>0</v>
      </c>
      <c r="H164" s="600"/>
      <c r="I164" s="604">
        <f t="shared" si="24"/>
        <v>0</v>
      </c>
      <c r="J164" s="600"/>
      <c r="K164" s="604">
        <f t="shared" si="25"/>
        <v>0</v>
      </c>
      <c r="L164" s="600"/>
      <c r="M164" s="604">
        <f t="shared" si="26"/>
        <v>0</v>
      </c>
    </row>
    <row r="165" spans="1:13" ht="12.75">
      <c r="A165" s="255" t="str">
        <f t="shared" si="22"/>
        <v>Custodians</v>
      </c>
      <c r="B165" s="580" t="s">
        <v>194</v>
      </c>
      <c r="C165" s="256">
        <f t="shared" si="23"/>
        <v>0</v>
      </c>
      <c r="D165" s="256"/>
      <c r="E165" s="604">
        <f t="shared" si="27"/>
        <v>0</v>
      </c>
      <c r="F165" s="600"/>
      <c r="G165" s="604">
        <f t="shared" si="28"/>
        <v>0</v>
      </c>
      <c r="H165" s="600"/>
      <c r="I165" s="604">
        <f t="shared" si="24"/>
        <v>0</v>
      </c>
      <c r="J165" s="600"/>
      <c r="K165" s="604">
        <f t="shared" si="25"/>
        <v>0</v>
      </c>
      <c r="L165" s="600"/>
      <c r="M165" s="604">
        <f t="shared" si="26"/>
        <v>0</v>
      </c>
    </row>
    <row r="166" spans="1:13" ht="12.75">
      <c r="A166" s="255" t="str">
        <f t="shared" si="22"/>
        <v>Security</v>
      </c>
      <c r="B166" s="580" t="s">
        <v>194</v>
      </c>
      <c r="C166" s="256">
        <f t="shared" si="23"/>
        <v>0</v>
      </c>
      <c r="D166" s="256"/>
      <c r="E166" s="604">
        <f t="shared" si="27"/>
        <v>0</v>
      </c>
      <c r="F166" s="600"/>
      <c r="G166" s="604">
        <f t="shared" si="28"/>
        <v>0</v>
      </c>
      <c r="H166" s="600"/>
      <c r="I166" s="604">
        <f t="shared" si="24"/>
        <v>0</v>
      </c>
      <c r="J166" s="600"/>
      <c r="K166" s="604">
        <f t="shared" si="25"/>
        <v>0</v>
      </c>
      <c r="L166" s="600"/>
      <c r="M166" s="604">
        <f t="shared" si="26"/>
        <v>0</v>
      </c>
    </row>
    <row r="167" spans="1:13" ht="12.75">
      <c r="A167" s="255" t="str">
        <f t="shared" si="22"/>
        <v>Full-Time Executive Team (i.e., CEO's, COO, CFO, Directors, etc.)</v>
      </c>
      <c r="B167" s="580" t="s">
        <v>194</v>
      </c>
      <c r="C167" s="256">
        <f>C100*C54</f>
        <v>0</v>
      </c>
      <c r="D167" s="256"/>
      <c r="E167" s="604">
        <f t="shared" si="27"/>
        <v>0</v>
      </c>
      <c r="F167" s="600"/>
      <c r="G167" s="604">
        <f t="shared" si="28"/>
        <v>0</v>
      </c>
      <c r="H167" s="600"/>
      <c r="I167" s="604">
        <f t="shared" si="24"/>
        <v>0</v>
      </c>
      <c r="J167" s="600"/>
      <c r="K167" s="604">
        <f t="shared" si="25"/>
        <v>0</v>
      </c>
      <c r="L167" s="600"/>
      <c r="M167" s="604">
        <f t="shared" si="26"/>
        <v>0</v>
      </c>
    </row>
    <row r="168" spans="1:13" ht="12.75">
      <c r="A168" s="255" t="str">
        <f t="shared" si="22"/>
        <v>Full-Time Administrative Staff</v>
      </c>
      <c r="B168" s="580" t="s">
        <v>194</v>
      </c>
      <c r="C168" s="256"/>
      <c r="D168" s="256"/>
      <c r="E168" s="604">
        <f t="shared" si="27"/>
        <v>27000</v>
      </c>
      <c r="F168" s="600"/>
      <c r="G168" s="604">
        <f t="shared" si="28"/>
        <v>27810</v>
      </c>
      <c r="H168" s="600"/>
      <c r="I168" s="604">
        <f t="shared" si="24"/>
        <v>28644.3</v>
      </c>
      <c r="J168" s="600"/>
      <c r="K168" s="604">
        <f t="shared" si="25"/>
        <v>29503.629</v>
      </c>
      <c r="L168" s="600"/>
      <c r="M168" s="604">
        <f t="shared" si="26"/>
        <v>30388.73787</v>
      </c>
    </row>
    <row r="169" spans="1:13" ht="12.75">
      <c r="A169" s="596" t="str">
        <f t="shared" si="22"/>
        <v>Technology</v>
      </c>
      <c r="B169" s="580" t="s">
        <v>194</v>
      </c>
      <c r="C169" s="256" t="e">
        <f>C104*#REF!</f>
        <v>#REF!</v>
      </c>
      <c r="D169" s="256"/>
      <c r="E169" s="604">
        <f t="shared" si="27"/>
        <v>30000</v>
      </c>
      <c r="F169" s="600"/>
      <c r="G169" s="604">
        <f t="shared" si="28"/>
        <v>30900</v>
      </c>
      <c r="H169" s="600"/>
      <c r="I169" s="604">
        <f t="shared" si="24"/>
        <v>31827</v>
      </c>
      <c r="J169" s="600"/>
      <c r="K169" s="604">
        <f t="shared" si="25"/>
        <v>32781.81</v>
      </c>
      <c r="L169" s="600"/>
      <c r="M169" s="604">
        <f t="shared" si="26"/>
        <v>33765.264299999995</v>
      </c>
    </row>
    <row r="170" spans="1:13" ht="12.75">
      <c r="A170" s="596" t="str">
        <f t="shared" si="22"/>
        <v>Subs</v>
      </c>
      <c r="B170" s="580" t="s">
        <v>194</v>
      </c>
      <c r="C170" s="256" t="e">
        <f>C105*#REF!</f>
        <v>#REF!</v>
      </c>
      <c r="D170" s="256"/>
      <c r="E170" s="604">
        <f t="shared" si="27"/>
        <v>3000</v>
      </c>
      <c r="F170" s="600"/>
      <c r="G170" s="604">
        <f t="shared" si="28"/>
        <v>4120</v>
      </c>
      <c r="H170" s="600"/>
      <c r="I170" s="604">
        <f t="shared" si="24"/>
        <v>5304.5</v>
      </c>
      <c r="J170" s="600"/>
      <c r="K170" s="604">
        <f t="shared" si="25"/>
        <v>5463.635</v>
      </c>
      <c r="L170" s="600"/>
      <c r="M170" s="604">
        <f t="shared" si="26"/>
        <v>5627.54405</v>
      </c>
    </row>
    <row r="171" spans="1:13" ht="12.75">
      <c r="A171" s="596">
        <f t="shared" si="22"/>
        <v>0</v>
      </c>
      <c r="B171" s="580" t="s">
        <v>194</v>
      </c>
      <c r="C171" s="256" t="e">
        <f>C106*#REF!</f>
        <v>#REF!</v>
      </c>
      <c r="D171" s="256"/>
      <c r="E171" s="604">
        <f t="shared" si="27"/>
        <v>0</v>
      </c>
      <c r="F171" s="600"/>
      <c r="G171" s="604">
        <f t="shared" si="28"/>
        <v>0</v>
      </c>
      <c r="H171" s="600"/>
      <c r="I171" s="604">
        <f t="shared" si="24"/>
        <v>0</v>
      </c>
      <c r="J171" s="600"/>
      <c r="K171" s="604">
        <f t="shared" si="25"/>
        <v>0</v>
      </c>
      <c r="L171" s="600"/>
      <c r="M171" s="604">
        <f t="shared" si="26"/>
        <v>0</v>
      </c>
    </row>
    <row r="172" spans="1:13" ht="12.75">
      <c r="A172" s="596">
        <f t="shared" si="22"/>
        <v>0</v>
      </c>
      <c r="B172" s="580" t="s">
        <v>194</v>
      </c>
      <c r="C172" s="256" t="e">
        <f>C107*#REF!</f>
        <v>#REF!</v>
      </c>
      <c r="D172" s="256"/>
      <c r="E172" s="604">
        <f t="shared" si="27"/>
        <v>0</v>
      </c>
      <c r="F172" s="600"/>
      <c r="G172" s="604">
        <f t="shared" si="28"/>
        <v>0</v>
      </c>
      <c r="H172" s="600"/>
      <c r="I172" s="604">
        <f t="shared" si="24"/>
        <v>0</v>
      </c>
      <c r="J172" s="600"/>
      <c r="K172" s="604">
        <f t="shared" si="25"/>
        <v>0</v>
      </c>
      <c r="L172" s="600"/>
      <c r="M172" s="604">
        <f t="shared" si="26"/>
        <v>0</v>
      </c>
    </row>
    <row r="173" spans="1:13" ht="12.75">
      <c r="A173" s="596">
        <f t="shared" si="22"/>
        <v>0</v>
      </c>
      <c r="B173" s="580" t="s">
        <v>194</v>
      </c>
      <c r="C173" s="256" t="e">
        <f>C111*#REF!</f>
        <v>#REF!</v>
      </c>
      <c r="D173" s="256"/>
      <c r="E173" s="604">
        <f t="shared" si="27"/>
        <v>0</v>
      </c>
      <c r="F173" s="600"/>
      <c r="G173" s="604">
        <f t="shared" si="28"/>
        <v>0</v>
      </c>
      <c r="H173" s="600"/>
      <c r="I173" s="604">
        <f t="shared" si="24"/>
        <v>0</v>
      </c>
      <c r="J173" s="600"/>
      <c r="K173" s="604">
        <f t="shared" si="25"/>
        <v>0</v>
      </c>
      <c r="L173" s="600"/>
      <c r="M173" s="604">
        <f t="shared" si="26"/>
        <v>0</v>
      </c>
    </row>
    <row r="174" spans="1:13" ht="12.75">
      <c r="A174" s="596">
        <f t="shared" si="22"/>
        <v>0</v>
      </c>
      <c r="B174" s="580" t="s">
        <v>194</v>
      </c>
      <c r="C174" s="256" t="e">
        <f>C112*#REF!</f>
        <v>#REF!</v>
      </c>
      <c r="D174" s="256"/>
      <c r="E174" s="604">
        <f t="shared" si="27"/>
        <v>0</v>
      </c>
      <c r="F174" s="600"/>
      <c r="G174" s="604">
        <f t="shared" si="28"/>
        <v>0</v>
      </c>
      <c r="H174" s="600"/>
      <c r="I174" s="604">
        <f t="shared" si="24"/>
        <v>0</v>
      </c>
      <c r="J174" s="600"/>
      <c r="K174" s="604">
        <f t="shared" si="25"/>
        <v>0</v>
      </c>
      <c r="L174" s="600"/>
      <c r="M174" s="604">
        <f t="shared" si="26"/>
        <v>0</v>
      </c>
    </row>
    <row r="175" spans="1:13" ht="12.75">
      <c r="A175" s="596">
        <f t="shared" si="22"/>
        <v>0</v>
      </c>
      <c r="B175" s="580" t="s">
        <v>194</v>
      </c>
      <c r="C175" s="256" t="e">
        <f>C113*#REF!</f>
        <v>#REF!</v>
      </c>
      <c r="D175" s="256"/>
      <c r="E175" s="604">
        <f t="shared" si="27"/>
        <v>0</v>
      </c>
      <c r="F175" s="600"/>
      <c r="G175" s="604">
        <f t="shared" si="28"/>
        <v>0</v>
      </c>
      <c r="H175" s="600"/>
      <c r="I175" s="604">
        <f t="shared" si="24"/>
        <v>0</v>
      </c>
      <c r="J175" s="600"/>
      <c r="K175" s="604">
        <f t="shared" si="25"/>
        <v>0</v>
      </c>
      <c r="L175" s="600"/>
      <c r="M175" s="604">
        <f t="shared" si="26"/>
        <v>0</v>
      </c>
    </row>
    <row r="176" spans="1:13" ht="13.5" thickBot="1">
      <c r="A176" s="616">
        <f t="shared" si="22"/>
        <v>0</v>
      </c>
      <c r="B176" s="580" t="s">
        <v>194</v>
      </c>
      <c r="C176" s="256" t="e">
        <f>C115*#REF!</f>
        <v>#REF!</v>
      </c>
      <c r="D176" s="256"/>
      <c r="E176" s="604">
        <f t="shared" si="27"/>
        <v>0</v>
      </c>
      <c r="F176" s="600"/>
      <c r="G176" s="604">
        <f t="shared" si="28"/>
        <v>0</v>
      </c>
      <c r="H176" s="600"/>
      <c r="I176" s="604">
        <f t="shared" si="24"/>
        <v>0</v>
      </c>
      <c r="J176" s="600"/>
      <c r="K176" s="604">
        <f t="shared" si="25"/>
        <v>0</v>
      </c>
      <c r="L176" s="600"/>
      <c r="M176" s="604">
        <f t="shared" si="26"/>
        <v>0</v>
      </c>
    </row>
    <row r="177" spans="1:13" ht="13.5" thickBot="1">
      <c r="A177" s="628" t="s">
        <v>455</v>
      </c>
      <c r="B177" s="580"/>
      <c r="C177" s="256"/>
      <c r="D177" s="256"/>
      <c r="E177" s="604"/>
      <c r="F177" s="600"/>
      <c r="G177" s="604"/>
      <c r="H177" s="600"/>
      <c r="I177" s="604"/>
      <c r="J177" s="600"/>
      <c r="K177" s="604"/>
      <c r="L177" s="600"/>
      <c r="M177" s="604"/>
    </row>
    <row r="178" spans="1:13" ht="12.75">
      <c r="A178" s="585" t="s">
        <v>217</v>
      </c>
      <c r="B178" s="580" t="s">
        <v>194</v>
      </c>
      <c r="C178" s="256"/>
      <c r="D178" s="256"/>
      <c r="E178" s="263"/>
      <c r="F178" s="263"/>
      <c r="G178" s="263"/>
      <c r="H178" s="263"/>
      <c r="I178" s="263"/>
      <c r="J178" s="263"/>
      <c r="K178" s="263"/>
      <c r="L178" s="263"/>
      <c r="M178" s="263"/>
    </row>
    <row r="179" spans="1:13" ht="12.75">
      <c r="A179" s="586" t="s">
        <v>218</v>
      </c>
      <c r="B179" s="580" t="s">
        <v>194</v>
      </c>
      <c r="C179" s="256"/>
      <c r="D179" s="256"/>
      <c r="E179" s="263"/>
      <c r="F179" s="263"/>
      <c r="G179" s="263"/>
      <c r="H179" s="263"/>
      <c r="I179" s="263"/>
      <c r="J179" s="263"/>
      <c r="K179" s="263"/>
      <c r="L179" s="263"/>
      <c r="M179" s="263"/>
    </row>
    <row r="180" spans="1:13" ht="13.5" thickBot="1">
      <c r="A180" s="587" t="s">
        <v>219</v>
      </c>
      <c r="B180" s="580" t="s">
        <v>194</v>
      </c>
      <c r="C180" s="264"/>
      <c r="D180" s="264"/>
      <c r="E180" s="263"/>
      <c r="F180" s="265"/>
      <c r="G180" s="263"/>
      <c r="H180" s="265"/>
      <c r="I180" s="263"/>
      <c r="J180" s="265"/>
      <c r="K180" s="263"/>
      <c r="L180" s="265"/>
      <c r="M180" s="263"/>
    </row>
    <row r="181" spans="1:13" ht="13.5" thickBot="1">
      <c r="A181" s="588" t="s">
        <v>220</v>
      </c>
      <c r="B181" s="621"/>
      <c r="C181" s="266"/>
      <c r="D181" s="266"/>
      <c r="E181" s="578">
        <f>SUM(E150:E180)</f>
        <v>60000</v>
      </c>
      <c r="F181" s="267"/>
      <c r="G181" s="578">
        <f>SUM(G150:G180)</f>
        <v>62830</v>
      </c>
      <c r="H181" s="267"/>
      <c r="I181" s="578">
        <f>SUM(I150:I180)</f>
        <v>65775.8</v>
      </c>
      <c r="J181" s="267"/>
      <c r="K181" s="578">
        <f>SUM(K150:K180)</f>
        <v>67749.074</v>
      </c>
      <c r="L181" s="267"/>
      <c r="M181" s="578">
        <f>SUM(M150:M180)</f>
        <v>69781.54621999999</v>
      </c>
    </row>
    <row r="182" spans="1:13" ht="13.5" thickBot="1">
      <c r="A182" s="268"/>
      <c r="B182" s="581"/>
      <c r="C182" s="269"/>
      <c r="D182" s="269"/>
      <c r="E182" s="269"/>
      <c r="F182" s="269"/>
      <c r="G182" s="269"/>
      <c r="H182" s="269"/>
      <c r="I182" s="269"/>
      <c r="J182" s="269"/>
      <c r="K182" s="269"/>
      <c r="L182" s="269"/>
      <c r="M182" s="269"/>
    </row>
    <row r="183" spans="1:13" ht="13.5" thickBot="1">
      <c r="A183" s="297" t="s">
        <v>221</v>
      </c>
      <c r="B183" s="622" t="s">
        <v>222</v>
      </c>
      <c r="C183" s="269"/>
      <c r="D183" s="269"/>
      <c r="E183" s="623">
        <f>E142</f>
        <v>291000</v>
      </c>
      <c r="F183" s="269"/>
      <c r="G183" s="623">
        <f>G142</f>
        <v>428480</v>
      </c>
      <c r="H183" s="269"/>
      <c r="I183" s="623">
        <f>I142</f>
        <v>640783.6</v>
      </c>
      <c r="J183" s="269"/>
      <c r="K183" s="623">
        <f>K142</f>
        <v>812988.888</v>
      </c>
      <c r="L183" s="269"/>
      <c r="M183" s="623">
        <f>M142</f>
        <v>1017459.9642400001</v>
      </c>
    </row>
    <row r="184" spans="1:13" ht="13.5" thickBot="1">
      <c r="A184" s="297" t="s">
        <v>223</v>
      </c>
      <c r="B184" s="622"/>
      <c r="C184" s="269"/>
      <c r="D184" s="269"/>
      <c r="E184" s="623">
        <f>-SUM(E120:E127)</f>
        <v>-25000</v>
      </c>
      <c r="F184" s="269"/>
      <c r="G184" s="623">
        <f>-SUM(G120:G127)</f>
        <v>-51500</v>
      </c>
      <c r="H184" s="269"/>
      <c r="I184" s="623">
        <f>-SUM(I120:I127)</f>
        <v>-53045</v>
      </c>
      <c r="J184" s="269"/>
      <c r="K184" s="623">
        <f>-SUM(K120:K127)</f>
        <v>-54636.35</v>
      </c>
      <c r="L184" s="269"/>
      <c r="M184" s="623">
        <f>-SUM(M120:M127)</f>
        <v>-56275.4405</v>
      </c>
    </row>
    <row r="185" spans="1:13" ht="26.25" thickBot="1">
      <c r="A185" s="617" t="s">
        <v>395</v>
      </c>
      <c r="B185" s="622"/>
      <c r="C185" s="269"/>
      <c r="D185" s="269"/>
      <c r="E185" s="623">
        <f>E183+E184</f>
        <v>266000</v>
      </c>
      <c r="F185" s="269"/>
      <c r="G185" s="623">
        <f>G183+G184</f>
        <v>376980</v>
      </c>
      <c r="H185" s="269"/>
      <c r="I185" s="623">
        <f>I183+I184</f>
        <v>587738.6</v>
      </c>
      <c r="J185" s="269"/>
      <c r="K185" s="623">
        <f>K183+K184</f>
        <v>758352.5380000001</v>
      </c>
      <c r="L185" s="269"/>
      <c r="M185" s="623">
        <f>M183+M184</f>
        <v>961184.5237400001</v>
      </c>
    </row>
    <row r="186" spans="1:13" ht="13.5" thickBot="1">
      <c r="A186" s="297" t="s">
        <v>224</v>
      </c>
      <c r="B186" s="622" t="s">
        <v>222</v>
      </c>
      <c r="C186" s="269"/>
      <c r="D186" s="270"/>
      <c r="E186" s="623">
        <f>E148</f>
        <v>5000</v>
      </c>
      <c r="F186" s="269"/>
      <c r="G186" s="623">
        <f>G148</f>
        <v>6500</v>
      </c>
      <c r="H186" s="269"/>
      <c r="I186" s="623">
        <f>I148</f>
        <v>7500</v>
      </c>
      <c r="J186" s="269"/>
      <c r="K186" s="623">
        <f>K148</f>
        <v>8500</v>
      </c>
      <c r="L186" s="269"/>
      <c r="M186" s="623">
        <f>M148</f>
        <v>10000</v>
      </c>
    </row>
    <row r="187" spans="1:13" ht="13.5" thickBot="1">
      <c r="A187" s="618" t="s">
        <v>225</v>
      </c>
      <c r="B187" s="622" t="s">
        <v>222</v>
      </c>
      <c r="C187" s="271" t="e">
        <f>SUM(C130:C180)</f>
        <v>#REF!</v>
      </c>
      <c r="D187" s="272"/>
      <c r="E187" s="624">
        <f>E183+E186</f>
        <v>296000</v>
      </c>
      <c r="F187" s="273"/>
      <c r="G187" s="624">
        <f>G183+G186</f>
        <v>434980</v>
      </c>
      <c r="H187" s="274"/>
      <c r="I187" s="624">
        <f>I183+I186</f>
        <v>648283.6</v>
      </c>
      <c r="J187" s="274"/>
      <c r="K187" s="624">
        <f>K183+K186</f>
        <v>821488.888</v>
      </c>
      <c r="L187" s="274"/>
      <c r="M187" s="624">
        <f>M183+M186</f>
        <v>1027459.9642400001</v>
      </c>
    </row>
    <row r="188" spans="1:13" ht="13.5" thickBot="1">
      <c r="A188" s="618" t="s">
        <v>226</v>
      </c>
      <c r="B188" s="622" t="s">
        <v>222</v>
      </c>
      <c r="C188" s="272"/>
      <c r="D188" s="272"/>
      <c r="E188" s="625">
        <f>E181</f>
        <v>60000</v>
      </c>
      <c r="F188" s="275"/>
      <c r="G188" s="625">
        <f>G181</f>
        <v>62830</v>
      </c>
      <c r="H188" s="275"/>
      <c r="I188" s="625">
        <f>I181</f>
        <v>65775.8</v>
      </c>
      <c r="J188" s="275"/>
      <c r="K188" s="625">
        <f>K181</f>
        <v>67749.074</v>
      </c>
      <c r="L188" s="275"/>
      <c r="M188" s="625">
        <f>M181</f>
        <v>69781.54621999999</v>
      </c>
    </row>
    <row r="189" spans="1:13" ht="13.5" thickBot="1">
      <c r="A189" s="618" t="s">
        <v>122</v>
      </c>
      <c r="B189" s="622" t="s">
        <v>222</v>
      </c>
      <c r="C189" s="272"/>
      <c r="D189" s="272"/>
      <c r="E189" s="625">
        <f>SUM(E187:E188)</f>
        <v>356000</v>
      </c>
      <c r="F189" s="275"/>
      <c r="G189" s="625">
        <f>SUM(G187:G188)</f>
        <v>497810</v>
      </c>
      <c r="H189" s="275"/>
      <c r="I189" s="625">
        <f>SUM(I187:I188)</f>
        <v>714059.4</v>
      </c>
      <c r="J189" s="275"/>
      <c r="K189" s="625">
        <f>SUM(K187:K188)</f>
        <v>889237.962</v>
      </c>
      <c r="L189" s="275"/>
      <c r="M189" s="625">
        <f>SUM(M187:M188)</f>
        <v>1097241.51046</v>
      </c>
    </row>
    <row r="190" spans="1:13" ht="13.5" thickBot="1">
      <c r="A190" s="276"/>
      <c r="B190" s="582"/>
      <c r="C190" s="276"/>
      <c r="D190" s="276"/>
      <c r="E190" s="276"/>
      <c r="F190" s="276"/>
      <c r="G190" s="276"/>
      <c r="H190" s="276"/>
      <c r="I190" s="276"/>
      <c r="J190" s="276"/>
      <c r="K190" s="276"/>
      <c r="L190" s="276"/>
      <c r="M190" s="276"/>
    </row>
    <row r="191" spans="1:13" ht="13.5" thickBot="1">
      <c r="A191" s="618" t="s">
        <v>123</v>
      </c>
      <c r="B191" s="277" t="s">
        <v>222</v>
      </c>
      <c r="C191" s="278">
        <f>SUM(C7:C57)</f>
        <v>0</v>
      </c>
      <c r="D191" s="279"/>
      <c r="E191" s="623">
        <f>SUM(E7:E57)</f>
        <v>9.3</v>
      </c>
      <c r="F191" s="280"/>
      <c r="G191" s="623">
        <f>SUM(G7:G57)</f>
        <v>12.4</v>
      </c>
      <c r="H191" s="280"/>
      <c r="I191" s="623">
        <f>SUM(I7:I57)</f>
        <v>17</v>
      </c>
      <c r="J191" s="280"/>
      <c r="K191" s="623">
        <f>SUM(K7:K57)</f>
        <v>20.5</v>
      </c>
      <c r="L191" s="280"/>
      <c r="M191" s="623">
        <f>SUM(M7:M57)</f>
        <v>24.5</v>
      </c>
    </row>
    <row r="192" spans="1:13" ht="13.5" thickBot="1">
      <c r="A192" s="269"/>
      <c r="B192" s="269"/>
      <c r="C192" s="269"/>
      <c r="D192" s="269"/>
      <c r="E192" s="269"/>
      <c r="F192" s="269"/>
      <c r="G192" s="269"/>
      <c r="H192" s="269"/>
      <c r="I192" s="269"/>
      <c r="J192" s="269"/>
      <c r="K192" s="269"/>
      <c r="L192" s="269"/>
      <c r="M192" s="269"/>
    </row>
    <row r="193" spans="1:13" ht="15.75" thickBot="1">
      <c r="A193" s="588" t="s">
        <v>227</v>
      </c>
      <c r="B193" s="281"/>
      <c r="C193" s="282"/>
      <c r="D193" s="282"/>
      <c r="E193" s="282"/>
      <c r="F193" s="282"/>
      <c r="G193" s="282"/>
      <c r="H193" s="282"/>
      <c r="I193" s="282"/>
      <c r="J193" s="282"/>
      <c r="K193" s="282"/>
      <c r="L193" s="282"/>
      <c r="M193" s="282"/>
    </row>
    <row r="194" spans="1:13" ht="15.75" thickBot="1">
      <c r="A194" s="588" t="s">
        <v>410</v>
      </c>
      <c r="B194" s="626">
        <f>9%-B193</f>
        <v>0.09</v>
      </c>
      <c r="C194" s="282"/>
      <c r="D194" s="282"/>
      <c r="E194" s="282"/>
      <c r="F194" s="282"/>
      <c r="G194" s="282"/>
      <c r="H194" s="282"/>
      <c r="I194" s="282"/>
      <c r="J194" s="282"/>
      <c r="K194" s="282"/>
      <c r="L194" s="282"/>
      <c r="M194" s="282"/>
    </row>
    <row r="195" spans="1:13" ht="13.5" thickBot="1">
      <c r="A195" s="297" t="s">
        <v>453</v>
      </c>
      <c r="B195" s="840" t="s">
        <v>222</v>
      </c>
      <c r="C195" s="284" t="e">
        <f>#REF!*$B$193</f>
        <v>#REF!</v>
      </c>
      <c r="D195" s="285"/>
      <c r="E195" s="593">
        <f>$B$193*E183</f>
        <v>0</v>
      </c>
      <c r="F195" s="286"/>
      <c r="G195" s="593">
        <f>$B$193*G183</f>
        <v>0</v>
      </c>
      <c r="H195" s="286"/>
      <c r="I195" s="593">
        <f>$B$193*I183</f>
        <v>0</v>
      </c>
      <c r="J195" s="286"/>
      <c r="K195" s="593">
        <f>$B$193*K183</f>
        <v>0</v>
      </c>
      <c r="L195" s="286"/>
      <c r="M195" s="593">
        <f>$B$193*M183</f>
        <v>0</v>
      </c>
    </row>
    <row r="196" spans="1:13" ht="13.5" thickBot="1">
      <c r="A196" s="269"/>
      <c r="B196" s="269"/>
      <c r="C196" s="282"/>
      <c r="D196" s="285"/>
      <c r="E196" s="287"/>
      <c r="F196" s="287"/>
      <c r="G196" s="287"/>
      <c r="H196" s="287"/>
      <c r="I196" s="287"/>
      <c r="J196" s="287"/>
      <c r="K196" s="287"/>
      <c r="L196" s="287"/>
      <c r="M196" s="287"/>
    </row>
    <row r="197" spans="1:13" ht="13.5" thickBot="1">
      <c r="A197" s="617" t="s">
        <v>228</v>
      </c>
      <c r="B197" s="627">
        <v>0.106</v>
      </c>
      <c r="C197" s="288" t="e">
        <f>#REF!*0.11</f>
        <v>#REF!</v>
      </c>
      <c r="D197" s="285"/>
      <c r="E197" s="593">
        <f>$B$197*E185</f>
        <v>28196</v>
      </c>
      <c r="F197" s="289"/>
      <c r="G197" s="593">
        <f>$B$197*G185</f>
        <v>39959.88</v>
      </c>
      <c r="H197" s="290"/>
      <c r="I197" s="593">
        <f>$B$197*I185</f>
        <v>62300.2916</v>
      </c>
      <c r="J197" s="290"/>
      <c r="K197" s="593">
        <f>$B$197*K185</f>
        <v>80385.369028</v>
      </c>
      <c r="L197" s="290"/>
      <c r="M197" s="593">
        <f>$B$197*M185</f>
        <v>101885.55951644</v>
      </c>
    </row>
    <row r="198" spans="1:13" ht="13.5" thickBot="1">
      <c r="A198" s="270"/>
      <c r="B198" s="270"/>
      <c r="C198" s="282"/>
      <c r="D198" s="285"/>
      <c r="E198" s="291"/>
      <c r="F198" s="291"/>
      <c r="G198" s="292"/>
      <c r="H198" s="291"/>
      <c r="I198" s="291"/>
      <c r="J198" s="291"/>
      <c r="K198" s="291"/>
      <c r="L198" s="291"/>
      <c r="M198" s="291"/>
    </row>
    <row r="199" spans="1:13" ht="13.5" thickBot="1">
      <c r="A199" s="297" t="s">
        <v>124</v>
      </c>
      <c r="B199" s="627">
        <v>0.062</v>
      </c>
      <c r="C199" s="284" t="e">
        <f>#REF!*0.062</f>
        <v>#REF!</v>
      </c>
      <c r="D199" s="285"/>
      <c r="E199" s="593">
        <f>E188*$B$199</f>
        <v>3720</v>
      </c>
      <c r="F199" s="293"/>
      <c r="G199" s="593">
        <f>G188*$B$199</f>
        <v>3895.46</v>
      </c>
      <c r="H199" s="294"/>
      <c r="I199" s="593">
        <f>I188*$B$199</f>
        <v>4078.0996</v>
      </c>
      <c r="J199" s="294"/>
      <c r="K199" s="593">
        <f>K188*$B$199</f>
        <v>4200.442588</v>
      </c>
      <c r="L199" s="294"/>
      <c r="M199" s="593">
        <f>M188*$B$199</f>
        <v>4326.4558656399995</v>
      </c>
    </row>
    <row r="200" spans="1:13" ht="13.5" thickBot="1">
      <c r="A200" s="269"/>
      <c r="B200" s="269"/>
      <c r="C200" s="282"/>
      <c r="D200" s="285"/>
      <c r="E200" s="291"/>
      <c r="F200" s="291"/>
      <c r="G200" s="291"/>
      <c r="H200" s="291"/>
      <c r="I200" s="291"/>
      <c r="J200" s="291"/>
      <c r="K200" s="291"/>
      <c r="L200" s="291"/>
      <c r="M200" s="291"/>
    </row>
    <row r="201" spans="1:13" ht="13.5" thickBot="1">
      <c r="A201" s="618" t="s">
        <v>229</v>
      </c>
      <c r="B201" s="627">
        <v>0.0145</v>
      </c>
      <c r="C201" s="295"/>
      <c r="D201" s="296"/>
      <c r="E201" s="593">
        <f>E189*$B$201</f>
        <v>5162</v>
      </c>
      <c r="F201" s="293"/>
      <c r="G201" s="593">
        <f>G189*$B$201</f>
        <v>7218.245000000001</v>
      </c>
      <c r="H201" s="294"/>
      <c r="I201" s="593">
        <f>I189*$B$201</f>
        <v>10353.8613</v>
      </c>
      <c r="J201" s="294"/>
      <c r="K201" s="593">
        <f>K189*$B$201</f>
        <v>12893.950449000002</v>
      </c>
      <c r="L201" s="294"/>
      <c r="M201" s="593">
        <f>M189*$B$201</f>
        <v>15910.00190167</v>
      </c>
    </row>
    <row r="202" spans="1:13" ht="13.5" thickBot="1">
      <c r="A202" s="19"/>
      <c r="B202" s="19"/>
      <c r="C202" s="19"/>
      <c r="D202" s="19"/>
      <c r="E202" s="40"/>
      <c r="F202" s="40"/>
      <c r="G202" s="40"/>
      <c r="H202" s="40"/>
      <c r="I202" s="40"/>
      <c r="J202" s="40"/>
      <c r="K202" s="40"/>
      <c r="L202" s="40"/>
      <c r="M202" s="40"/>
    </row>
    <row r="203" spans="1:13" ht="13.5" thickBot="1">
      <c r="A203" s="297" t="s">
        <v>230</v>
      </c>
      <c r="B203" s="298"/>
      <c r="C203" s="19"/>
      <c r="D203" s="19"/>
      <c r="E203" s="743">
        <f>E188*$B$203</f>
        <v>0</v>
      </c>
      <c r="F203" s="744"/>
      <c r="G203" s="743">
        <f>G188*$B$203</f>
        <v>0</v>
      </c>
      <c r="H203" s="744"/>
      <c r="I203" s="743">
        <f>I188*$B$203</f>
        <v>0</v>
      </c>
      <c r="J203" s="744"/>
      <c r="K203" s="743">
        <f>K188*$B$203</f>
        <v>0</v>
      </c>
      <c r="L203" s="744"/>
      <c r="M203" s="743">
        <f>M188*$B$203</f>
        <v>0</v>
      </c>
    </row>
    <row r="204" spans="1:13" ht="12.75">
      <c r="A204" s="19"/>
      <c r="B204" s="19"/>
      <c r="C204" s="19"/>
      <c r="D204" s="19"/>
      <c r="E204" s="19"/>
      <c r="F204" s="19"/>
      <c r="G204" s="19"/>
      <c r="H204" s="19"/>
      <c r="I204" s="19"/>
      <c r="J204" s="19"/>
      <c r="K204" s="19"/>
      <c r="L204" s="19"/>
      <c r="M204" s="19"/>
    </row>
    <row r="205" spans="1:13" ht="12.75">
      <c r="A205" s="19"/>
      <c r="B205" s="19"/>
      <c r="C205" s="19"/>
      <c r="D205" s="19"/>
      <c r="E205" s="19"/>
      <c r="F205" s="19"/>
      <c r="G205" s="19"/>
      <c r="H205" s="19"/>
      <c r="I205" s="19"/>
      <c r="J205" s="19"/>
      <c r="K205" s="19"/>
      <c r="L205" s="19"/>
      <c r="M205" s="19"/>
    </row>
    <row r="206" spans="1:13" ht="12.75">
      <c r="A206" s="19"/>
      <c r="B206" s="19"/>
      <c r="C206" s="19"/>
      <c r="D206" s="19"/>
      <c r="E206" s="19"/>
      <c r="F206" s="19"/>
      <c r="G206" s="19"/>
      <c r="H206" s="19"/>
      <c r="I206" s="19"/>
      <c r="J206" s="19"/>
      <c r="K206" s="19"/>
      <c r="L206" s="19"/>
      <c r="M206" s="19"/>
    </row>
  </sheetData>
  <sheetProtection password="C9A0" sheet="1"/>
  <mergeCells count="6">
    <mergeCell ref="A1:B1"/>
    <mergeCell ref="B4:M4"/>
    <mergeCell ref="D5:M5"/>
    <mergeCell ref="B60:M60"/>
    <mergeCell ref="A62:B62"/>
    <mergeCell ref="B117:M117"/>
  </mergeCells>
  <conditionalFormatting sqref="E181:M181 F180 H180 J180 L180">
    <cfRule type="expression" priority="10" dxfId="5" stopIfTrue="1">
      <formula>#REF!="Yes"</formula>
    </cfRule>
  </conditionalFormatting>
  <conditionalFormatting sqref="C180:D181">
    <cfRule type="expression" priority="7" dxfId="5" stopIfTrue="1">
      <formula>#REF!="Yes"</formula>
    </cfRule>
  </conditionalFormatting>
  <conditionalFormatting sqref="B187:B189 G187:M189">
    <cfRule type="expression" priority="6" dxfId="0" stopIfTrue="1">
      <formula>(SUMPRODUCT(B$6:B$57,B$64:B$115)+B$180+#REF!-B$187)&lt;&gt;0</formula>
    </cfRule>
  </conditionalFormatting>
  <conditionalFormatting sqref="C187:M189">
    <cfRule type="expression" priority="5" dxfId="0" stopIfTrue="1">
      <formula>ROUND((SUMPRODUCT(C$6:C$57,C$64:C$115)+C$180+#REF!-C$187),0)&lt;&gt;0</formula>
    </cfRule>
  </conditionalFormatting>
  <conditionalFormatting sqref="B183:B185">
    <cfRule type="expression" priority="4" dxfId="0" stopIfTrue="1">
      <formula>(SUMPRODUCT(B$6:B$57,B$64:B$115)+B$180+#REF!-B$187)&lt;&gt;0</formula>
    </cfRule>
  </conditionalFormatting>
  <conditionalFormatting sqref="B186">
    <cfRule type="expression" priority="3" dxfId="0" stopIfTrue="1">
      <formula>(SUMPRODUCT(B$6:B$57,B$64:B$115)+B$180+#REF!-B$187)&lt;&gt;0</formula>
    </cfRule>
  </conditionalFormatting>
  <dataValidations count="4">
    <dataValidation allowBlank="1" showInputMessage="1" showErrorMessage="1" prompt="The total pension cost is 9% of salaries.  This cost is split between the employee and the school. Only enter the employer portion, the employee portion will calculate automatically. " sqref="B193:B194"/>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Enter the total annual bonus cost in this row." sqref="C180:D181 F180:F181 H180:H181 J180:J181 L180:L181"/>
    <dataValidation allowBlank="1" showInputMessage="1" showErrorMessage="1" prompt="You may change any of the job titles." sqref="A6:A7 A16:A31 A40:A57"/>
  </dataValidations>
  <printOptions/>
  <pageMargins left="0.7" right="0.7" top="0.75" bottom="0.75" header="0.3" footer="0.3"/>
  <pageSetup horizontalDpi="600" verticalDpi="600" orientation="landscape" r:id="rId2"/>
  <headerFooter>
    <oddHeader>&amp;CSection 4.1a
Attachment 28
</oddHeader>
  </headerFooter>
  <drawing r:id="rId1"/>
</worksheet>
</file>

<file path=xl/worksheets/sheet5.xml><?xml version="1.0" encoding="utf-8"?>
<worksheet xmlns="http://schemas.openxmlformats.org/spreadsheetml/2006/main" xmlns:r="http://schemas.openxmlformats.org/officeDocument/2006/relationships">
  <dimension ref="A1:W219"/>
  <sheetViews>
    <sheetView view="pageLayout" workbookViewId="0" topLeftCell="A1">
      <selection activeCell="F2" sqref="F2"/>
    </sheetView>
  </sheetViews>
  <sheetFormatPr defaultColWidth="9.140625" defaultRowHeight="12.75"/>
  <cols>
    <col min="1" max="1" width="4.57421875" style="19" customWidth="1"/>
    <col min="2" max="2" width="84.140625" style="0" customWidth="1"/>
    <col min="3" max="3" width="14.140625" style="0" hidden="1" customWidth="1"/>
    <col min="4" max="4" width="1.421875" style="0" customWidth="1"/>
    <col min="5" max="5" width="13.7109375" style="0" customWidth="1"/>
    <col min="6" max="6" width="1.421875" style="0" customWidth="1"/>
    <col min="7" max="7" width="13.57421875" style="0" customWidth="1"/>
    <col min="8" max="8" width="1.421875" style="0" customWidth="1"/>
    <col min="9" max="9" width="13.7109375" style="0" customWidth="1"/>
    <col min="10" max="10" width="1.421875" style="0" customWidth="1"/>
    <col min="11" max="11" width="13.8515625" style="0" customWidth="1"/>
    <col min="12" max="12" width="1.421875" style="0" customWidth="1"/>
    <col min="13" max="13" width="13.57421875" style="0" customWidth="1"/>
    <col min="14" max="19" width="9.140625" style="19" customWidth="1"/>
  </cols>
  <sheetData>
    <row r="1" spans="2:23" ht="18" customHeight="1" thickBot="1">
      <c r="B1" s="824" t="str">
        <f>'Budget Assumptions'!C1</f>
        <v>Passages Charter School - High School Campus</v>
      </c>
      <c r="D1" s="19"/>
      <c r="E1" s="19"/>
      <c r="F1" s="19"/>
      <c r="G1" s="19"/>
      <c r="H1" s="19"/>
      <c r="I1" s="19"/>
      <c r="J1" s="19"/>
      <c r="K1" s="19"/>
      <c r="L1" s="19"/>
      <c r="M1" s="19"/>
      <c r="T1" s="19"/>
      <c r="U1" s="19"/>
      <c r="V1" s="19"/>
      <c r="W1" s="19"/>
    </row>
    <row r="2" spans="2:23" ht="18.75" customHeight="1" thickBot="1">
      <c r="B2" s="507" t="s">
        <v>493</v>
      </c>
      <c r="D2" s="19"/>
      <c r="E2" s="19"/>
      <c r="F2" s="19"/>
      <c r="G2" s="19"/>
      <c r="H2" s="19"/>
      <c r="I2" s="19"/>
      <c r="J2" s="19"/>
      <c r="K2" s="19"/>
      <c r="L2" s="19"/>
      <c r="M2" s="19"/>
      <c r="T2" s="19"/>
      <c r="U2" s="19"/>
      <c r="V2" s="19"/>
      <c r="W2" s="19"/>
    </row>
    <row r="3" s="19" customFormat="1" ht="12.75"/>
    <row r="4" spans="2:13" ht="12.75">
      <c r="B4" s="37"/>
      <c r="C4" s="19"/>
      <c r="D4" s="19"/>
      <c r="E4" s="19"/>
      <c r="F4" s="19"/>
      <c r="G4" s="19"/>
      <c r="H4" s="19"/>
      <c r="I4" s="19"/>
      <c r="J4" s="19"/>
      <c r="K4" s="19"/>
      <c r="L4" s="19"/>
      <c r="M4" s="19"/>
    </row>
    <row r="5" spans="2:13" ht="13.5" thickBot="1">
      <c r="B5" s="37"/>
      <c r="C5" s="19"/>
      <c r="D5" s="19"/>
      <c r="E5" s="19"/>
      <c r="F5" s="19"/>
      <c r="G5" s="19"/>
      <c r="H5" s="19"/>
      <c r="I5" s="19"/>
      <c r="J5" s="19"/>
      <c r="K5" s="19"/>
      <c r="L5" s="19"/>
      <c r="M5" s="19"/>
    </row>
    <row r="6" spans="2:13" ht="16.5" customHeight="1" thickBot="1">
      <c r="B6" s="474" t="s">
        <v>132</v>
      </c>
      <c r="C6" s="136" t="s">
        <v>126</v>
      </c>
      <c r="D6" s="136"/>
      <c r="E6" s="478" t="s">
        <v>127</v>
      </c>
      <c r="F6" s="179"/>
      <c r="G6" s="319" t="s">
        <v>128</v>
      </c>
      <c r="H6" s="179"/>
      <c r="I6" s="319" t="s">
        <v>129</v>
      </c>
      <c r="J6" s="179"/>
      <c r="K6" s="319" t="s">
        <v>130</v>
      </c>
      <c r="L6" s="179"/>
      <c r="M6" s="319" t="s">
        <v>353</v>
      </c>
    </row>
    <row r="7" spans="2:13" ht="12.75" customHeight="1">
      <c r="B7" s="477" t="s">
        <v>125</v>
      </c>
      <c r="C7" s="137"/>
      <c r="D7" s="137"/>
      <c r="E7" s="493">
        <f>'Revenues-Per Capita &amp; SPED'!B155</f>
        <v>60</v>
      </c>
      <c r="F7" s="489"/>
      <c r="G7" s="493">
        <f>'Revenues-Per Capita &amp; SPED'!I155</f>
        <v>120</v>
      </c>
      <c r="H7" s="489"/>
      <c r="I7" s="493">
        <f>'Revenues-Per Capita &amp; SPED'!P155</f>
        <v>180</v>
      </c>
      <c r="J7" s="489"/>
      <c r="K7" s="493">
        <f>'Revenues-Per Capita &amp; SPED'!W155</f>
        <v>240</v>
      </c>
      <c r="L7" s="489"/>
      <c r="M7" s="493">
        <f>'Revenues-Per Capita &amp; SPED'!AD155</f>
        <v>240</v>
      </c>
    </row>
    <row r="8" spans="2:13" ht="12.75" customHeight="1">
      <c r="B8" s="477" t="s">
        <v>420</v>
      </c>
      <c r="C8" s="137"/>
      <c r="D8" s="137"/>
      <c r="E8" s="775">
        <v>0.9</v>
      </c>
      <c r="F8" s="776"/>
      <c r="G8" s="775">
        <v>0.9</v>
      </c>
      <c r="H8" s="776"/>
      <c r="I8" s="775">
        <v>0.9</v>
      </c>
      <c r="J8" s="776"/>
      <c r="K8" s="775">
        <v>0.9</v>
      </c>
      <c r="L8" s="776"/>
      <c r="M8" s="775">
        <v>0.9</v>
      </c>
    </row>
    <row r="9" spans="2:13" ht="12.75">
      <c r="B9" s="477" t="s">
        <v>421</v>
      </c>
      <c r="C9" s="139"/>
      <c r="D9" s="134"/>
      <c r="E9" s="494">
        <f>E7*E8</f>
        <v>54</v>
      </c>
      <c r="F9" s="134"/>
      <c r="G9" s="494">
        <f>G7*G8</f>
        <v>108</v>
      </c>
      <c r="H9" s="134"/>
      <c r="I9" s="494">
        <f>I7*I8</f>
        <v>162</v>
      </c>
      <c r="J9" s="134"/>
      <c r="K9" s="494">
        <f>K7*K8</f>
        <v>216</v>
      </c>
      <c r="L9" s="134"/>
      <c r="M9" s="494">
        <f>M7*M8</f>
        <v>216</v>
      </c>
    </row>
    <row r="10" spans="2:13" ht="13.5" thickBot="1">
      <c r="B10" s="476" t="s">
        <v>133</v>
      </c>
      <c r="C10" s="141"/>
      <c r="D10" s="141"/>
      <c r="E10" s="491">
        <v>790</v>
      </c>
      <c r="F10" s="140"/>
      <c r="G10" s="491">
        <f>$E$10</f>
        <v>790</v>
      </c>
      <c r="H10" s="140"/>
      <c r="I10" s="491">
        <f>$E$10</f>
        <v>790</v>
      </c>
      <c r="J10" s="140"/>
      <c r="K10" s="491">
        <f>$E$10</f>
        <v>790</v>
      </c>
      <c r="L10" s="140"/>
      <c r="M10" s="491">
        <f>$E$10</f>
        <v>790</v>
      </c>
    </row>
    <row r="11" spans="2:13" ht="16.5" customHeight="1" thickBot="1">
      <c r="B11" s="474" t="s">
        <v>134</v>
      </c>
      <c r="C11" s="142">
        <f>C9*C10</f>
        <v>0</v>
      </c>
      <c r="D11" s="142"/>
      <c r="E11" s="492">
        <f>E9*E10</f>
        <v>42660</v>
      </c>
      <c r="F11" s="142"/>
      <c r="G11" s="492">
        <f>G9*G10</f>
        <v>85320</v>
      </c>
      <c r="H11" s="142"/>
      <c r="I11" s="492">
        <f>I9*I10</f>
        <v>127980</v>
      </c>
      <c r="J11" s="142"/>
      <c r="K11" s="492">
        <f>K9*K10</f>
        <v>170640</v>
      </c>
      <c r="L11" s="142"/>
      <c r="M11" s="492">
        <f>M9*M10</f>
        <v>170640</v>
      </c>
    </row>
    <row r="12" spans="2:13" ht="12.75">
      <c r="B12" s="44"/>
      <c r="C12" s="138"/>
      <c r="D12" s="138"/>
      <c r="E12" s="138"/>
      <c r="F12" s="138"/>
      <c r="G12" s="138"/>
      <c r="H12" s="138"/>
      <c r="I12" s="138"/>
      <c r="J12" s="138"/>
      <c r="K12" s="138"/>
      <c r="L12" s="138"/>
      <c r="M12" s="138"/>
    </row>
    <row r="13" spans="2:13" ht="13.5" thickBot="1">
      <c r="B13" s="19"/>
      <c r="C13" s="19"/>
      <c r="D13" s="19"/>
      <c r="E13" s="19"/>
      <c r="F13" s="19"/>
      <c r="G13" s="19"/>
      <c r="H13" s="19"/>
      <c r="I13" s="19"/>
      <c r="J13" s="19"/>
      <c r="K13" s="19"/>
      <c r="L13" s="19"/>
      <c r="M13" s="19"/>
    </row>
    <row r="14" spans="2:13" ht="16.5" thickBot="1">
      <c r="B14" s="474" t="s">
        <v>157</v>
      </c>
      <c r="C14" s="136" t="s">
        <v>126</v>
      </c>
      <c r="D14" s="136"/>
      <c r="E14" s="319" t="str">
        <f>$E$6</f>
        <v>FY2015</v>
      </c>
      <c r="F14" s="136"/>
      <c r="G14" s="319" t="str">
        <f>$G$6</f>
        <v>FY2016</v>
      </c>
      <c r="H14" s="136"/>
      <c r="I14" s="319" t="str">
        <f>$I$6</f>
        <v>FY2017</v>
      </c>
      <c r="J14" s="136"/>
      <c r="K14" s="319" t="str">
        <f>$K$6</f>
        <v>FY2018</v>
      </c>
      <c r="L14" s="136"/>
      <c r="M14" s="319" t="str">
        <f>$M$6</f>
        <v>FY2019</v>
      </c>
    </row>
    <row r="15" spans="2:13" ht="12.75">
      <c r="B15" s="477" t="s">
        <v>419</v>
      </c>
      <c r="C15" s="139"/>
      <c r="D15" s="134"/>
      <c r="E15" s="182">
        <f>E7*0.55</f>
        <v>33</v>
      </c>
      <c r="F15" s="182"/>
      <c r="G15" s="182">
        <f>G7*0.55</f>
        <v>66</v>
      </c>
      <c r="H15" s="182"/>
      <c r="I15" s="182">
        <f>I7*0.55</f>
        <v>99.00000000000001</v>
      </c>
      <c r="J15" s="182"/>
      <c r="K15" s="182">
        <f>K7*0.55</f>
        <v>132</v>
      </c>
      <c r="L15" s="182"/>
      <c r="M15" s="182">
        <f>M7*0.55</f>
        <v>132</v>
      </c>
    </row>
    <row r="16" spans="2:13" ht="13.5" thickBot="1">
      <c r="B16" s="476" t="s">
        <v>158</v>
      </c>
      <c r="C16" s="141">
        <v>760</v>
      </c>
      <c r="D16" s="141"/>
      <c r="E16" s="38">
        <v>760</v>
      </c>
      <c r="F16" s="38"/>
      <c r="G16" s="38">
        <v>728</v>
      </c>
      <c r="H16" s="38"/>
      <c r="I16" s="38">
        <v>713</v>
      </c>
      <c r="J16" s="38"/>
      <c r="K16" s="38">
        <v>699</v>
      </c>
      <c r="L16" s="38"/>
      <c r="M16" s="38">
        <v>685</v>
      </c>
    </row>
    <row r="17" spans="2:13" ht="16.5" thickBot="1">
      <c r="B17" s="474" t="s">
        <v>160</v>
      </c>
      <c r="C17" s="142">
        <f>C15*C16</f>
        <v>0</v>
      </c>
      <c r="D17" s="142"/>
      <c r="E17" s="492">
        <f>E15*E16</f>
        <v>25080</v>
      </c>
      <c r="F17" s="142"/>
      <c r="G17" s="492">
        <f>G15*G16</f>
        <v>48048</v>
      </c>
      <c r="H17" s="142"/>
      <c r="I17" s="492">
        <f>I15*I16</f>
        <v>70587.00000000001</v>
      </c>
      <c r="J17" s="142"/>
      <c r="K17" s="492">
        <f>K15*K16</f>
        <v>92268</v>
      </c>
      <c r="L17" s="142"/>
      <c r="M17" s="492">
        <f>M15*M16</f>
        <v>90420</v>
      </c>
    </row>
    <row r="18" spans="2:13" ht="12.75">
      <c r="B18" s="19"/>
      <c r="C18" s="19"/>
      <c r="D18" s="19"/>
      <c r="E18" s="19"/>
      <c r="F18" s="19"/>
      <c r="G18" s="19"/>
      <c r="H18" s="19"/>
      <c r="I18" s="19"/>
      <c r="J18" s="19"/>
      <c r="K18" s="19"/>
      <c r="L18" s="19"/>
      <c r="M18" s="19"/>
    </row>
    <row r="19" spans="2:13" ht="13.5" thickBot="1">
      <c r="B19" s="19"/>
      <c r="C19" s="19"/>
      <c r="D19" s="19"/>
      <c r="E19" s="19"/>
      <c r="F19" s="19"/>
      <c r="G19" s="19"/>
      <c r="H19" s="19"/>
      <c r="I19" s="19"/>
      <c r="J19" s="19"/>
      <c r="K19" s="19"/>
      <c r="L19" s="19"/>
      <c r="M19" s="19"/>
    </row>
    <row r="20" spans="2:13" ht="16.5" thickBot="1">
      <c r="B20" s="474" t="s">
        <v>159</v>
      </c>
      <c r="C20" s="136" t="s">
        <v>126</v>
      </c>
      <c r="D20" s="136"/>
      <c r="E20" s="319" t="str">
        <f>$E$6</f>
        <v>FY2015</v>
      </c>
      <c r="F20" s="136"/>
      <c r="G20" s="319" t="str">
        <f>$G$6</f>
        <v>FY2016</v>
      </c>
      <c r="H20" s="136"/>
      <c r="I20" s="319" t="str">
        <f>$I$6</f>
        <v>FY2017</v>
      </c>
      <c r="J20" s="136"/>
      <c r="K20" s="319" t="str">
        <f>$K$6</f>
        <v>FY2018</v>
      </c>
      <c r="L20" s="136"/>
      <c r="M20" s="319" t="str">
        <f>$M$6</f>
        <v>FY2019</v>
      </c>
    </row>
    <row r="21" spans="2:13" ht="12.75">
      <c r="B21" s="475" t="s">
        <v>125</v>
      </c>
      <c r="C21" s="146" t="e">
        <f>#REF!+#REF!</f>
        <v>#REF!</v>
      </c>
      <c r="D21" s="183"/>
      <c r="E21" s="490">
        <f>E7</f>
        <v>60</v>
      </c>
      <c r="F21" s="134"/>
      <c r="G21" s="490">
        <f>G7</f>
        <v>120</v>
      </c>
      <c r="H21" s="134"/>
      <c r="I21" s="490">
        <f>I7</f>
        <v>180</v>
      </c>
      <c r="J21" s="134"/>
      <c r="K21" s="490">
        <f>K7</f>
        <v>240</v>
      </c>
      <c r="L21" s="134"/>
      <c r="M21" s="490">
        <f>M7</f>
        <v>240</v>
      </c>
    </row>
    <row r="22" spans="2:13" ht="13.5" thickBot="1">
      <c r="B22" s="550" t="s">
        <v>158</v>
      </c>
      <c r="C22" s="140">
        <v>76</v>
      </c>
      <c r="D22" s="141"/>
      <c r="E22" s="491">
        <v>64</v>
      </c>
      <c r="F22" s="140"/>
      <c r="G22" s="491">
        <v>64</v>
      </c>
      <c r="H22" s="140"/>
      <c r="I22" s="491">
        <v>64</v>
      </c>
      <c r="J22" s="140"/>
      <c r="K22" s="491">
        <v>64</v>
      </c>
      <c r="L22" s="140"/>
      <c r="M22" s="491">
        <v>64</v>
      </c>
    </row>
    <row r="23" spans="2:13" ht="16.5" thickBot="1">
      <c r="B23" s="474" t="s">
        <v>161</v>
      </c>
      <c r="C23" s="142" t="e">
        <f>C21*D21</f>
        <v>#REF!</v>
      </c>
      <c r="D23" s="142"/>
      <c r="E23" s="492">
        <f>E21*E22</f>
        <v>3840</v>
      </c>
      <c r="F23" s="142"/>
      <c r="G23" s="492">
        <f>G21*G22</f>
        <v>7680</v>
      </c>
      <c r="H23" s="142"/>
      <c r="I23" s="492">
        <f>I21*I22</f>
        <v>11520</v>
      </c>
      <c r="J23" s="142"/>
      <c r="K23" s="492">
        <f>K21*K22</f>
        <v>15360</v>
      </c>
      <c r="L23" s="142"/>
      <c r="M23" s="492">
        <f>M21*M22</f>
        <v>15360</v>
      </c>
    </row>
    <row r="24" spans="2:13" ht="12.75">
      <c r="B24" s="19"/>
      <c r="C24" s="19"/>
      <c r="D24" s="19"/>
      <c r="E24" s="19"/>
      <c r="F24" s="19"/>
      <c r="G24" s="19"/>
      <c r="H24" s="19"/>
      <c r="I24" s="19"/>
      <c r="J24" s="19"/>
      <c r="K24" s="19"/>
      <c r="L24" s="19"/>
      <c r="M24" s="19"/>
    </row>
    <row r="25" spans="2:13" ht="13.5" thickBot="1">
      <c r="B25" s="19"/>
      <c r="C25" s="19"/>
      <c r="D25" s="19"/>
      <c r="E25" s="19"/>
      <c r="F25" s="19"/>
      <c r="G25" s="19"/>
      <c r="H25" s="19"/>
      <c r="I25" s="19"/>
      <c r="J25" s="19"/>
      <c r="K25" s="19"/>
      <c r="L25" s="19"/>
      <c r="M25" s="19"/>
    </row>
    <row r="26" spans="2:13" ht="16.5" thickBot="1">
      <c r="B26" s="495" t="s">
        <v>364</v>
      </c>
      <c r="C26" s="177" t="e">
        <f>IF(OR(#REF!="Grade Expansion",#REF!="Charter Conversion"),"Prior Fiscal Year",IF(#REF!="2012 (FY13)","FY12 
Incubation",IF(#REF!="2013 (FY14)","FY13 
Incubation",0)))</f>
        <v>#REF!</v>
      </c>
      <c r="D26" s="179"/>
      <c r="E26" s="319" t="str">
        <f>$E$6</f>
        <v>FY2015</v>
      </c>
      <c r="F26" s="401"/>
      <c r="G26" s="319" t="str">
        <f>$G$6</f>
        <v>FY2016</v>
      </c>
      <c r="H26" s="136"/>
      <c r="I26" s="319" t="str">
        <f>$I$6</f>
        <v>FY2017</v>
      </c>
      <c r="J26" s="136"/>
      <c r="K26" s="319" t="str">
        <f>$K$6</f>
        <v>FY2018</v>
      </c>
      <c r="L26" s="136"/>
      <c r="M26" s="319" t="str">
        <f>$M$6</f>
        <v>FY2019</v>
      </c>
    </row>
    <row r="27" spans="2:13" ht="12.75">
      <c r="B27" s="255" t="s">
        <v>355</v>
      </c>
      <c r="C27" s="178"/>
      <c r="D27" s="180"/>
      <c r="E27" s="496"/>
      <c r="F27" s="497"/>
      <c r="G27" s="497"/>
      <c r="H27" s="497"/>
      <c r="I27" s="497"/>
      <c r="J27" s="497"/>
      <c r="K27" s="497"/>
      <c r="L27" s="497"/>
      <c r="M27" s="497"/>
    </row>
    <row r="28" spans="2:13" ht="12.75">
      <c r="B28" s="255" t="s">
        <v>356</v>
      </c>
      <c r="C28" s="178"/>
      <c r="D28" s="180"/>
      <c r="E28" s="263"/>
      <c r="F28" s="497"/>
      <c r="G28" s="497"/>
      <c r="H28" s="497"/>
      <c r="I28" s="497"/>
      <c r="J28" s="497"/>
      <c r="K28" s="497"/>
      <c r="L28" s="497"/>
      <c r="M28" s="497"/>
    </row>
    <row r="29" spans="2:13" ht="12.75">
      <c r="B29" s="255" t="s">
        <v>1</v>
      </c>
      <c r="C29" s="178"/>
      <c r="D29" s="180"/>
      <c r="E29" s="263">
        <f>0.13*E7</f>
        <v>7.800000000000001</v>
      </c>
      <c r="F29" s="497"/>
      <c r="G29" s="497">
        <f>0.13*G7</f>
        <v>15.600000000000001</v>
      </c>
      <c r="H29" s="497"/>
      <c r="I29" s="497">
        <f>0.13*I7</f>
        <v>23.400000000000002</v>
      </c>
      <c r="J29" s="497"/>
      <c r="K29" s="497">
        <f>0.13*K7</f>
        <v>31.200000000000003</v>
      </c>
      <c r="L29" s="497"/>
      <c r="M29" s="497">
        <f>0.13*M7</f>
        <v>31.200000000000003</v>
      </c>
    </row>
    <row r="30" spans="2:13" ht="12.75">
      <c r="B30" s="255" t="s">
        <v>2</v>
      </c>
      <c r="C30" s="178"/>
      <c r="D30" s="180"/>
      <c r="E30" s="497">
        <f>0.11*E7</f>
        <v>6.6</v>
      </c>
      <c r="F30" s="497"/>
      <c r="G30" s="497">
        <f>0.11*G7</f>
        <v>13.2</v>
      </c>
      <c r="H30" s="497"/>
      <c r="I30" s="497">
        <f>0.11*I7</f>
        <v>19.8</v>
      </c>
      <c r="J30" s="497"/>
      <c r="K30" s="497">
        <f>0.11*K7</f>
        <v>26.4</v>
      </c>
      <c r="L30" s="497"/>
      <c r="M30" s="497">
        <f>0.11*M7</f>
        <v>26.4</v>
      </c>
    </row>
    <row r="31" spans="2:13" ht="13.5" thickBot="1">
      <c r="B31" s="498"/>
      <c r="C31" s="178"/>
      <c r="D31" s="499"/>
      <c r="E31" s="500"/>
      <c r="F31" s="500"/>
      <c r="G31" s="500"/>
      <c r="H31" s="500"/>
      <c r="I31" s="500"/>
      <c r="J31" s="500"/>
      <c r="K31" s="500"/>
      <c r="L31" s="500"/>
      <c r="M31" s="500"/>
    </row>
    <row r="32" spans="2:13" ht="13.5" thickBot="1">
      <c r="B32" s="501" t="s">
        <v>362</v>
      </c>
      <c r="C32" s="184"/>
      <c r="D32" s="168"/>
      <c r="E32" s="502"/>
      <c r="F32" s="502"/>
      <c r="G32" s="502"/>
      <c r="H32" s="502"/>
      <c r="I32" s="502"/>
      <c r="J32" s="503"/>
      <c r="K32" s="503"/>
      <c r="L32" s="445"/>
      <c r="M32" s="445"/>
    </row>
    <row r="33" spans="2:13" ht="12.75">
      <c r="B33" s="238" t="s">
        <v>357</v>
      </c>
      <c r="D33" s="180"/>
      <c r="E33" s="508">
        <v>142</v>
      </c>
      <c r="F33" s="509"/>
      <c r="G33" s="508">
        <v>142</v>
      </c>
      <c r="H33" s="509"/>
      <c r="I33" s="508">
        <v>142</v>
      </c>
      <c r="J33" s="509"/>
      <c r="K33" s="508">
        <v>142</v>
      </c>
      <c r="L33" s="509"/>
      <c r="M33" s="508">
        <v>142</v>
      </c>
    </row>
    <row r="34" spans="2:13" ht="12.75">
      <c r="B34" s="255" t="s">
        <v>358</v>
      </c>
      <c r="D34" s="180"/>
      <c r="E34" s="508">
        <v>284</v>
      </c>
      <c r="F34" s="509"/>
      <c r="G34" s="508">
        <v>284</v>
      </c>
      <c r="H34" s="509"/>
      <c r="I34" s="508">
        <v>284</v>
      </c>
      <c r="J34" s="509"/>
      <c r="K34" s="508">
        <v>284</v>
      </c>
      <c r="L34" s="509"/>
      <c r="M34" s="508">
        <v>284</v>
      </c>
    </row>
    <row r="35" spans="2:13" ht="12.75">
      <c r="B35" s="255" t="s">
        <v>3</v>
      </c>
      <c r="D35" s="180"/>
      <c r="E35" s="508">
        <v>165</v>
      </c>
      <c r="F35" s="509"/>
      <c r="G35" s="508">
        <v>165</v>
      </c>
      <c r="H35" s="509"/>
      <c r="I35" s="508">
        <v>165</v>
      </c>
      <c r="J35" s="509"/>
      <c r="K35" s="508">
        <v>165</v>
      </c>
      <c r="L35" s="509"/>
      <c r="M35" s="508">
        <v>165</v>
      </c>
    </row>
    <row r="36" spans="2:13" ht="12.75">
      <c r="B36" s="255" t="s">
        <v>186</v>
      </c>
      <c r="D36" s="180"/>
      <c r="E36" s="508">
        <v>330</v>
      </c>
      <c r="F36" s="509"/>
      <c r="G36" s="508">
        <v>330</v>
      </c>
      <c r="H36" s="509"/>
      <c r="I36" s="508">
        <v>330</v>
      </c>
      <c r="J36" s="509"/>
      <c r="K36" s="508">
        <v>330</v>
      </c>
      <c r="L36" s="509"/>
      <c r="M36" s="508">
        <v>330</v>
      </c>
    </row>
    <row r="37" spans="2:13" ht="13.5" thickBot="1">
      <c r="B37" s="498"/>
      <c r="C37" s="504"/>
      <c r="D37" s="505"/>
      <c r="E37" s="510"/>
      <c r="F37" s="511"/>
      <c r="G37" s="510"/>
      <c r="H37" s="511"/>
      <c r="I37" s="510"/>
      <c r="J37" s="511"/>
      <c r="K37" s="510"/>
      <c r="L37" s="511"/>
      <c r="M37" s="510"/>
    </row>
    <row r="38" spans="2:13" ht="13.5" thickBot="1">
      <c r="B38" s="506" t="s">
        <v>363</v>
      </c>
      <c r="C38" s="504"/>
      <c r="D38" s="505"/>
      <c r="E38" s="510"/>
      <c r="F38" s="511"/>
      <c r="G38" s="510"/>
      <c r="H38" s="511"/>
      <c r="I38" s="510"/>
      <c r="J38" s="511"/>
      <c r="K38" s="510"/>
      <c r="L38" s="511"/>
      <c r="M38" s="510"/>
    </row>
    <row r="39" spans="2:13" ht="12.75">
      <c r="B39" s="238" t="s">
        <v>357</v>
      </c>
      <c r="D39" s="180"/>
      <c r="E39" s="508">
        <v>75</v>
      </c>
      <c r="F39" s="509"/>
      <c r="G39" s="508">
        <v>75</v>
      </c>
      <c r="H39" s="509"/>
      <c r="I39" s="508">
        <v>75</v>
      </c>
      <c r="J39" s="509"/>
      <c r="K39" s="508">
        <v>75</v>
      </c>
      <c r="L39" s="509"/>
      <c r="M39" s="508">
        <v>75</v>
      </c>
    </row>
    <row r="40" spans="2:13" ht="12.75">
      <c r="B40" s="255" t="s">
        <v>358</v>
      </c>
      <c r="D40" s="180"/>
      <c r="E40" s="508">
        <v>150</v>
      </c>
      <c r="F40" s="509"/>
      <c r="G40" s="508">
        <v>150</v>
      </c>
      <c r="H40" s="509"/>
      <c r="I40" s="508">
        <v>150</v>
      </c>
      <c r="J40" s="509"/>
      <c r="K40" s="508">
        <v>150</v>
      </c>
      <c r="L40" s="509"/>
      <c r="M40" s="508">
        <v>150</v>
      </c>
    </row>
    <row r="41" spans="2:13" ht="12.75">
      <c r="B41" s="255" t="s">
        <v>3</v>
      </c>
      <c r="D41" s="180"/>
      <c r="E41" s="508">
        <v>75</v>
      </c>
      <c r="F41" s="509"/>
      <c r="G41" s="508">
        <v>75</v>
      </c>
      <c r="H41" s="509"/>
      <c r="I41" s="508">
        <v>75</v>
      </c>
      <c r="J41" s="509"/>
      <c r="K41" s="508">
        <v>75</v>
      </c>
      <c r="L41" s="509"/>
      <c r="M41" s="508">
        <v>75</v>
      </c>
    </row>
    <row r="42" spans="2:13" ht="12.75">
      <c r="B42" s="255" t="s">
        <v>186</v>
      </c>
      <c r="D42" s="180"/>
      <c r="E42" s="508">
        <v>150</v>
      </c>
      <c r="F42" s="509"/>
      <c r="G42" s="508">
        <v>150</v>
      </c>
      <c r="H42" s="509"/>
      <c r="I42" s="508">
        <v>150</v>
      </c>
      <c r="J42" s="509"/>
      <c r="K42" s="508">
        <v>150</v>
      </c>
      <c r="L42" s="509"/>
      <c r="M42" s="508">
        <v>150</v>
      </c>
    </row>
    <row r="43" spans="2:13" ht="12.75">
      <c r="B43" s="498"/>
      <c r="C43" s="504"/>
      <c r="D43" s="505"/>
      <c r="E43" s="510"/>
      <c r="F43" s="511"/>
      <c r="G43" s="510"/>
      <c r="H43" s="511"/>
      <c r="I43" s="510"/>
      <c r="J43" s="511"/>
      <c r="K43" s="510"/>
      <c r="L43" s="511"/>
      <c r="M43" s="510"/>
    </row>
    <row r="44" spans="2:13" ht="13.5" thickBot="1">
      <c r="B44" s="498"/>
      <c r="C44" s="504"/>
      <c r="D44" s="505"/>
      <c r="E44" s="510"/>
      <c r="F44" s="511"/>
      <c r="G44" s="510"/>
      <c r="H44" s="511"/>
      <c r="I44" s="510"/>
      <c r="J44" s="511"/>
      <c r="K44" s="510"/>
      <c r="L44" s="511"/>
      <c r="M44" s="510"/>
    </row>
    <row r="45" spans="2:13" ht="13.5" thickBot="1">
      <c r="B45" s="501" t="s">
        <v>359</v>
      </c>
      <c r="C45" s="19"/>
      <c r="D45" s="19"/>
      <c r="E45" s="512"/>
      <c r="F45" s="512"/>
      <c r="G45" s="512"/>
      <c r="H45" s="512"/>
      <c r="I45" s="512"/>
      <c r="J45" s="512"/>
      <c r="K45" s="512"/>
      <c r="L45" s="512"/>
      <c r="M45" s="512"/>
    </row>
    <row r="46" spans="2:13" ht="12.75">
      <c r="B46" s="238" t="s">
        <v>360</v>
      </c>
      <c r="D46" s="180"/>
      <c r="E46" s="508">
        <f>E27*(E33+E39)</f>
        <v>0</v>
      </c>
      <c r="F46" s="509"/>
      <c r="G46" s="508">
        <f>G27*(G33+G39)</f>
        <v>0</v>
      </c>
      <c r="H46" s="509"/>
      <c r="I46" s="508">
        <f>I27*(I33+I39)</f>
        <v>0</v>
      </c>
      <c r="J46" s="509"/>
      <c r="K46" s="508">
        <f>K27*(K33+K39)</f>
        <v>0</v>
      </c>
      <c r="L46" s="509"/>
      <c r="M46" s="508">
        <f>M27*(M33+M39)</f>
        <v>0</v>
      </c>
    </row>
    <row r="47" spans="2:13" ht="12.75">
      <c r="B47" s="255" t="s">
        <v>361</v>
      </c>
      <c r="D47" s="180"/>
      <c r="E47" s="508">
        <f>E28*(E34+E40)</f>
        <v>0</v>
      </c>
      <c r="F47" s="509"/>
      <c r="G47" s="508">
        <f>G28*(G34+G40)</f>
        <v>0</v>
      </c>
      <c r="H47" s="509"/>
      <c r="I47" s="508">
        <f>I28*(I34+I40)</f>
        <v>0</v>
      </c>
      <c r="J47" s="509"/>
      <c r="K47" s="508">
        <f>K28*(K34+K40)</f>
        <v>0</v>
      </c>
      <c r="L47" s="509"/>
      <c r="M47" s="508">
        <f>M28*(M34+M40)</f>
        <v>0</v>
      </c>
    </row>
    <row r="48" spans="2:13" ht="12.75">
      <c r="B48" s="255" t="s">
        <v>4</v>
      </c>
      <c r="D48" s="180"/>
      <c r="E48" s="508">
        <f>E29*(E35+E41)</f>
        <v>1872.0000000000002</v>
      </c>
      <c r="F48" s="509"/>
      <c r="G48" s="508">
        <f>G29*(G35+G41)</f>
        <v>3744.0000000000005</v>
      </c>
      <c r="H48" s="509"/>
      <c r="I48" s="508">
        <f>I29*(I35+I41)</f>
        <v>5616.000000000001</v>
      </c>
      <c r="J48" s="509"/>
      <c r="K48" s="508">
        <f>K29*(K35+K41)</f>
        <v>7488.000000000001</v>
      </c>
      <c r="L48" s="509"/>
      <c r="M48" s="508">
        <f>M29*(M35+M41)</f>
        <v>7488.000000000001</v>
      </c>
    </row>
    <row r="49" spans="2:13" ht="13.5" thickBot="1">
      <c r="B49" s="255" t="s">
        <v>187</v>
      </c>
      <c r="D49" s="181"/>
      <c r="E49" s="508">
        <f>E30*(E36+E42)</f>
        <v>3168</v>
      </c>
      <c r="F49" s="509"/>
      <c r="G49" s="508">
        <f>G30*(G36+G42)</f>
        <v>6336</v>
      </c>
      <c r="H49" s="509"/>
      <c r="I49" s="508">
        <f>I30*(I36+I42)</f>
        <v>9504</v>
      </c>
      <c r="J49" s="509"/>
      <c r="K49" s="508">
        <f>K30*(K36+K42)</f>
        <v>12672</v>
      </c>
      <c r="L49" s="509"/>
      <c r="M49" s="508">
        <f>M30*(M36+M42)</f>
        <v>12672</v>
      </c>
    </row>
    <row r="50" spans="2:13" ht="16.5" thickBot="1">
      <c r="B50" s="507" t="s">
        <v>5</v>
      </c>
      <c r="D50" s="173"/>
      <c r="E50" s="515">
        <f>SUM(E46:E49)</f>
        <v>5040</v>
      </c>
      <c r="F50" s="513"/>
      <c r="G50" s="515">
        <f>SUM(G46:G49)</f>
        <v>10080</v>
      </c>
      <c r="H50" s="513"/>
      <c r="I50" s="515">
        <f>SUM(I46:I49)</f>
        <v>15120</v>
      </c>
      <c r="J50" s="513"/>
      <c r="K50" s="515">
        <f>SUM(K46:K49)</f>
        <v>20160</v>
      </c>
      <c r="L50" s="513"/>
      <c r="M50" s="515">
        <f>SUM(M46:M49)</f>
        <v>20160</v>
      </c>
    </row>
    <row r="51" spans="1:19" s="504" customFormat="1" ht="15.75">
      <c r="A51" s="249"/>
      <c r="B51" s="792"/>
      <c r="D51" s="301"/>
      <c r="E51" s="793"/>
      <c r="F51" s="794"/>
      <c r="G51" s="793"/>
      <c r="H51" s="794"/>
      <c r="I51" s="793"/>
      <c r="J51" s="794"/>
      <c r="K51" s="793"/>
      <c r="L51" s="794"/>
      <c r="M51" s="793"/>
      <c r="N51" s="249"/>
      <c r="O51" s="249"/>
      <c r="P51" s="249"/>
      <c r="Q51" s="249"/>
      <c r="R51" s="249"/>
      <c r="S51" s="249"/>
    </row>
    <row r="52" spans="2:13" ht="12.75">
      <c r="B52" s="19"/>
      <c r="C52" s="19"/>
      <c r="D52" s="19"/>
      <c r="E52" s="514"/>
      <c r="F52" s="514"/>
      <c r="G52" s="514"/>
      <c r="H52" s="514"/>
      <c r="I52" s="514"/>
      <c r="J52" s="514"/>
      <c r="K52" s="514"/>
      <c r="L52" s="514"/>
      <c r="M52" s="514"/>
    </row>
    <row r="53" spans="3:13" ht="12.75">
      <c r="C53" s="19"/>
      <c r="D53" s="19"/>
      <c r="E53" s="514"/>
      <c r="F53" s="514"/>
      <c r="G53" s="514"/>
      <c r="H53" s="514"/>
      <c r="I53" s="514"/>
      <c r="J53" s="514"/>
      <c r="K53" s="514"/>
      <c r="L53" s="514"/>
      <c r="M53" s="514"/>
    </row>
    <row r="104" spans="2:13" ht="12.75">
      <c r="B104" s="791"/>
      <c r="C104" s="19"/>
      <c r="D104" s="19"/>
      <c r="E104" s="445"/>
      <c r="F104" s="445"/>
      <c r="G104" s="445"/>
      <c r="H104" s="445"/>
      <c r="I104" s="445"/>
      <c r="J104" s="445"/>
      <c r="K104" s="445"/>
      <c r="L104" s="445"/>
      <c r="M104" s="445"/>
    </row>
    <row r="105" spans="2:13" ht="12.75">
      <c r="B105" s="19"/>
      <c r="C105" s="19"/>
      <c r="D105" s="19"/>
      <c r="E105" s="19"/>
      <c r="F105" s="19"/>
      <c r="G105" s="19"/>
      <c r="H105" s="19"/>
      <c r="I105" s="19"/>
      <c r="J105" s="19"/>
      <c r="K105" s="19"/>
      <c r="L105" s="19"/>
      <c r="M105" s="19"/>
    </row>
    <row r="106" spans="2:13" ht="12.75">
      <c r="B106" s="19"/>
      <c r="C106" s="19"/>
      <c r="D106" s="19"/>
      <c r="E106" s="19"/>
      <c r="F106" s="19"/>
      <c r="G106" s="19"/>
      <c r="H106" s="19"/>
      <c r="I106" s="19"/>
      <c r="J106" s="19"/>
      <c r="K106" s="19"/>
      <c r="L106" s="19"/>
      <c r="M106" s="19"/>
    </row>
    <row r="107" spans="2:23" ht="12.75">
      <c r="B107" s="19"/>
      <c r="C107" s="19"/>
      <c r="D107" s="19"/>
      <c r="E107" s="19"/>
      <c r="F107" s="19"/>
      <c r="G107" s="130"/>
      <c r="H107" s="130"/>
      <c r="I107" s="130"/>
      <c r="J107" s="19"/>
      <c r="K107" s="19"/>
      <c r="L107" s="19"/>
      <c r="M107" s="19"/>
      <c r="T107" s="19"/>
      <c r="U107" s="19"/>
      <c r="V107" s="19"/>
      <c r="W107" s="19"/>
    </row>
    <row r="108" spans="2:23" ht="12.75">
      <c r="B108" s="19"/>
      <c r="C108" s="19"/>
      <c r="D108" s="19"/>
      <c r="E108" s="19"/>
      <c r="F108" s="19"/>
      <c r="G108" s="19"/>
      <c r="H108" s="19"/>
      <c r="I108" s="19"/>
      <c r="J108" s="19"/>
      <c r="K108" s="19"/>
      <c r="L108" s="19"/>
      <c r="M108" s="19"/>
      <c r="T108" s="19"/>
      <c r="U108" s="19"/>
      <c r="V108" s="19"/>
      <c r="W108" s="19"/>
    </row>
    <row r="109" spans="2:23" ht="12.75">
      <c r="B109" s="19"/>
      <c r="C109" s="19"/>
      <c r="D109" s="19"/>
      <c r="E109" s="19"/>
      <c r="F109" s="19"/>
      <c r="G109" s="19"/>
      <c r="H109" s="19"/>
      <c r="I109" s="19"/>
      <c r="J109" s="19"/>
      <c r="K109" s="19"/>
      <c r="L109" s="19"/>
      <c r="M109" s="19"/>
      <c r="T109" s="19"/>
      <c r="U109" s="19"/>
      <c r="V109" s="19"/>
      <c r="W109" s="19"/>
    </row>
    <row r="110" spans="2:23" ht="12.75">
      <c r="B110" s="19"/>
      <c r="C110" s="19"/>
      <c r="D110" s="19"/>
      <c r="E110" s="19"/>
      <c r="F110" s="19"/>
      <c r="G110" s="19"/>
      <c r="H110" s="19"/>
      <c r="I110" s="19"/>
      <c r="J110" s="19"/>
      <c r="K110" s="19"/>
      <c r="L110" s="19"/>
      <c r="M110" s="19"/>
      <c r="T110" s="19"/>
      <c r="U110" s="19"/>
      <c r="V110" s="19"/>
      <c r="W110" s="19"/>
    </row>
    <row r="111" spans="2:23" ht="12.75">
      <c r="B111" s="19"/>
      <c r="C111" s="19"/>
      <c r="D111" s="19"/>
      <c r="E111" s="19"/>
      <c r="F111" s="19"/>
      <c r="G111" s="19"/>
      <c r="H111" s="19"/>
      <c r="I111" s="19"/>
      <c r="J111" s="19"/>
      <c r="K111" s="19"/>
      <c r="L111" s="19"/>
      <c r="M111" s="19"/>
      <c r="T111" s="19"/>
      <c r="U111" s="19"/>
      <c r="V111" s="19"/>
      <c r="W111" s="19"/>
    </row>
    <row r="112" spans="2:23" ht="12.75">
      <c r="B112" s="19"/>
      <c r="C112" s="19"/>
      <c r="D112" s="19"/>
      <c r="E112" s="19"/>
      <c r="F112" s="19"/>
      <c r="G112" s="19"/>
      <c r="H112" s="19"/>
      <c r="I112" s="19"/>
      <c r="J112" s="19"/>
      <c r="K112" s="19"/>
      <c r="L112" s="19"/>
      <c r="M112" s="19"/>
      <c r="T112" s="19"/>
      <c r="U112" s="19"/>
      <c r="V112" s="19"/>
      <c r="W112" s="19"/>
    </row>
    <row r="113" spans="2:23" ht="12.75">
      <c r="B113" s="19"/>
      <c r="C113" s="19"/>
      <c r="D113" s="19"/>
      <c r="E113" s="19"/>
      <c r="F113" s="19"/>
      <c r="G113" s="19"/>
      <c r="H113" s="19"/>
      <c r="I113" s="19"/>
      <c r="J113" s="19"/>
      <c r="K113" s="19"/>
      <c r="L113" s="19"/>
      <c r="M113" s="19"/>
      <c r="T113" s="19"/>
      <c r="U113" s="19"/>
      <c r="V113" s="19"/>
      <c r="W113" s="19"/>
    </row>
    <row r="114" spans="2:23" ht="12.75">
      <c r="B114" s="19"/>
      <c r="C114" s="19"/>
      <c r="D114" s="19"/>
      <c r="E114" s="19"/>
      <c r="F114" s="19"/>
      <c r="G114" s="19"/>
      <c r="H114" s="19"/>
      <c r="I114" s="19"/>
      <c r="J114" s="19"/>
      <c r="K114" s="19"/>
      <c r="L114" s="19"/>
      <c r="M114" s="19"/>
      <c r="T114" s="19"/>
      <c r="U114" s="19"/>
      <c r="V114" s="19"/>
      <c r="W114" s="19"/>
    </row>
    <row r="115" spans="2:23" ht="12.75">
      <c r="B115" s="19"/>
      <c r="C115" s="19"/>
      <c r="D115" s="19"/>
      <c r="E115" s="19"/>
      <c r="F115" s="19"/>
      <c r="G115" s="19"/>
      <c r="H115" s="19"/>
      <c r="I115" s="19"/>
      <c r="J115" s="19"/>
      <c r="K115" s="19"/>
      <c r="L115" s="19"/>
      <c r="M115" s="19"/>
      <c r="T115" s="19"/>
      <c r="U115" s="19"/>
      <c r="V115" s="19"/>
      <c r="W115" s="19"/>
    </row>
    <row r="116" spans="2:23" ht="12.75">
      <c r="B116" s="19"/>
      <c r="C116" s="19"/>
      <c r="D116" s="19"/>
      <c r="E116" s="19"/>
      <c r="F116" s="19"/>
      <c r="G116" s="19"/>
      <c r="H116" s="19"/>
      <c r="I116" s="19"/>
      <c r="J116" s="19"/>
      <c r="K116" s="19"/>
      <c r="L116" s="19"/>
      <c r="M116" s="19"/>
      <c r="T116" s="19"/>
      <c r="U116" s="19"/>
      <c r="V116" s="19"/>
      <c r="W116" s="19"/>
    </row>
    <row r="117" spans="2:23" ht="12.75">
      <c r="B117" s="19"/>
      <c r="C117" s="19"/>
      <c r="D117" s="19"/>
      <c r="E117" s="19"/>
      <c r="F117" s="19"/>
      <c r="G117" s="19"/>
      <c r="H117" s="19"/>
      <c r="I117" s="19"/>
      <c r="J117" s="19"/>
      <c r="K117" s="19"/>
      <c r="L117" s="19"/>
      <c r="M117" s="19"/>
      <c r="T117" s="19"/>
      <c r="U117" s="19"/>
      <c r="V117" s="19"/>
      <c r="W117" s="19"/>
    </row>
    <row r="118" spans="2:23" ht="12.75">
      <c r="B118" s="19"/>
      <c r="C118" s="19"/>
      <c r="D118" s="19"/>
      <c r="E118" s="19"/>
      <c r="F118" s="19"/>
      <c r="G118" s="19"/>
      <c r="H118" s="19"/>
      <c r="I118" s="19"/>
      <c r="J118" s="19"/>
      <c r="K118" s="19"/>
      <c r="L118" s="19"/>
      <c r="M118" s="19"/>
      <c r="T118" s="19"/>
      <c r="U118" s="19"/>
      <c r="V118" s="19"/>
      <c r="W118" s="19"/>
    </row>
    <row r="119" spans="2:23" ht="12.75">
      <c r="B119" s="19"/>
      <c r="C119" s="19"/>
      <c r="D119" s="19"/>
      <c r="E119" s="19"/>
      <c r="F119" s="19"/>
      <c r="G119" s="19"/>
      <c r="H119" s="19"/>
      <c r="I119" s="19"/>
      <c r="J119" s="19"/>
      <c r="K119" s="19"/>
      <c r="L119" s="19"/>
      <c r="M119" s="19"/>
      <c r="T119" s="19"/>
      <c r="U119" s="19"/>
      <c r="V119" s="19"/>
      <c r="W119" s="19"/>
    </row>
    <row r="120" spans="2:23" ht="12.75">
      <c r="B120" s="19"/>
      <c r="C120" s="19"/>
      <c r="D120" s="19"/>
      <c r="E120" s="19"/>
      <c r="F120" s="19"/>
      <c r="G120" s="19"/>
      <c r="H120" s="19"/>
      <c r="I120" s="19"/>
      <c r="J120" s="19"/>
      <c r="K120" s="19"/>
      <c r="L120" s="19"/>
      <c r="M120" s="19"/>
      <c r="T120" s="19"/>
      <c r="U120" s="19"/>
      <c r="V120" s="19"/>
      <c r="W120" s="19"/>
    </row>
    <row r="121" spans="2:23" ht="12.75">
      <c r="B121" s="19"/>
      <c r="C121" s="19"/>
      <c r="D121" s="19"/>
      <c r="E121" s="19"/>
      <c r="F121" s="19"/>
      <c r="G121" s="19"/>
      <c r="H121" s="19"/>
      <c r="I121" s="19"/>
      <c r="J121" s="19"/>
      <c r="K121" s="19"/>
      <c r="L121" s="19"/>
      <c r="M121" s="19"/>
      <c r="T121" s="19"/>
      <c r="U121" s="19"/>
      <c r="V121" s="19"/>
      <c r="W121" s="19"/>
    </row>
    <row r="122" spans="2:23" ht="12.75">
      <c r="B122" s="19"/>
      <c r="C122" s="19"/>
      <c r="D122" s="19"/>
      <c r="E122" s="19"/>
      <c r="F122" s="19"/>
      <c r="G122" s="19"/>
      <c r="H122" s="19"/>
      <c r="I122" s="19"/>
      <c r="J122" s="19"/>
      <c r="K122" s="19"/>
      <c r="L122" s="19"/>
      <c r="M122" s="19"/>
      <c r="T122" s="19"/>
      <c r="U122" s="19"/>
      <c r="V122" s="19"/>
      <c r="W122" s="19"/>
    </row>
    <row r="123" spans="2:23" ht="12.75">
      <c r="B123" s="19"/>
      <c r="C123" s="19"/>
      <c r="D123" s="19"/>
      <c r="E123" s="19"/>
      <c r="F123" s="19"/>
      <c r="G123" s="19"/>
      <c r="H123" s="19"/>
      <c r="I123" s="19"/>
      <c r="J123" s="19"/>
      <c r="K123" s="19"/>
      <c r="L123" s="19"/>
      <c r="M123" s="19"/>
      <c r="T123" s="19"/>
      <c r="U123" s="19"/>
      <c r="V123" s="19"/>
      <c r="W123" s="19"/>
    </row>
    <row r="124" spans="2:23" ht="12.75">
      <c r="B124" s="19"/>
      <c r="C124" s="19"/>
      <c r="D124" s="19"/>
      <c r="E124" s="19"/>
      <c r="F124" s="19"/>
      <c r="G124" s="19"/>
      <c r="H124" s="19"/>
      <c r="I124" s="19"/>
      <c r="J124" s="19"/>
      <c r="K124" s="19"/>
      <c r="L124" s="19"/>
      <c r="M124" s="19"/>
      <c r="T124" s="19"/>
      <c r="U124" s="19"/>
      <c r="V124" s="19"/>
      <c r="W124" s="19"/>
    </row>
    <row r="125" spans="2:23" ht="12.75">
      <c r="B125" s="19"/>
      <c r="C125" s="19"/>
      <c r="D125" s="19"/>
      <c r="E125" s="19"/>
      <c r="F125" s="19"/>
      <c r="G125" s="19"/>
      <c r="H125" s="19"/>
      <c r="I125" s="19"/>
      <c r="J125" s="19"/>
      <c r="K125" s="19"/>
      <c r="L125" s="19"/>
      <c r="M125" s="19"/>
      <c r="T125" s="19"/>
      <c r="U125" s="19"/>
      <c r="V125" s="19"/>
      <c r="W125" s="19"/>
    </row>
    <row r="126" spans="2:23" ht="12.75">
      <c r="B126" s="19"/>
      <c r="C126" s="19"/>
      <c r="D126" s="19"/>
      <c r="E126" s="19"/>
      <c r="F126" s="19"/>
      <c r="G126" s="19"/>
      <c r="H126" s="19"/>
      <c r="I126" s="19"/>
      <c r="J126" s="19"/>
      <c r="K126" s="19"/>
      <c r="L126" s="19"/>
      <c r="M126" s="19"/>
      <c r="T126" s="19"/>
      <c r="U126" s="19"/>
      <c r="V126" s="19"/>
      <c r="W126" s="19"/>
    </row>
    <row r="127" spans="2:23" ht="12.75">
      <c r="B127" s="19"/>
      <c r="C127" s="19"/>
      <c r="D127" s="19"/>
      <c r="E127" s="19"/>
      <c r="F127" s="19"/>
      <c r="G127" s="19"/>
      <c r="H127" s="19"/>
      <c r="I127" s="19"/>
      <c r="J127" s="19"/>
      <c r="K127" s="19"/>
      <c r="L127" s="19"/>
      <c r="M127" s="19"/>
      <c r="T127" s="19"/>
      <c r="U127" s="19"/>
      <c r="V127" s="19"/>
      <c r="W127" s="19"/>
    </row>
    <row r="128" spans="2:23" ht="12.75">
      <c r="B128" s="19"/>
      <c r="C128" s="19"/>
      <c r="D128" s="19"/>
      <c r="E128" s="19"/>
      <c r="F128" s="19"/>
      <c r="G128" s="19"/>
      <c r="H128" s="19"/>
      <c r="I128" s="19"/>
      <c r="J128" s="19"/>
      <c r="K128" s="19"/>
      <c r="L128" s="19"/>
      <c r="M128" s="19"/>
      <c r="T128" s="19"/>
      <c r="U128" s="19"/>
      <c r="V128" s="19"/>
      <c r="W128" s="19"/>
    </row>
    <row r="129" spans="2:23" ht="12.75">
      <c r="B129" s="19"/>
      <c r="C129" s="19"/>
      <c r="D129" s="19"/>
      <c r="E129" s="19"/>
      <c r="F129" s="19"/>
      <c r="G129" s="19"/>
      <c r="H129" s="19"/>
      <c r="I129" s="19"/>
      <c r="J129" s="19"/>
      <c r="K129" s="19"/>
      <c r="L129" s="19"/>
      <c r="M129" s="19"/>
      <c r="T129" s="19"/>
      <c r="U129" s="19"/>
      <c r="V129" s="19"/>
      <c r="W129" s="19"/>
    </row>
    <row r="130" spans="2:23" ht="12.75">
      <c r="B130" s="19"/>
      <c r="C130" s="19"/>
      <c r="D130" s="19"/>
      <c r="E130" s="19"/>
      <c r="F130" s="19"/>
      <c r="G130" s="19"/>
      <c r="H130" s="19"/>
      <c r="I130" s="19"/>
      <c r="J130" s="19"/>
      <c r="K130" s="19"/>
      <c r="L130" s="19"/>
      <c r="M130" s="19"/>
      <c r="T130" s="19"/>
      <c r="U130" s="19"/>
      <c r="V130" s="19"/>
      <c r="W130" s="19"/>
    </row>
    <row r="131" spans="2:23" ht="12.75">
      <c r="B131" s="19"/>
      <c r="C131" s="19"/>
      <c r="D131" s="19"/>
      <c r="E131" s="19"/>
      <c r="F131" s="19"/>
      <c r="G131" s="19"/>
      <c r="H131" s="19"/>
      <c r="I131" s="19"/>
      <c r="J131" s="19"/>
      <c r="K131" s="19"/>
      <c r="L131" s="19"/>
      <c r="M131" s="19"/>
      <c r="T131" s="19"/>
      <c r="U131" s="19"/>
      <c r="V131" s="19"/>
      <c r="W131" s="19"/>
    </row>
    <row r="132" spans="2:23" ht="12.75">
      <c r="B132" s="19"/>
      <c r="C132" s="19"/>
      <c r="D132" s="19"/>
      <c r="E132" s="19"/>
      <c r="F132" s="19"/>
      <c r="G132" s="19"/>
      <c r="H132" s="19"/>
      <c r="I132" s="19"/>
      <c r="J132" s="19"/>
      <c r="K132" s="19"/>
      <c r="L132" s="19"/>
      <c r="M132" s="19"/>
      <c r="T132" s="19"/>
      <c r="U132" s="19"/>
      <c r="V132" s="19"/>
      <c r="W132" s="19"/>
    </row>
    <row r="133" spans="2:23" ht="12.75">
      <c r="B133" s="19"/>
      <c r="C133" s="19"/>
      <c r="D133" s="19"/>
      <c r="E133" s="19"/>
      <c r="F133" s="19"/>
      <c r="G133" s="19"/>
      <c r="H133" s="19"/>
      <c r="I133" s="19"/>
      <c r="J133" s="19"/>
      <c r="K133" s="19"/>
      <c r="L133" s="19"/>
      <c r="M133" s="19"/>
      <c r="T133" s="19"/>
      <c r="U133" s="19"/>
      <c r="V133" s="19"/>
      <c r="W133" s="19"/>
    </row>
    <row r="134" spans="2:23" ht="12.75">
      <c r="B134" s="19"/>
      <c r="C134" s="19"/>
      <c r="D134" s="19"/>
      <c r="E134" s="19"/>
      <c r="F134" s="19"/>
      <c r="G134" s="19"/>
      <c r="H134" s="19"/>
      <c r="I134" s="19"/>
      <c r="J134" s="19"/>
      <c r="K134" s="19"/>
      <c r="L134" s="19"/>
      <c r="M134" s="19"/>
      <c r="T134" s="19"/>
      <c r="U134" s="19"/>
      <c r="V134" s="19"/>
      <c r="W134" s="19"/>
    </row>
    <row r="135" spans="2:23" ht="12.75">
      <c r="B135" s="19"/>
      <c r="C135" s="19"/>
      <c r="D135" s="19"/>
      <c r="E135" s="19"/>
      <c r="F135" s="19"/>
      <c r="G135" s="19"/>
      <c r="H135" s="19"/>
      <c r="I135" s="19"/>
      <c r="J135" s="19"/>
      <c r="K135" s="19"/>
      <c r="L135" s="19"/>
      <c r="M135" s="19"/>
      <c r="T135" s="19"/>
      <c r="U135" s="19"/>
      <c r="V135" s="19"/>
      <c r="W135" s="19"/>
    </row>
    <row r="136" spans="2:23" ht="12.75">
      <c r="B136" s="19"/>
      <c r="C136" s="19"/>
      <c r="D136" s="19"/>
      <c r="E136" s="19"/>
      <c r="F136" s="19"/>
      <c r="G136" s="19"/>
      <c r="H136" s="19"/>
      <c r="I136" s="19"/>
      <c r="J136" s="19"/>
      <c r="K136" s="19"/>
      <c r="L136" s="19"/>
      <c r="M136" s="19"/>
      <c r="T136" s="19"/>
      <c r="U136" s="19"/>
      <c r="V136" s="19"/>
      <c r="W136" s="19"/>
    </row>
    <row r="137" spans="2:23" ht="12.75">
      <c r="B137" s="19"/>
      <c r="C137" s="19"/>
      <c r="D137" s="19"/>
      <c r="E137" s="19"/>
      <c r="F137" s="19"/>
      <c r="G137" s="19"/>
      <c r="H137" s="19"/>
      <c r="I137" s="19"/>
      <c r="J137" s="19"/>
      <c r="K137" s="19"/>
      <c r="L137" s="19"/>
      <c r="M137" s="19"/>
      <c r="T137" s="19"/>
      <c r="U137" s="19"/>
      <c r="V137" s="19"/>
      <c r="W137" s="19"/>
    </row>
    <row r="138" spans="2:23" ht="12.75">
      <c r="B138" s="19"/>
      <c r="C138" s="19"/>
      <c r="D138" s="19"/>
      <c r="E138" s="19"/>
      <c r="F138" s="19"/>
      <c r="G138" s="19"/>
      <c r="H138" s="19"/>
      <c r="I138" s="19"/>
      <c r="J138" s="19"/>
      <c r="K138" s="19"/>
      <c r="L138" s="19"/>
      <c r="M138" s="19"/>
      <c r="T138" s="19"/>
      <c r="U138" s="19"/>
      <c r="V138" s="19"/>
      <c r="W138" s="19"/>
    </row>
    <row r="139" spans="2:23" ht="12.75">
      <c r="B139" s="19"/>
      <c r="C139" s="19"/>
      <c r="D139" s="19"/>
      <c r="E139" s="19"/>
      <c r="F139" s="19"/>
      <c r="G139" s="19"/>
      <c r="H139" s="19"/>
      <c r="I139" s="19"/>
      <c r="J139" s="19"/>
      <c r="K139" s="19"/>
      <c r="L139" s="19"/>
      <c r="M139" s="19"/>
      <c r="T139" s="19"/>
      <c r="U139" s="19"/>
      <c r="V139" s="19"/>
      <c r="W139" s="19"/>
    </row>
    <row r="140" spans="2:23" ht="12.75">
      <c r="B140" s="19"/>
      <c r="C140" s="19"/>
      <c r="D140" s="19"/>
      <c r="E140" s="19"/>
      <c r="F140" s="19"/>
      <c r="G140" s="19"/>
      <c r="H140" s="19"/>
      <c r="I140" s="19"/>
      <c r="J140" s="19"/>
      <c r="K140" s="19"/>
      <c r="L140" s="19"/>
      <c r="M140" s="19"/>
      <c r="T140" s="19"/>
      <c r="U140" s="19"/>
      <c r="V140" s="19"/>
      <c r="W140" s="19"/>
    </row>
    <row r="141" spans="2:23" ht="12.75">
      <c r="B141" s="19"/>
      <c r="C141" s="19"/>
      <c r="D141" s="19"/>
      <c r="E141" s="19"/>
      <c r="F141" s="19"/>
      <c r="G141" s="19"/>
      <c r="H141" s="19"/>
      <c r="I141" s="19"/>
      <c r="J141" s="19"/>
      <c r="K141" s="19"/>
      <c r="L141" s="19"/>
      <c r="M141" s="19"/>
      <c r="T141" s="19"/>
      <c r="U141" s="19"/>
      <c r="V141" s="19"/>
      <c r="W141" s="19"/>
    </row>
    <row r="142" spans="2:23" ht="12.75">
      <c r="B142" s="19"/>
      <c r="C142" s="19"/>
      <c r="D142" s="19"/>
      <c r="E142" s="19"/>
      <c r="F142" s="19"/>
      <c r="G142" s="19"/>
      <c r="H142" s="19"/>
      <c r="I142" s="19"/>
      <c r="J142" s="19"/>
      <c r="K142" s="19"/>
      <c r="L142" s="19"/>
      <c r="M142" s="19"/>
      <c r="T142" s="19"/>
      <c r="U142" s="19"/>
      <c r="V142" s="19"/>
      <c r="W142" s="19"/>
    </row>
    <row r="143" spans="2:23" ht="12.75">
      <c r="B143" s="19"/>
      <c r="C143" s="19"/>
      <c r="D143" s="19"/>
      <c r="E143" s="19"/>
      <c r="F143" s="19"/>
      <c r="G143" s="19"/>
      <c r="H143" s="19"/>
      <c r="I143" s="19"/>
      <c r="J143" s="19"/>
      <c r="K143" s="19"/>
      <c r="L143" s="19"/>
      <c r="M143" s="19"/>
      <c r="T143" s="19"/>
      <c r="U143" s="19"/>
      <c r="V143" s="19"/>
      <c r="W143" s="19"/>
    </row>
    <row r="144" spans="2:23" ht="12.75">
      <c r="B144" s="19"/>
      <c r="C144" s="19"/>
      <c r="D144" s="19"/>
      <c r="E144" s="19"/>
      <c r="F144" s="19"/>
      <c r="G144" s="19"/>
      <c r="H144" s="19"/>
      <c r="I144" s="19"/>
      <c r="J144" s="19"/>
      <c r="K144" s="19"/>
      <c r="L144" s="19"/>
      <c r="M144" s="19"/>
      <c r="T144" s="19"/>
      <c r="U144" s="19"/>
      <c r="V144" s="19"/>
      <c r="W144" s="19"/>
    </row>
    <row r="145" spans="2:23" ht="12.75">
      <c r="B145" s="19"/>
      <c r="C145" s="19"/>
      <c r="D145" s="19"/>
      <c r="E145" s="19"/>
      <c r="F145" s="19"/>
      <c r="G145" s="19"/>
      <c r="H145" s="19"/>
      <c r="I145" s="19"/>
      <c r="J145" s="19"/>
      <c r="K145" s="19"/>
      <c r="L145" s="19"/>
      <c r="M145" s="19"/>
      <c r="T145" s="19"/>
      <c r="U145" s="19"/>
      <c r="V145" s="19"/>
      <c r="W145" s="19"/>
    </row>
    <row r="146" spans="2:23" ht="12.75">
      <c r="B146" s="19"/>
      <c r="C146" s="19"/>
      <c r="D146" s="19"/>
      <c r="E146" s="19"/>
      <c r="F146" s="19"/>
      <c r="G146" s="19"/>
      <c r="H146" s="19"/>
      <c r="I146" s="19"/>
      <c r="J146" s="19"/>
      <c r="K146" s="19"/>
      <c r="L146" s="19"/>
      <c r="M146" s="19"/>
      <c r="T146" s="19"/>
      <c r="U146" s="19"/>
      <c r="V146" s="19"/>
      <c r="W146" s="19"/>
    </row>
    <row r="147" spans="2:23" ht="12.75">
      <c r="B147" s="19"/>
      <c r="C147" s="19"/>
      <c r="D147" s="19"/>
      <c r="E147" s="19"/>
      <c r="F147" s="19"/>
      <c r="G147" s="19"/>
      <c r="H147" s="19"/>
      <c r="I147" s="19"/>
      <c r="J147" s="19"/>
      <c r="K147" s="19"/>
      <c r="L147" s="19"/>
      <c r="M147" s="19"/>
      <c r="T147" s="19"/>
      <c r="U147" s="19"/>
      <c r="V147" s="19"/>
      <c r="W147" s="19"/>
    </row>
    <row r="148" spans="2:23" ht="12.75">
      <c r="B148" s="19"/>
      <c r="C148" s="19"/>
      <c r="D148" s="19"/>
      <c r="E148" s="19"/>
      <c r="F148" s="19"/>
      <c r="G148" s="19"/>
      <c r="H148" s="19"/>
      <c r="I148" s="19"/>
      <c r="J148" s="19"/>
      <c r="K148" s="19"/>
      <c r="L148" s="19"/>
      <c r="M148" s="19"/>
      <c r="T148" s="19"/>
      <c r="U148" s="19"/>
      <c r="V148" s="19"/>
      <c r="W148" s="19"/>
    </row>
    <row r="149" spans="2:23" ht="12.75">
      <c r="B149" s="19"/>
      <c r="C149" s="19"/>
      <c r="D149" s="19"/>
      <c r="E149" s="19"/>
      <c r="F149" s="19"/>
      <c r="G149" s="19"/>
      <c r="H149" s="19"/>
      <c r="I149" s="19"/>
      <c r="J149" s="19"/>
      <c r="K149" s="19"/>
      <c r="L149" s="19"/>
      <c r="M149" s="19"/>
      <c r="T149" s="19"/>
      <c r="U149" s="19"/>
      <c r="V149" s="19"/>
      <c r="W149" s="19"/>
    </row>
    <row r="150" spans="2:23" ht="12.75">
      <c r="B150" s="19"/>
      <c r="C150" s="19"/>
      <c r="D150" s="19"/>
      <c r="E150" s="19"/>
      <c r="F150" s="19"/>
      <c r="G150" s="19"/>
      <c r="H150" s="19"/>
      <c r="I150" s="19"/>
      <c r="J150" s="19"/>
      <c r="K150" s="19"/>
      <c r="L150" s="19"/>
      <c r="M150" s="19"/>
      <c r="T150" s="19"/>
      <c r="U150" s="19"/>
      <c r="V150" s="19"/>
      <c r="W150" s="19"/>
    </row>
    <row r="151" spans="2:23" ht="12.75">
      <c r="B151" s="19"/>
      <c r="C151" s="19"/>
      <c r="D151" s="19"/>
      <c r="E151" s="19"/>
      <c r="F151" s="19"/>
      <c r="G151" s="19"/>
      <c r="H151" s="19"/>
      <c r="I151" s="19"/>
      <c r="J151" s="19"/>
      <c r="K151" s="19"/>
      <c r="L151" s="19"/>
      <c r="M151" s="19"/>
      <c r="T151" s="19"/>
      <c r="U151" s="19"/>
      <c r="V151" s="19"/>
      <c r="W151" s="19"/>
    </row>
    <row r="152" spans="2:23" ht="12.75">
      <c r="B152" s="19"/>
      <c r="C152" s="19"/>
      <c r="D152" s="19"/>
      <c r="E152" s="19"/>
      <c r="F152" s="19"/>
      <c r="G152" s="19"/>
      <c r="H152" s="19"/>
      <c r="I152" s="19"/>
      <c r="J152" s="19"/>
      <c r="K152" s="19"/>
      <c r="L152" s="19"/>
      <c r="M152" s="19"/>
      <c r="T152" s="19"/>
      <c r="U152" s="19"/>
      <c r="V152" s="19"/>
      <c r="W152" s="19"/>
    </row>
    <row r="153" spans="2:23" ht="12.75">
      <c r="B153" s="19"/>
      <c r="C153" s="19"/>
      <c r="D153" s="19"/>
      <c r="E153" s="19"/>
      <c r="F153" s="19"/>
      <c r="G153" s="19"/>
      <c r="H153" s="19"/>
      <c r="I153" s="19"/>
      <c r="J153" s="19"/>
      <c r="K153" s="19"/>
      <c r="L153" s="19"/>
      <c r="M153" s="19"/>
      <c r="T153" s="19"/>
      <c r="U153" s="19"/>
      <c r="V153" s="19"/>
      <c r="W153" s="19"/>
    </row>
    <row r="154" spans="2:23" ht="12.75">
      <c r="B154" s="19"/>
      <c r="C154" s="19"/>
      <c r="D154" s="19"/>
      <c r="E154" s="19"/>
      <c r="F154" s="19"/>
      <c r="G154" s="19"/>
      <c r="H154" s="19"/>
      <c r="I154" s="19"/>
      <c r="J154" s="19"/>
      <c r="K154" s="19"/>
      <c r="L154" s="19"/>
      <c r="M154" s="19"/>
      <c r="T154" s="19"/>
      <c r="U154" s="19"/>
      <c r="V154" s="19"/>
      <c r="W154" s="19"/>
    </row>
    <row r="155" spans="2:23" ht="12.75">
      <c r="B155" s="19"/>
      <c r="C155" s="19"/>
      <c r="D155" s="19"/>
      <c r="E155" s="19"/>
      <c r="F155" s="19"/>
      <c r="G155" s="19"/>
      <c r="H155" s="19"/>
      <c r="I155" s="19"/>
      <c r="J155" s="19"/>
      <c r="K155" s="19"/>
      <c r="L155" s="19"/>
      <c r="M155" s="19"/>
      <c r="T155" s="19"/>
      <c r="U155" s="19"/>
      <c r="V155" s="19"/>
      <c r="W155" s="19"/>
    </row>
    <row r="156" spans="2:23" ht="12.75">
      <c r="B156" s="19"/>
      <c r="C156" s="19"/>
      <c r="D156" s="19"/>
      <c r="E156" s="19"/>
      <c r="F156" s="19"/>
      <c r="G156" s="19"/>
      <c r="H156" s="19"/>
      <c r="I156" s="19"/>
      <c r="J156" s="19"/>
      <c r="K156" s="19"/>
      <c r="L156" s="19"/>
      <c r="M156" s="19"/>
      <c r="T156" s="19"/>
      <c r="U156" s="19"/>
      <c r="V156" s="19"/>
      <c r="W156" s="19"/>
    </row>
    <row r="157" spans="2:23" ht="12.75">
      <c r="B157" s="19"/>
      <c r="C157" s="19"/>
      <c r="D157" s="19"/>
      <c r="E157" s="19"/>
      <c r="F157" s="19"/>
      <c r="G157" s="19"/>
      <c r="H157" s="19"/>
      <c r="I157" s="19"/>
      <c r="J157" s="19"/>
      <c r="K157" s="19"/>
      <c r="L157" s="19"/>
      <c r="M157" s="19"/>
      <c r="T157" s="19"/>
      <c r="U157" s="19"/>
      <c r="V157" s="19"/>
      <c r="W157" s="19"/>
    </row>
    <row r="158" spans="2:23" ht="12.75">
      <c r="B158" s="19"/>
      <c r="C158" s="19"/>
      <c r="D158" s="19"/>
      <c r="E158" s="19"/>
      <c r="F158" s="19"/>
      <c r="G158" s="19"/>
      <c r="H158" s="19"/>
      <c r="I158" s="19"/>
      <c r="J158" s="19"/>
      <c r="K158" s="19"/>
      <c r="L158" s="19"/>
      <c r="M158" s="19"/>
      <c r="T158" s="19"/>
      <c r="U158" s="19"/>
      <c r="V158" s="19"/>
      <c r="W158" s="19"/>
    </row>
    <row r="159" spans="2:23" ht="12.75">
      <c r="B159" s="19"/>
      <c r="C159" s="19"/>
      <c r="D159" s="19"/>
      <c r="E159" s="19"/>
      <c r="F159" s="19"/>
      <c r="G159" s="19"/>
      <c r="H159" s="19"/>
      <c r="I159" s="19"/>
      <c r="J159" s="19"/>
      <c r="K159" s="19"/>
      <c r="L159" s="19"/>
      <c r="M159" s="19"/>
      <c r="T159" s="19"/>
      <c r="U159" s="19"/>
      <c r="V159" s="19"/>
      <c r="W159" s="19"/>
    </row>
    <row r="160" spans="2:23" ht="12.75">
      <c r="B160" s="19"/>
      <c r="C160" s="19"/>
      <c r="D160" s="19"/>
      <c r="E160" s="19"/>
      <c r="F160" s="19"/>
      <c r="G160" s="19"/>
      <c r="H160" s="19"/>
      <c r="I160" s="19"/>
      <c r="J160" s="19"/>
      <c r="K160" s="19"/>
      <c r="L160" s="19"/>
      <c r="M160" s="19"/>
      <c r="T160" s="19"/>
      <c r="U160" s="19"/>
      <c r="V160" s="19"/>
      <c r="W160" s="19"/>
    </row>
    <row r="161" spans="2:23" ht="12.75">
      <c r="B161" s="19"/>
      <c r="C161" s="19"/>
      <c r="D161" s="19"/>
      <c r="E161" s="19"/>
      <c r="F161" s="19"/>
      <c r="G161" s="19"/>
      <c r="H161" s="19"/>
      <c r="I161" s="19"/>
      <c r="J161" s="19"/>
      <c r="K161" s="19"/>
      <c r="L161" s="19"/>
      <c r="M161" s="19"/>
      <c r="T161" s="19"/>
      <c r="U161" s="19"/>
      <c r="V161" s="19"/>
      <c r="W161" s="19"/>
    </row>
    <row r="162" spans="2:23" ht="12.75">
      <c r="B162" s="19"/>
      <c r="C162" s="19"/>
      <c r="D162" s="19"/>
      <c r="E162" s="19"/>
      <c r="F162" s="19"/>
      <c r="G162" s="19"/>
      <c r="H162" s="19"/>
      <c r="I162" s="19"/>
      <c r="J162" s="19"/>
      <c r="K162" s="19"/>
      <c r="L162" s="19"/>
      <c r="M162" s="19"/>
      <c r="T162" s="19"/>
      <c r="U162" s="19"/>
      <c r="V162" s="19"/>
      <c r="W162" s="19"/>
    </row>
    <row r="163" spans="2:23" ht="12.75">
      <c r="B163" s="19"/>
      <c r="C163" s="19"/>
      <c r="D163" s="19"/>
      <c r="E163" s="19"/>
      <c r="F163" s="19"/>
      <c r="G163" s="19"/>
      <c r="H163" s="19"/>
      <c r="I163" s="19"/>
      <c r="J163" s="19"/>
      <c r="K163" s="19"/>
      <c r="L163" s="19"/>
      <c r="M163" s="19"/>
      <c r="T163" s="19"/>
      <c r="U163" s="19"/>
      <c r="V163" s="19"/>
      <c r="W163" s="19"/>
    </row>
    <row r="164" spans="2:23" ht="12.75">
      <c r="B164" s="19"/>
      <c r="C164" s="19"/>
      <c r="D164" s="19"/>
      <c r="E164" s="19"/>
      <c r="F164" s="19"/>
      <c r="G164" s="19"/>
      <c r="H164" s="19"/>
      <c r="I164" s="19"/>
      <c r="J164" s="19"/>
      <c r="K164" s="19"/>
      <c r="L164" s="19"/>
      <c r="M164" s="19"/>
      <c r="T164" s="19"/>
      <c r="U164" s="19"/>
      <c r="V164" s="19"/>
      <c r="W164" s="19"/>
    </row>
    <row r="165" spans="2:23" ht="12.75">
      <c r="B165" s="19"/>
      <c r="C165" s="19"/>
      <c r="D165" s="19"/>
      <c r="E165" s="19"/>
      <c r="F165" s="19"/>
      <c r="G165" s="19"/>
      <c r="H165" s="19"/>
      <c r="I165" s="19"/>
      <c r="J165" s="19"/>
      <c r="K165" s="19"/>
      <c r="L165" s="19"/>
      <c r="M165" s="19"/>
      <c r="T165" s="19"/>
      <c r="U165" s="19"/>
      <c r="V165" s="19"/>
      <c r="W165" s="19"/>
    </row>
    <row r="166" spans="2:23" ht="12.75">
      <c r="B166" s="19"/>
      <c r="C166" s="19"/>
      <c r="D166" s="19"/>
      <c r="E166" s="19"/>
      <c r="F166" s="19"/>
      <c r="G166" s="19"/>
      <c r="H166" s="19"/>
      <c r="I166" s="19"/>
      <c r="J166" s="19"/>
      <c r="K166" s="19"/>
      <c r="L166" s="19"/>
      <c r="M166" s="19"/>
      <c r="T166" s="19"/>
      <c r="U166" s="19"/>
      <c r="V166" s="19"/>
      <c r="W166" s="19"/>
    </row>
    <row r="167" spans="2:23" ht="12.75">
      <c r="B167" s="19"/>
      <c r="C167" s="19"/>
      <c r="D167" s="19"/>
      <c r="E167" s="19"/>
      <c r="F167" s="19"/>
      <c r="G167" s="19"/>
      <c r="H167" s="19"/>
      <c r="I167" s="19"/>
      <c r="J167" s="19"/>
      <c r="K167" s="19"/>
      <c r="L167" s="19"/>
      <c r="M167" s="19"/>
      <c r="T167" s="19"/>
      <c r="U167" s="19"/>
      <c r="V167" s="19"/>
      <c r="W167" s="19"/>
    </row>
    <row r="168" spans="2:23" ht="12.75">
      <c r="B168" s="19"/>
      <c r="C168" s="19"/>
      <c r="D168" s="19"/>
      <c r="E168" s="19"/>
      <c r="F168" s="19"/>
      <c r="G168" s="19"/>
      <c r="H168" s="19"/>
      <c r="I168" s="19"/>
      <c r="J168" s="19"/>
      <c r="K168" s="19"/>
      <c r="L168" s="19"/>
      <c r="M168" s="19"/>
      <c r="T168" s="19"/>
      <c r="U168" s="19"/>
      <c r="V168" s="19"/>
      <c r="W168" s="19"/>
    </row>
    <row r="169" spans="2:23" ht="12.75">
      <c r="B169" s="19"/>
      <c r="C169" s="19"/>
      <c r="D169" s="19"/>
      <c r="E169" s="19"/>
      <c r="F169" s="19"/>
      <c r="G169" s="19"/>
      <c r="H169" s="19"/>
      <c r="I169" s="19"/>
      <c r="J169" s="19"/>
      <c r="K169" s="19"/>
      <c r="L169" s="19"/>
      <c r="M169" s="19"/>
      <c r="T169" s="19"/>
      <c r="U169" s="19"/>
      <c r="V169" s="19"/>
      <c r="W169" s="19"/>
    </row>
    <row r="170" spans="2:23" ht="12.75">
      <c r="B170" s="19"/>
      <c r="C170" s="19"/>
      <c r="D170" s="19"/>
      <c r="E170" s="19"/>
      <c r="F170" s="19"/>
      <c r="G170" s="19"/>
      <c r="H170" s="19"/>
      <c r="I170" s="19"/>
      <c r="J170" s="19"/>
      <c r="K170" s="19"/>
      <c r="L170" s="19"/>
      <c r="M170" s="19"/>
      <c r="T170" s="19"/>
      <c r="U170" s="19"/>
      <c r="V170" s="19"/>
      <c r="W170" s="19"/>
    </row>
    <row r="171" spans="2:23" ht="12.75">
      <c r="B171" s="19"/>
      <c r="C171" s="19"/>
      <c r="D171" s="19"/>
      <c r="E171" s="19"/>
      <c r="F171" s="19"/>
      <c r="G171" s="19"/>
      <c r="H171" s="19"/>
      <c r="I171" s="19"/>
      <c r="J171" s="19"/>
      <c r="K171" s="19"/>
      <c r="L171" s="19"/>
      <c r="M171" s="19"/>
      <c r="T171" s="19"/>
      <c r="U171" s="19"/>
      <c r="V171" s="19"/>
      <c r="W171" s="19"/>
    </row>
    <row r="172" spans="2:23" ht="12.75">
      <c r="B172" s="19"/>
      <c r="C172" s="19"/>
      <c r="D172" s="19"/>
      <c r="E172" s="19"/>
      <c r="F172" s="19"/>
      <c r="G172" s="19"/>
      <c r="H172" s="19"/>
      <c r="I172" s="19"/>
      <c r="J172" s="19"/>
      <c r="K172" s="19"/>
      <c r="L172" s="19"/>
      <c r="M172" s="19"/>
      <c r="T172" s="19"/>
      <c r="U172" s="19"/>
      <c r="V172" s="19"/>
      <c r="W172" s="19"/>
    </row>
    <row r="173" spans="2:23" ht="12.75">
      <c r="B173" s="19"/>
      <c r="C173" s="19"/>
      <c r="D173" s="19"/>
      <c r="E173" s="19"/>
      <c r="F173" s="19"/>
      <c r="G173" s="19"/>
      <c r="H173" s="19"/>
      <c r="I173" s="19"/>
      <c r="J173" s="19"/>
      <c r="K173" s="19"/>
      <c r="L173" s="19"/>
      <c r="M173" s="19"/>
      <c r="T173" s="19"/>
      <c r="U173" s="19"/>
      <c r="V173" s="19"/>
      <c r="W173" s="19"/>
    </row>
    <row r="174" spans="2:23" ht="12.75">
      <c r="B174" s="19"/>
      <c r="C174" s="19"/>
      <c r="D174" s="19"/>
      <c r="E174" s="19"/>
      <c r="F174" s="19"/>
      <c r="G174" s="19"/>
      <c r="H174" s="19"/>
      <c r="I174" s="19"/>
      <c r="J174" s="19"/>
      <c r="K174" s="19"/>
      <c r="L174" s="19"/>
      <c r="M174" s="19"/>
      <c r="T174" s="19"/>
      <c r="U174" s="19"/>
      <c r="V174" s="19"/>
      <c r="W174" s="19"/>
    </row>
    <row r="175" spans="2:23" ht="12.75">
      <c r="B175" s="19"/>
      <c r="C175" s="19"/>
      <c r="D175" s="19"/>
      <c r="E175" s="19"/>
      <c r="F175" s="19"/>
      <c r="G175" s="19"/>
      <c r="H175" s="19"/>
      <c r="I175" s="19"/>
      <c r="J175" s="19"/>
      <c r="K175" s="19"/>
      <c r="L175" s="19"/>
      <c r="M175" s="19"/>
      <c r="T175" s="19"/>
      <c r="U175" s="19"/>
      <c r="V175" s="19"/>
      <c r="W175" s="19"/>
    </row>
    <row r="176" spans="2:23" ht="12.75">
      <c r="B176" s="19"/>
      <c r="C176" s="19"/>
      <c r="D176" s="19"/>
      <c r="E176" s="19"/>
      <c r="F176" s="19"/>
      <c r="G176" s="19"/>
      <c r="H176" s="19"/>
      <c r="I176" s="19"/>
      <c r="J176" s="19"/>
      <c r="K176" s="19"/>
      <c r="L176" s="19"/>
      <c r="M176" s="19"/>
      <c r="T176" s="19"/>
      <c r="U176" s="19"/>
      <c r="V176" s="19"/>
      <c r="W176" s="19"/>
    </row>
    <row r="177" spans="2:23" ht="12.75">
      <c r="B177" s="19"/>
      <c r="C177" s="19"/>
      <c r="D177" s="19"/>
      <c r="E177" s="19"/>
      <c r="F177" s="19"/>
      <c r="G177" s="19"/>
      <c r="H177" s="19"/>
      <c r="I177" s="19"/>
      <c r="J177" s="19"/>
      <c r="K177" s="19"/>
      <c r="L177" s="19"/>
      <c r="M177" s="19"/>
      <c r="T177" s="19"/>
      <c r="U177" s="19"/>
      <c r="V177" s="19"/>
      <c r="W177" s="19"/>
    </row>
    <row r="178" spans="2:23" ht="12.75">
      <c r="B178" s="19"/>
      <c r="C178" s="19"/>
      <c r="D178" s="19"/>
      <c r="E178" s="19"/>
      <c r="F178" s="19"/>
      <c r="G178" s="19"/>
      <c r="H178" s="19"/>
      <c r="I178" s="19"/>
      <c r="J178" s="19"/>
      <c r="K178" s="19"/>
      <c r="L178" s="19"/>
      <c r="M178" s="19"/>
      <c r="T178" s="19"/>
      <c r="U178" s="19"/>
      <c r="V178" s="19"/>
      <c r="W178" s="19"/>
    </row>
    <row r="179" spans="2:23" ht="12.75">
      <c r="B179" s="19"/>
      <c r="C179" s="19"/>
      <c r="D179" s="19"/>
      <c r="E179" s="19"/>
      <c r="F179" s="19"/>
      <c r="G179" s="19"/>
      <c r="H179" s="19"/>
      <c r="I179" s="19"/>
      <c r="J179" s="19"/>
      <c r="K179" s="19"/>
      <c r="L179" s="19"/>
      <c r="M179" s="19"/>
      <c r="T179" s="19"/>
      <c r="U179" s="19"/>
      <c r="V179" s="19"/>
      <c r="W179" s="19"/>
    </row>
    <row r="180" spans="2:23" ht="12.75">
      <c r="B180" s="19"/>
      <c r="C180" s="19"/>
      <c r="D180" s="19"/>
      <c r="E180" s="19"/>
      <c r="F180" s="19"/>
      <c r="G180" s="19"/>
      <c r="H180" s="19"/>
      <c r="I180" s="19"/>
      <c r="J180" s="19"/>
      <c r="K180" s="19"/>
      <c r="L180" s="19"/>
      <c r="M180" s="19"/>
      <c r="T180" s="19"/>
      <c r="U180" s="19"/>
      <c r="V180" s="19"/>
      <c r="W180" s="19"/>
    </row>
    <row r="181" spans="2:23" ht="12.75">
      <c r="B181" s="19"/>
      <c r="C181" s="19"/>
      <c r="D181" s="19"/>
      <c r="E181" s="19"/>
      <c r="F181" s="19"/>
      <c r="G181" s="19"/>
      <c r="H181" s="19"/>
      <c r="I181" s="19"/>
      <c r="J181" s="19"/>
      <c r="K181" s="19"/>
      <c r="L181" s="19"/>
      <c r="M181" s="19"/>
      <c r="T181" s="19"/>
      <c r="U181" s="19"/>
      <c r="V181" s="19"/>
      <c r="W181" s="19"/>
    </row>
    <row r="182" spans="2:23" ht="12.75">
      <c r="B182" s="19"/>
      <c r="C182" s="19"/>
      <c r="D182" s="19"/>
      <c r="E182" s="19"/>
      <c r="F182" s="19"/>
      <c r="G182" s="19"/>
      <c r="H182" s="19"/>
      <c r="I182" s="19"/>
      <c r="J182" s="19"/>
      <c r="K182" s="19"/>
      <c r="L182" s="19"/>
      <c r="M182" s="19"/>
      <c r="T182" s="19"/>
      <c r="U182" s="19"/>
      <c r="V182" s="19"/>
      <c r="W182" s="19"/>
    </row>
    <row r="183" spans="2:23" ht="12.75">
      <c r="B183" s="19"/>
      <c r="C183" s="19"/>
      <c r="D183" s="19"/>
      <c r="E183" s="19"/>
      <c r="F183" s="19"/>
      <c r="G183" s="19"/>
      <c r="H183" s="19"/>
      <c r="I183" s="19"/>
      <c r="J183" s="19"/>
      <c r="K183" s="19"/>
      <c r="L183" s="19"/>
      <c r="M183" s="19"/>
      <c r="T183" s="19"/>
      <c r="U183" s="19"/>
      <c r="V183" s="19"/>
      <c r="W183" s="19"/>
    </row>
    <row r="184" spans="2:23" ht="12.75">
      <c r="B184" s="19"/>
      <c r="C184" s="19"/>
      <c r="D184" s="19"/>
      <c r="E184" s="19"/>
      <c r="F184" s="19"/>
      <c r="G184" s="19"/>
      <c r="H184" s="19"/>
      <c r="I184" s="19"/>
      <c r="J184" s="19"/>
      <c r="K184" s="19"/>
      <c r="L184" s="19"/>
      <c r="M184" s="19"/>
      <c r="T184" s="19"/>
      <c r="U184" s="19"/>
      <c r="V184" s="19"/>
      <c r="W184" s="19"/>
    </row>
    <row r="185" spans="2:23" ht="12.75">
      <c r="B185" s="19"/>
      <c r="C185" s="19"/>
      <c r="D185" s="19"/>
      <c r="E185" s="19"/>
      <c r="F185" s="19"/>
      <c r="G185" s="19"/>
      <c r="H185" s="19"/>
      <c r="I185" s="19"/>
      <c r="J185" s="19"/>
      <c r="K185" s="19"/>
      <c r="L185" s="19"/>
      <c r="M185" s="19"/>
      <c r="T185" s="19"/>
      <c r="U185" s="19"/>
      <c r="V185" s="19"/>
      <c r="W185" s="19"/>
    </row>
    <row r="186" spans="2:23" ht="12.75">
      <c r="B186" s="19"/>
      <c r="C186" s="19"/>
      <c r="D186" s="19"/>
      <c r="E186" s="19"/>
      <c r="F186" s="19"/>
      <c r="G186" s="19"/>
      <c r="H186" s="19"/>
      <c r="I186" s="19"/>
      <c r="J186" s="19"/>
      <c r="K186" s="19"/>
      <c r="L186" s="19"/>
      <c r="M186" s="19"/>
      <c r="T186" s="19"/>
      <c r="U186" s="19"/>
      <c r="V186" s="19"/>
      <c r="W186" s="19"/>
    </row>
    <row r="187" spans="2:23" ht="12.75">
      <c r="B187" s="19"/>
      <c r="C187" s="19"/>
      <c r="D187" s="19"/>
      <c r="E187" s="19"/>
      <c r="F187" s="19"/>
      <c r="G187" s="19"/>
      <c r="H187" s="19"/>
      <c r="I187" s="19"/>
      <c r="J187" s="19"/>
      <c r="K187" s="19"/>
      <c r="L187" s="19"/>
      <c r="M187" s="19"/>
      <c r="T187" s="19"/>
      <c r="U187" s="19"/>
      <c r="V187" s="19"/>
      <c r="W187" s="19"/>
    </row>
    <row r="188" spans="2:23" ht="12.75">
      <c r="B188" s="19"/>
      <c r="C188" s="19"/>
      <c r="D188" s="19"/>
      <c r="E188" s="19"/>
      <c r="F188" s="19"/>
      <c r="G188" s="19"/>
      <c r="H188" s="19"/>
      <c r="I188" s="19"/>
      <c r="J188" s="19"/>
      <c r="K188" s="19"/>
      <c r="L188" s="19"/>
      <c r="M188" s="19"/>
      <c r="T188" s="19"/>
      <c r="U188" s="19"/>
      <c r="V188" s="19"/>
      <c r="W188" s="19"/>
    </row>
    <row r="189" spans="2:23" ht="12.75">
      <c r="B189" s="19"/>
      <c r="C189" s="19"/>
      <c r="D189" s="19"/>
      <c r="E189" s="19"/>
      <c r="F189" s="19"/>
      <c r="G189" s="19"/>
      <c r="H189" s="19"/>
      <c r="I189" s="19"/>
      <c r="J189" s="19"/>
      <c r="K189" s="19"/>
      <c r="L189" s="19"/>
      <c r="M189" s="19"/>
      <c r="T189" s="19"/>
      <c r="U189" s="19"/>
      <c r="V189" s="19"/>
      <c r="W189" s="19"/>
    </row>
    <row r="190" spans="2:23" ht="12.75">
      <c r="B190" s="19"/>
      <c r="C190" s="19"/>
      <c r="D190" s="19"/>
      <c r="E190" s="19"/>
      <c r="F190" s="19"/>
      <c r="G190" s="19"/>
      <c r="H190" s="19"/>
      <c r="I190" s="19"/>
      <c r="J190" s="19"/>
      <c r="K190" s="19"/>
      <c r="L190" s="19"/>
      <c r="M190" s="19"/>
      <c r="T190" s="19"/>
      <c r="U190" s="19"/>
      <c r="V190" s="19"/>
      <c r="W190" s="19"/>
    </row>
    <row r="191" spans="2:23" ht="12.75">
      <c r="B191" s="19"/>
      <c r="C191" s="19"/>
      <c r="D191" s="19"/>
      <c r="E191" s="19"/>
      <c r="F191" s="19"/>
      <c r="G191" s="19"/>
      <c r="H191" s="19"/>
      <c r="I191" s="19"/>
      <c r="J191" s="19"/>
      <c r="K191" s="19"/>
      <c r="L191" s="19"/>
      <c r="M191" s="19"/>
      <c r="T191" s="19"/>
      <c r="U191" s="19"/>
      <c r="V191" s="19"/>
      <c r="W191" s="19"/>
    </row>
    <row r="192" spans="2:23" ht="12.75">
      <c r="B192" s="19"/>
      <c r="C192" s="19"/>
      <c r="D192" s="19"/>
      <c r="E192" s="19"/>
      <c r="F192" s="19"/>
      <c r="G192" s="19"/>
      <c r="H192" s="19"/>
      <c r="I192" s="19"/>
      <c r="J192" s="19"/>
      <c r="K192" s="19"/>
      <c r="L192" s="19"/>
      <c r="M192" s="19"/>
      <c r="T192" s="19"/>
      <c r="U192" s="19"/>
      <c r="V192" s="19"/>
      <c r="W192" s="19"/>
    </row>
    <row r="193" spans="2:23" ht="12.75">
      <c r="B193" s="19"/>
      <c r="C193" s="19"/>
      <c r="D193" s="19"/>
      <c r="E193" s="19"/>
      <c r="F193" s="19"/>
      <c r="G193" s="19"/>
      <c r="H193" s="19"/>
      <c r="I193" s="19"/>
      <c r="J193" s="19"/>
      <c r="K193" s="19"/>
      <c r="L193" s="19"/>
      <c r="M193" s="19"/>
      <c r="T193" s="19"/>
      <c r="U193" s="19"/>
      <c r="V193" s="19"/>
      <c r="W193" s="19"/>
    </row>
    <row r="194" spans="2:23" ht="12.75">
      <c r="B194" s="19"/>
      <c r="C194" s="19"/>
      <c r="D194" s="19"/>
      <c r="E194" s="19"/>
      <c r="F194" s="19"/>
      <c r="G194" s="19"/>
      <c r="H194" s="19"/>
      <c r="I194" s="19"/>
      <c r="J194" s="19"/>
      <c r="K194" s="19"/>
      <c r="L194" s="19"/>
      <c r="M194" s="19"/>
      <c r="T194" s="19"/>
      <c r="U194" s="19"/>
      <c r="V194" s="19"/>
      <c r="W194" s="19"/>
    </row>
    <row r="195" spans="2:23" ht="12.75">
      <c r="B195" s="19"/>
      <c r="C195" s="19"/>
      <c r="D195" s="19"/>
      <c r="E195" s="19"/>
      <c r="F195" s="19"/>
      <c r="G195" s="19"/>
      <c r="H195" s="19"/>
      <c r="I195" s="19"/>
      <c r="J195" s="19"/>
      <c r="K195" s="19"/>
      <c r="L195" s="19"/>
      <c r="M195" s="19"/>
      <c r="T195" s="19"/>
      <c r="U195" s="19"/>
      <c r="V195" s="19"/>
      <c r="W195" s="19"/>
    </row>
    <row r="196" spans="2:23" ht="12.75">
      <c r="B196" s="19"/>
      <c r="C196" s="19"/>
      <c r="D196" s="19"/>
      <c r="E196" s="19"/>
      <c r="F196" s="19"/>
      <c r="G196" s="19"/>
      <c r="H196" s="19"/>
      <c r="I196" s="19"/>
      <c r="J196" s="19"/>
      <c r="K196" s="19"/>
      <c r="L196" s="19"/>
      <c r="M196" s="19"/>
      <c r="T196" s="19"/>
      <c r="U196" s="19"/>
      <c r="V196" s="19"/>
      <c r="W196" s="19"/>
    </row>
    <row r="197" spans="2:23" ht="12.75">
      <c r="B197" s="19"/>
      <c r="C197" s="19"/>
      <c r="D197" s="19"/>
      <c r="E197" s="19"/>
      <c r="F197" s="19"/>
      <c r="G197" s="19"/>
      <c r="H197" s="19"/>
      <c r="I197" s="19"/>
      <c r="J197" s="19"/>
      <c r="K197" s="19"/>
      <c r="L197" s="19"/>
      <c r="M197" s="19"/>
      <c r="T197" s="19"/>
      <c r="U197" s="19"/>
      <c r="V197" s="19"/>
      <c r="W197" s="19"/>
    </row>
    <row r="198" spans="2:23" ht="12.75">
      <c r="B198" s="19"/>
      <c r="C198" s="19"/>
      <c r="D198" s="19"/>
      <c r="E198" s="19"/>
      <c r="F198" s="19"/>
      <c r="G198" s="19"/>
      <c r="H198" s="19"/>
      <c r="I198" s="19"/>
      <c r="J198" s="19"/>
      <c r="K198" s="19"/>
      <c r="L198" s="19"/>
      <c r="M198" s="19"/>
      <c r="T198" s="19"/>
      <c r="U198" s="19"/>
      <c r="V198" s="19"/>
      <c r="W198" s="19"/>
    </row>
    <row r="199" spans="2:23" ht="12.75">
      <c r="B199" s="19"/>
      <c r="C199" s="19"/>
      <c r="D199" s="19"/>
      <c r="E199" s="19"/>
      <c r="F199" s="19"/>
      <c r="G199" s="19"/>
      <c r="H199" s="19"/>
      <c r="I199" s="19"/>
      <c r="J199" s="19"/>
      <c r="K199" s="19"/>
      <c r="L199" s="19"/>
      <c r="M199" s="19"/>
      <c r="T199" s="19"/>
      <c r="U199" s="19"/>
      <c r="V199" s="19"/>
      <c r="W199" s="19"/>
    </row>
    <row r="200" spans="2:23" ht="12.75">
      <c r="B200" s="19"/>
      <c r="C200" s="19"/>
      <c r="D200" s="19"/>
      <c r="E200" s="19"/>
      <c r="F200" s="19"/>
      <c r="G200" s="19"/>
      <c r="H200" s="19"/>
      <c r="I200" s="19"/>
      <c r="J200" s="19"/>
      <c r="K200" s="19"/>
      <c r="L200" s="19"/>
      <c r="M200" s="19"/>
      <c r="T200" s="19"/>
      <c r="U200" s="19"/>
      <c r="V200" s="19"/>
      <c r="W200" s="19"/>
    </row>
    <row r="201" spans="2:23" ht="12.75">
      <c r="B201" s="19"/>
      <c r="C201" s="19"/>
      <c r="D201" s="19"/>
      <c r="E201" s="19"/>
      <c r="F201" s="19"/>
      <c r="G201" s="19"/>
      <c r="H201" s="19"/>
      <c r="I201" s="19"/>
      <c r="J201" s="19"/>
      <c r="K201" s="19"/>
      <c r="L201" s="19"/>
      <c r="M201" s="19"/>
      <c r="T201" s="19"/>
      <c r="U201" s="19"/>
      <c r="V201" s="19"/>
      <c r="W201" s="19"/>
    </row>
    <row r="202" spans="2:23" ht="12.75">
      <c r="B202" s="19"/>
      <c r="C202" s="19"/>
      <c r="D202" s="19"/>
      <c r="E202" s="19"/>
      <c r="F202" s="19"/>
      <c r="G202" s="19"/>
      <c r="H202" s="19"/>
      <c r="I202" s="19"/>
      <c r="J202" s="19"/>
      <c r="K202" s="19"/>
      <c r="L202" s="19"/>
      <c r="M202" s="19"/>
      <c r="T202" s="19"/>
      <c r="U202" s="19"/>
      <c r="V202" s="19"/>
      <c r="W202" s="19"/>
    </row>
    <row r="203" spans="2:23" ht="12.75">
      <c r="B203" s="19"/>
      <c r="C203" s="19"/>
      <c r="D203" s="19"/>
      <c r="E203" s="19"/>
      <c r="F203" s="19"/>
      <c r="G203" s="19"/>
      <c r="H203" s="19"/>
      <c r="I203" s="19"/>
      <c r="J203" s="19"/>
      <c r="K203" s="19"/>
      <c r="L203" s="19"/>
      <c r="M203" s="19"/>
      <c r="T203" s="19"/>
      <c r="U203" s="19"/>
      <c r="V203" s="19"/>
      <c r="W203" s="19"/>
    </row>
    <row r="204" spans="2:23" ht="12.75">
      <c r="B204" s="19"/>
      <c r="C204" s="19"/>
      <c r="D204" s="19"/>
      <c r="E204" s="19"/>
      <c r="F204" s="19"/>
      <c r="G204" s="19"/>
      <c r="H204" s="19"/>
      <c r="I204" s="19"/>
      <c r="J204" s="19"/>
      <c r="K204" s="19"/>
      <c r="L204" s="19"/>
      <c r="M204" s="19"/>
      <c r="T204" s="19"/>
      <c r="U204" s="19"/>
      <c r="V204" s="19"/>
      <c r="W204" s="19"/>
    </row>
    <row r="205" spans="2:23" ht="12.75">
      <c r="B205" s="19"/>
      <c r="C205" s="19"/>
      <c r="D205" s="19"/>
      <c r="E205" s="19"/>
      <c r="F205" s="19"/>
      <c r="G205" s="19"/>
      <c r="H205" s="19"/>
      <c r="I205" s="19"/>
      <c r="J205" s="19"/>
      <c r="K205" s="19"/>
      <c r="L205" s="19"/>
      <c r="M205" s="19"/>
      <c r="T205" s="19"/>
      <c r="U205" s="19"/>
      <c r="V205" s="19"/>
      <c r="W205" s="19"/>
    </row>
    <row r="206" spans="2:23" ht="12.75">
      <c r="B206" s="19"/>
      <c r="C206" s="19"/>
      <c r="D206" s="19"/>
      <c r="E206" s="19"/>
      <c r="F206" s="19"/>
      <c r="G206" s="19"/>
      <c r="H206" s="19"/>
      <c r="I206" s="19"/>
      <c r="J206" s="19"/>
      <c r="K206" s="19"/>
      <c r="L206" s="19"/>
      <c r="M206" s="19"/>
      <c r="T206" s="19"/>
      <c r="U206" s="19"/>
      <c r="V206" s="19"/>
      <c r="W206" s="19"/>
    </row>
    <row r="207" spans="2:23" ht="12.75">
      <c r="B207" s="19"/>
      <c r="C207" s="19"/>
      <c r="D207" s="19"/>
      <c r="E207" s="19"/>
      <c r="F207" s="19"/>
      <c r="G207" s="19"/>
      <c r="H207" s="19"/>
      <c r="I207" s="19"/>
      <c r="J207" s="19"/>
      <c r="K207" s="19"/>
      <c r="L207" s="19"/>
      <c r="M207" s="19"/>
      <c r="T207" s="19"/>
      <c r="U207" s="19"/>
      <c r="V207" s="19"/>
      <c r="W207" s="19"/>
    </row>
    <row r="208" spans="2:23" ht="12.75">
      <c r="B208" s="19"/>
      <c r="C208" s="19"/>
      <c r="D208" s="19"/>
      <c r="E208" s="19"/>
      <c r="F208" s="19"/>
      <c r="G208" s="19"/>
      <c r="H208" s="19"/>
      <c r="I208" s="19"/>
      <c r="J208" s="19"/>
      <c r="K208" s="19"/>
      <c r="L208" s="19"/>
      <c r="M208" s="19"/>
      <c r="T208" s="19"/>
      <c r="U208" s="19"/>
      <c r="V208" s="19"/>
      <c r="W208" s="19"/>
    </row>
    <row r="209" spans="2:23" ht="12.75">
      <c r="B209" s="19"/>
      <c r="C209" s="19"/>
      <c r="D209" s="19"/>
      <c r="E209" s="19"/>
      <c r="F209" s="19"/>
      <c r="G209" s="19"/>
      <c r="H209" s="19"/>
      <c r="I209" s="19"/>
      <c r="J209" s="19"/>
      <c r="K209" s="19"/>
      <c r="L209" s="19"/>
      <c r="M209" s="19"/>
      <c r="T209" s="19"/>
      <c r="U209" s="19"/>
      <c r="V209" s="19"/>
      <c r="W209" s="19"/>
    </row>
    <row r="210" spans="2:23" ht="12.75">
      <c r="B210" s="19"/>
      <c r="C210" s="19"/>
      <c r="D210" s="19"/>
      <c r="E210" s="19"/>
      <c r="F210" s="19"/>
      <c r="G210" s="19"/>
      <c r="H210" s="19"/>
      <c r="I210" s="19"/>
      <c r="J210" s="19"/>
      <c r="K210" s="19"/>
      <c r="L210" s="19"/>
      <c r="M210" s="19"/>
      <c r="T210" s="19"/>
      <c r="U210" s="19"/>
      <c r="V210" s="19"/>
      <c r="W210" s="19"/>
    </row>
    <row r="211" spans="2:23" ht="12.75">
      <c r="B211" s="19"/>
      <c r="C211" s="19"/>
      <c r="D211" s="19"/>
      <c r="E211" s="19"/>
      <c r="F211" s="19"/>
      <c r="G211" s="19"/>
      <c r="H211" s="19"/>
      <c r="I211" s="19"/>
      <c r="J211" s="19"/>
      <c r="K211" s="19"/>
      <c r="L211" s="19"/>
      <c r="M211" s="19"/>
      <c r="T211" s="19"/>
      <c r="U211" s="19"/>
      <c r="V211" s="19"/>
      <c r="W211" s="19"/>
    </row>
    <row r="212" spans="2:23" ht="12.75">
      <c r="B212" s="19"/>
      <c r="C212" s="19"/>
      <c r="D212" s="19"/>
      <c r="E212" s="19"/>
      <c r="F212" s="19"/>
      <c r="G212" s="19"/>
      <c r="H212" s="19"/>
      <c r="I212" s="19"/>
      <c r="J212" s="19"/>
      <c r="K212" s="19"/>
      <c r="L212" s="19"/>
      <c r="M212" s="19"/>
      <c r="T212" s="19"/>
      <c r="U212" s="19"/>
      <c r="V212" s="19"/>
      <c r="W212" s="19"/>
    </row>
    <row r="213" spans="2:23" ht="12.75">
      <c r="B213" s="19"/>
      <c r="C213" s="19"/>
      <c r="D213" s="19"/>
      <c r="E213" s="19"/>
      <c r="F213" s="19"/>
      <c r="G213" s="19"/>
      <c r="H213" s="19"/>
      <c r="I213" s="19"/>
      <c r="J213" s="19"/>
      <c r="K213" s="19"/>
      <c r="L213" s="19"/>
      <c r="M213" s="19"/>
      <c r="T213" s="19"/>
      <c r="U213" s="19"/>
      <c r="V213" s="19"/>
      <c r="W213" s="19"/>
    </row>
    <row r="214" spans="2:23" ht="12.75">
      <c r="B214" s="19"/>
      <c r="C214" s="19"/>
      <c r="D214" s="19"/>
      <c r="E214" s="19"/>
      <c r="F214" s="19"/>
      <c r="G214" s="19"/>
      <c r="H214" s="19"/>
      <c r="I214" s="19"/>
      <c r="J214" s="19"/>
      <c r="K214" s="19"/>
      <c r="L214" s="19"/>
      <c r="M214" s="19"/>
      <c r="T214" s="19"/>
      <c r="U214" s="19"/>
      <c r="V214" s="19"/>
      <c r="W214" s="19"/>
    </row>
    <row r="215" spans="2:23" ht="12.75">
      <c r="B215" s="19"/>
      <c r="C215" s="19"/>
      <c r="D215" s="19"/>
      <c r="E215" s="19"/>
      <c r="F215" s="19"/>
      <c r="G215" s="19"/>
      <c r="H215" s="19"/>
      <c r="I215" s="19"/>
      <c r="J215" s="19"/>
      <c r="K215" s="19"/>
      <c r="L215" s="19"/>
      <c r="M215" s="19"/>
      <c r="T215" s="19"/>
      <c r="U215" s="19"/>
      <c r="V215" s="19"/>
      <c r="W215" s="19"/>
    </row>
    <row r="216" spans="2:23" ht="12.75">
      <c r="B216" s="19"/>
      <c r="C216" s="19"/>
      <c r="D216" s="19"/>
      <c r="E216" s="19"/>
      <c r="F216" s="19"/>
      <c r="G216" s="19"/>
      <c r="H216" s="19"/>
      <c r="I216" s="19"/>
      <c r="J216" s="19"/>
      <c r="K216" s="19"/>
      <c r="L216" s="19"/>
      <c r="M216" s="19"/>
      <c r="T216" s="19"/>
      <c r="U216" s="19"/>
      <c r="V216" s="19"/>
      <c r="W216" s="19"/>
    </row>
    <row r="217" spans="2:23" ht="12.75">
      <c r="B217" s="19"/>
      <c r="C217" s="19"/>
      <c r="D217" s="19"/>
      <c r="E217" s="19"/>
      <c r="F217" s="19"/>
      <c r="G217" s="19"/>
      <c r="H217" s="19"/>
      <c r="I217" s="19"/>
      <c r="J217" s="19"/>
      <c r="K217" s="19"/>
      <c r="L217" s="19"/>
      <c r="M217" s="19"/>
      <c r="T217" s="19"/>
      <c r="U217" s="19"/>
      <c r="V217" s="19"/>
      <c r="W217" s="19"/>
    </row>
    <row r="218" spans="2:23" ht="12.75">
      <c r="B218" s="19"/>
      <c r="C218" s="19"/>
      <c r="D218" s="19"/>
      <c r="E218" s="19"/>
      <c r="F218" s="19"/>
      <c r="G218" s="19"/>
      <c r="H218" s="19"/>
      <c r="I218" s="19"/>
      <c r="J218" s="19"/>
      <c r="K218" s="19"/>
      <c r="L218" s="19"/>
      <c r="M218" s="19"/>
      <c r="T218" s="19"/>
      <c r="U218" s="19"/>
      <c r="V218" s="19"/>
      <c r="W218" s="19"/>
    </row>
    <row r="219" spans="2:13" ht="12.75">
      <c r="B219" s="19"/>
      <c r="C219" s="19"/>
      <c r="D219" s="19"/>
      <c r="E219" s="19"/>
      <c r="F219" s="19"/>
      <c r="G219" s="19"/>
      <c r="H219" s="19"/>
      <c r="I219" s="19"/>
      <c r="J219" s="19"/>
      <c r="K219" s="19"/>
      <c r="L219" s="19"/>
      <c r="M219" s="19"/>
    </row>
  </sheetData>
  <sheetProtection password="C9A0" sheet="1"/>
  <conditionalFormatting sqref="C27:C31">
    <cfRule type="expression" priority="11" dxfId="0" stopIfTrue="1">
      <formula>AND(OR('Revenues-Fed &amp; State'!#REF!="New Operator",'Revenues-Fed &amp; State'!#REF!="Existing Operator"),$C27&gt;0)</formula>
    </cfRule>
  </conditionalFormatting>
  <printOptions/>
  <pageMargins left="0.7" right="0.7" top="0.75" bottom="0.75" header="0.3" footer="0.3"/>
  <pageSetup horizontalDpi="300" verticalDpi="300" orientation="landscape" r:id="rId1"/>
  <headerFooter>
    <oddHeader>&amp;CSection 4.1a
Attachment 28
</oddHeader>
  </headerFooter>
</worksheet>
</file>

<file path=xl/worksheets/sheet6.xml><?xml version="1.0" encoding="utf-8"?>
<worksheet xmlns="http://schemas.openxmlformats.org/spreadsheetml/2006/main" xmlns:r="http://schemas.openxmlformats.org/officeDocument/2006/relationships">
  <dimension ref="A1:AH238"/>
  <sheetViews>
    <sheetView view="pageLayout" workbookViewId="0" topLeftCell="A205">
      <selection activeCell="F2" sqref="F2"/>
    </sheetView>
  </sheetViews>
  <sheetFormatPr defaultColWidth="9.140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8" max="8" width="79.421875" style="0" bestFit="1" customWidth="1"/>
    <col min="9" max="9" width="20.8515625" style="0" customWidth="1"/>
    <col min="10" max="10" width="17.421875" style="0" customWidth="1"/>
    <col min="11" max="11" width="18.421875" style="0" customWidth="1"/>
    <col min="12" max="12" width="17.140625" style="0" customWidth="1"/>
    <col min="13" max="13" width="14.28125" style="0" customWidth="1"/>
    <col min="15" max="15" width="52.28125" style="0" customWidth="1"/>
    <col min="16" max="16" width="20.8515625" style="0" customWidth="1"/>
    <col min="17" max="17" width="17.421875" style="0" customWidth="1"/>
    <col min="18" max="18" width="18.421875" style="0" customWidth="1"/>
    <col min="19" max="19" width="17.140625" style="0" customWidth="1"/>
    <col min="20" max="20" width="14.28125" style="0" customWidth="1"/>
    <col min="22" max="22" width="52.28125" style="0" customWidth="1"/>
    <col min="23" max="23" width="20.8515625" style="0" customWidth="1"/>
    <col min="24" max="24" width="17.421875" style="0" customWidth="1"/>
    <col min="25" max="25" width="18.421875" style="0" customWidth="1"/>
    <col min="26" max="26" width="17.140625" style="0" customWidth="1"/>
    <col min="27" max="27" width="14.28125" style="0" customWidth="1"/>
    <col min="29" max="29" width="53.7109375" style="0" customWidth="1"/>
    <col min="30" max="30" width="20.8515625" style="0" customWidth="1"/>
    <col min="31" max="31" width="17.421875" style="0" customWidth="1"/>
    <col min="32" max="32" width="18.421875" style="0" customWidth="1"/>
    <col min="33" max="33" width="17.140625" style="0" customWidth="1"/>
    <col min="34" max="34" width="14.28125" style="0" customWidth="1"/>
  </cols>
  <sheetData>
    <row r="1" spans="1:6" ht="16.5" thickBot="1">
      <c r="A1" s="962" t="str">
        <f>'Budget Assumptions'!C1</f>
        <v>Passages Charter School - High School Campus</v>
      </c>
      <c r="B1" s="963"/>
      <c r="C1" s="299"/>
      <c r="D1" s="299"/>
      <c r="E1" s="300"/>
      <c r="F1" s="301"/>
    </row>
    <row r="2" spans="1:6" ht="18.75" customHeight="1" thickBot="1">
      <c r="A2" s="824" t="s">
        <v>494</v>
      </c>
      <c r="B2" s="818"/>
      <c r="C2" s="299"/>
      <c r="D2" s="299"/>
      <c r="E2" s="300"/>
      <c r="F2" s="301"/>
    </row>
    <row r="3" spans="1:21" ht="15">
      <c r="A3" s="303"/>
      <c r="B3" s="299"/>
      <c r="C3" s="299"/>
      <c r="D3" s="299"/>
      <c r="E3" s="300"/>
      <c r="F3" s="301"/>
      <c r="U3" s="175"/>
    </row>
    <row r="4" spans="1:21" ht="15">
      <c r="A4" s="303"/>
      <c r="B4" s="299"/>
      <c r="C4" s="299"/>
      <c r="D4" s="299"/>
      <c r="E4" s="300"/>
      <c r="F4" s="301"/>
      <c r="U4" s="175"/>
    </row>
    <row r="5" spans="1:28" ht="15.75" thickBot="1">
      <c r="A5" s="303"/>
      <c r="B5" s="299"/>
      <c r="C5" s="299"/>
      <c r="D5" s="299"/>
      <c r="E5" s="300"/>
      <c r="F5" s="301"/>
      <c r="G5" s="175"/>
      <c r="N5" s="175"/>
      <c r="U5" s="175"/>
      <c r="AB5" s="175"/>
    </row>
    <row r="6" spans="1:34" ht="15.75" thickBot="1">
      <c r="A6" s="964" t="s">
        <v>192</v>
      </c>
      <c r="B6" s="965"/>
      <c r="C6" s="965"/>
      <c r="D6" s="965"/>
      <c r="E6" s="965"/>
      <c r="F6" s="966"/>
      <c r="G6" s="175"/>
      <c r="H6" s="964" t="s">
        <v>192</v>
      </c>
      <c r="I6" s="965"/>
      <c r="J6" s="965"/>
      <c r="K6" s="965"/>
      <c r="L6" s="965"/>
      <c r="M6" s="966"/>
      <c r="N6" s="175"/>
      <c r="O6" s="964" t="s">
        <v>192</v>
      </c>
      <c r="P6" s="965"/>
      <c r="Q6" s="965"/>
      <c r="R6" s="965"/>
      <c r="S6" s="965"/>
      <c r="T6" s="966"/>
      <c r="U6" s="304"/>
      <c r="V6" s="964" t="s">
        <v>192</v>
      </c>
      <c r="W6" s="965"/>
      <c r="X6" s="965"/>
      <c r="Y6" s="965"/>
      <c r="Z6" s="965"/>
      <c r="AA6" s="966"/>
      <c r="AB6" s="304"/>
      <c r="AC6" s="964" t="s">
        <v>192</v>
      </c>
      <c r="AD6" s="965"/>
      <c r="AE6" s="965"/>
      <c r="AF6" s="965"/>
      <c r="AG6" s="965"/>
      <c r="AH6" s="966"/>
    </row>
    <row r="7" spans="1:34" ht="18.75" thickBot="1">
      <c r="A7" s="957">
        <v>2015</v>
      </c>
      <c r="B7" s="958"/>
      <c r="C7" s="958"/>
      <c r="D7" s="958"/>
      <c r="E7" s="958"/>
      <c r="F7" s="959"/>
      <c r="G7" s="305"/>
      <c r="H7" s="957">
        <f>A7+1</f>
        <v>2016</v>
      </c>
      <c r="I7" s="958"/>
      <c r="J7" s="958"/>
      <c r="K7" s="958"/>
      <c r="L7" s="958"/>
      <c r="M7" s="959"/>
      <c r="N7" s="305"/>
      <c r="O7" s="957">
        <f>H7+1</f>
        <v>2017</v>
      </c>
      <c r="P7" s="958"/>
      <c r="Q7" s="958"/>
      <c r="R7" s="958"/>
      <c r="S7" s="958"/>
      <c r="T7" s="959"/>
      <c r="U7" s="306"/>
      <c r="V7" s="957">
        <f>O7+1</f>
        <v>2018</v>
      </c>
      <c r="W7" s="958"/>
      <c r="X7" s="958"/>
      <c r="Y7" s="958"/>
      <c r="Z7" s="958"/>
      <c r="AA7" s="959"/>
      <c r="AB7" s="306"/>
      <c r="AC7" s="957">
        <f>V7+1</f>
        <v>2019</v>
      </c>
      <c r="AD7" s="958"/>
      <c r="AE7" s="958"/>
      <c r="AF7" s="958"/>
      <c r="AG7" s="958"/>
      <c r="AH7" s="959"/>
    </row>
    <row r="8" spans="1:34" ht="15.75" thickBot="1">
      <c r="A8" s="307"/>
      <c r="B8" s="308"/>
      <c r="C8" s="308"/>
      <c r="D8" s="308"/>
      <c r="E8" s="309"/>
      <c r="F8" s="310"/>
      <c r="G8" s="305"/>
      <c r="H8" s="311"/>
      <c r="I8" s="312"/>
      <c r="J8" s="312"/>
      <c r="K8" s="312"/>
      <c r="L8" s="312"/>
      <c r="M8" s="313"/>
      <c r="N8" s="305"/>
      <c r="O8" s="311"/>
      <c r="P8" s="312"/>
      <c r="Q8" s="312"/>
      <c r="R8" s="312"/>
      <c r="S8" s="312"/>
      <c r="T8" s="313"/>
      <c r="U8" s="306"/>
      <c r="V8" s="312"/>
      <c r="W8" s="312"/>
      <c r="X8" s="312"/>
      <c r="Y8" s="312"/>
      <c r="Z8" s="312"/>
      <c r="AA8" s="313"/>
      <c r="AB8" s="306"/>
      <c r="AC8" s="312"/>
      <c r="AD8" s="312"/>
      <c r="AE8" s="312"/>
      <c r="AF8" s="312"/>
      <c r="AG8" s="312"/>
      <c r="AH8" s="313"/>
    </row>
    <row r="9" spans="1:34" ht="18.75" thickBot="1">
      <c r="A9" s="960">
        <f>A7</f>
        <v>2015</v>
      </c>
      <c r="B9" s="961"/>
      <c r="C9" s="314"/>
      <c r="D9" s="314"/>
      <c r="E9" s="315"/>
      <c r="F9" s="316"/>
      <c r="G9" s="305"/>
      <c r="H9" s="960">
        <f>H7</f>
        <v>2016</v>
      </c>
      <c r="I9" s="961"/>
      <c r="J9" s="314"/>
      <c r="K9" s="314"/>
      <c r="L9" s="315"/>
      <c r="M9" s="317"/>
      <c r="N9" s="305"/>
      <c r="O9" s="960">
        <f>O7</f>
        <v>2017</v>
      </c>
      <c r="P9" s="961"/>
      <c r="Q9" s="314"/>
      <c r="R9" s="314"/>
      <c r="S9" s="315"/>
      <c r="T9" s="317"/>
      <c r="U9" s="306"/>
      <c r="V9" s="960">
        <f>V7</f>
        <v>2018</v>
      </c>
      <c r="W9" s="961"/>
      <c r="X9" s="314"/>
      <c r="Y9" s="314"/>
      <c r="Z9" s="315"/>
      <c r="AA9" s="317"/>
      <c r="AB9" s="306"/>
      <c r="AC9" s="960">
        <f>AC7</f>
        <v>2019</v>
      </c>
      <c r="AD9" s="961"/>
      <c r="AE9" s="314"/>
      <c r="AF9" s="314"/>
      <c r="AG9" s="315"/>
      <c r="AH9" s="317"/>
    </row>
    <row r="10" spans="1:34" ht="15.75" thickBot="1">
      <c r="A10" s="318" t="s">
        <v>231</v>
      </c>
      <c r="B10" s="319" t="s">
        <v>232</v>
      </c>
      <c r="C10" s="314"/>
      <c r="D10" s="314"/>
      <c r="E10" s="315"/>
      <c r="F10" s="316"/>
      <c r="G10" s="305"/>
      <c r="H10" s="318" t="s">
        <v>231</v>
      </c>
      <c r="I10" s="319" t="s">
        <v>232</v>
      </c>
      <c r="J10" s="314"/>
      <c r="K10" s="314"/>
      <c r="L10" s="315"/>
      <c r="M10" s="317"/>
      <c r="N10" s="305"/>
      <c r="O10" s="758" t="s">
        <v>231</v>
      </c>
      <c r="P10" s="506" t="s">
        <v>232</v>
      </c>
      <c r="Q10" s="314"/>
      <c r="R10" s="314"/>
      <c r="S10" s="315"/>
      <c r="T10" s="317"/>
      <c r="U10" s="304"/>
      <c r="V10" s="766" t="s">
        <v>231</v>
      </c>
      <c r="W10" s="506" t="s">
        <v>232</v>
      </c>
      <c r="X10" s="314"/>
      <c r="Y10" s="314"/>
      <c r="Z10" s="315"/>
      <c r="AA10" s="317"/>
      <c r="AB10" s="306"/>
      <c r="AC10" s="766" t="s">
        <v>231</v>
      </c>
      <c r="AD10" s="506" t="s">
        <v>232</v>
      </c>
      <c r="AE10" s="314"/>
      <c r="AF10" s="314"/>
      <c r="AG10" s="315"/>
      <c r="AH10" s="317"/>
    </row>
    <row r="11" spans="1:34" ht="15">
      <c r="A11" s="320" t="s">
        <v>233</v>
      </c>
      <c r="B11" s="760">
        <v>5070.65</v>
      </c>
      <c r="C11" s="314"/>
      <c r="D11" s="314"/>
      <c r="E11" s="315"/>
      <c r="F11" s="316"/>
      <c r="G11" s="305"/>
      <c r="H11" s="320" t="s">
        <v>233</v>
      </c>
      <c r="I11" s="760">
        <f>$B$11</f>
        <v>5070.65</v>
      </c>
      <c r="J11" s="314"/>
      <c r="K11" s="314"/>
      <c r="L11" s="315"/>
      <c r="M11" s="317"/>
      <c r="N11" s="305"/>
      <c r="O11" s="759" t="s">
        <v>233</v>
      </c>
      <c r="P11" s="760">
        <f>$B$11</f>
        <v>5070.65</v>
      </c>
      <c r="Q11" s="314"/>
      <c r="R11" s="314"/>
      <c r="S11" s="315"/>
      <c r="T11" s="317"/>
      <c r="U11" s="306"/>
      <c r="V11" s="767" t="s">
        <v>233</v>
      </c>
      <c r="W11" s="760">
        <f>$B$11</f>
        <v>5070.65</v>
      </c>
      <c r="X11" s="314"/>
      <c r="Y11" s="314"/>
      <c r="Z11" s="315"/>
      <c r="AA11" s="317"/>
      <c r="AB11" s="306"/>
      <c r="AC11" s="767" t="s">
        <v>233</v>
      </c>
      <c r="AD11" s="760">
        <f>$B$11</f>
        <v>5070.65</v>
      </c>
      <c r="AE11" s="314"/>
      <c r="AF11" s="314"/>
      <c r="AG11" s="315"/>
      <c r="AH11" s="317"/>
    </row>
    <row r="12" spans="1:34" ht="15">
      <c r="A12" s="321" t="s">
        <v>234</v>
      </c>
      <c r="B12" s="841">
        <v>1758.02</v>
      </c>
      <c r="C12" s="314"/>
      <c r="D12" s="314"/>
      <c r="E12" s="315"/>
      <c r="F12" s="316"/>
      <c r="G12" s="305"/>
      <c r="H12" s="321" t="s">
        <v>234</v>
      </c>
      <c r="I12" s="760">
        <f>$B$12</f>
        <v>1758.02</v>
      </c>
      <c r="J12" s="314"/>
      <c r="K12" s="314"/>
      <c r="L12" s="315"/>
      <c r="M12" s="317"/>
      <c r="N12" s="305"/>
      <c r="O12" s="761" t="s">
        <v>234</v>
      </c>
      <c r="P12" s="760">
        <f>$B$12</f>
        <v>1758.02</v>
      </c>
      <c r="Q12" s="314"/>
      <c r="R12" s="314"/>
      <c r="S12" s="315"/>
      <c r="T12" s="317"/>
      <c r="U12" s="306"/>
      <c r="V12" s="768" t="s">
        <v>234</v>
      </c>
      <c r="W12" s="760">
        <f>$B$12</f>
        <v>1758.02</v>
      </c>
      <c r="X12" s="314"/>
      <c r="Y12" s="314"/>
      <c r="Z12" s="315"/>
      <c r="AA12" s="317"/>
      <c r="AB12" s="306"/>
      <c r="AC12" s="768" t="s">
        <v>234</v>
      </c>
      <c r="AD12" s="760">
        <f>$B$12</f>
        <v>1758.02</v>
      </c>
      <c r="AE12" s="314"/>
      <c r="AF12" s="314"/>
      <c r="AG12" s="315"/>
      <c r="AH12" s="317"/>
    </row>
    <row r="13" spans="1:34" ht="15">
      <c r="A13" s="322" t="s">
        <v>235</v>
      </c>
      <c r="B13" s="841">
        <v>4738.92</v>
      </c>
      <c r="C13" s="314"/>
      <c r="D13" s="314"/>
      <c r="E13" s="315"/>
      <c r="F13" s="316"/>
      <c r="G13" s="305"/>
      <c r="H13" s="322" t="s">
        <v>235</v>
      </c>
      <c r="I13" s="760">
        <f>$B$13</f>
        <v>4738.92</v>
      </c>
      <c r="J13" s="314"/>
      <c r="K13" s="314"/>
      <c r="L13" s="315"/>
      <c r="M13" s="317"/>
      <c r="N13" s="305"/>
      <c r="O13" s="762" t="s">
        <v>236</v>
      </c>
      <c r="P13" s="760">
        <f>$B$13</f>
        <v>4738.92</v>
      </c>
      <c r="Q13" s="314"/>
      <c r="R13" s="314"/>
      <c r="S13" s="315"/>
      <c r="T13" s="317"/>
      <c r="U13" s="306"/>
      <c r="V13" s="769" t="s">
        <v>237</v>
      </c>
      <c r="W13" s="760">
        <f>$B$13</f>
        <v>4738.92</v>
      </c>
      <c r="X13" s="314"/>
      <c r="Y13" s="314"/>
      <c r="Z13" s="315"/>
      <c r="AA13" s="317"/>
      <c r="AB13" s="306"/>
      <c r="AC13" s="769" t="s">
        <v>236</v>
      </c>
      <c r="AD13" s="760">
        <f>$B$13</f>
        <v>4738.92</v>
      </c>
      <c r="AE13" s="314"/>
      <c r="AF13" s="314"/>
      <c r="AG13" s="315"/>
      <c r="AH13" s="317"/>
    </row>
    <row r="14" spans="1:34" ht="15">
      <c r="A14" s="322" t="s">
        <v>238</v>
      </c>
      <c r="B14" s="841">
        <v>1643.01</v>
      </c>
      <c r="C14" s="314"/>
      <c r="D14" s="314"/>
      <c r="E14" s="315"/>
      <c r="F14" s="316"/>
      <c r="G14" s="323"/>
      <c r="H14" s="322" t="s">
        <v>238</v>
      </c>
      <c r="I14" s="760">
        <f>$B$14</f>
        <v>1643.01</v>
      </c>
      <c r="J14" s="314"/>
      <c r="K14" s="314"/>
      <c r="L14" s="315"/>
      <c r="M14" s="317"/>
      <c r="N14" s="305"/>
      <c r="O14" s="763" t="s">
        <v>239</v>
      </c>
      <c r="P14" s="760">
        <f>$B$14</f>
        <v>1643.01</v>
      </c>
      <c r="Q14" s="314"/>
      <c r="R14" s="314"/>
      <c r="S14" s="315"/>
      <c r="T14" s="317"/>
      <c r="U14" s="306"/>
      <c r="V14" s="770" t="s">
        <v>240</v>
      </c>
      <c r="W14" s="760">
        <f>$B$14</f>
        <v>1643.01</v>
      </c>
      <c r="X14" s="314"/>
      <c r="Y14" s="314"/>
      <c r="Z14" s="315"/>
      <c r="AA14" s="317"/>
      <c r="AB14" s="306"/>
      <c r="AC14" s="770" t="s">
        <v>239</v>
      </c>
      <c r="AD14" s="760">
        <f>$B$14</f>
        <v>1643.01</v>
      </c>
      <c r="AE14" s="314"/>
      <c r="AF14" s="314"/>
      <c r="AG14" s="315"/>
      <c r="AH14" s="317"/>
    </row>
    <row r="15" spans="1:34" ht="15">
      <c r="A15" s="320" t="s">
        <v>241</v>
      </c>
      <c r="B15" s="841">
        <f>B13*1.16</f>
        <v>5497.147199999999</v>
      </c>
      <c r="C15" s="314"/>
      <c r="D15" s="314"/>
      <c r="E15" s="315"/>
      <c r="F15" s="316"/>
      <c r="G15" s="306"/>
      <c r="H15" s="320" t="s">
        <v>241</v>
      </c>
      <c r="I15" s="841">
        <f>I13*1.08</f>
        <v>5118.033600000001</v>
      </c>
      <c r="J15" s="314"/>
      <c r="K15" s="314"/>
      <c r="L15" s="315"/>
      <c r="M15" s="317"/>
      <c r="N15" s="324"/>
      <c r="O15" s="764" t="s">
        <v>242</v>
      </c>
      <c r="P15" s="760">
        <f>$B$17</f>
        <v>5868.88</v>
      </c>
      <c r="Q15" s="314"/>
      <c r="R15" s="314"/>
      <c r="S15" s="315"/>
      <c r="T15" s="317"/>
      <c r="U15" s="306"/>
      <c r="V15" s="771" t="s">
        <v>243</v>
      </c>
      <c r="W15" s="760">
        <f>$B$17</f>
        <v>5868.88</v>
      </c>
      <c r="X15" s="314"/>
      <c r="Y15" s="314"/>
      <c r="Z15" s="315"/>
      <c r="AA15" s="317"/>
      <c r="AB15" s="306"/>
      <c r="AC15" s="771" t="s">
        <v>243</v>
      </c>
      <c r="AD15" s="760">
        <f>$B$17</f>
        <v>5868.88</v>
      </c>
      <c r="AE15" s="314"/>
      <c r="AF15" s="314"/>
      <c r="AG15" s="315"/>
      <c r="AH15" s="317"/>
    </row>
    <row r="16" spans="1:34" ht="15">
      <c r="A16" s="320" t="s">
        <v>244</v>
      </c>
      <c r="B16" s="841">
        <f>B14*1.16</f>
        <v>1905.8916</v>
      </c>
      <c r="C16" s="314"/>
      <c r="D16" s="314"/>
      <c r="E16" s="315"/>
      <c r="F16" s="316"/>
      <c r="G16" s="306"/>
      <c r="H16" s="320" t="s">
        <v>244</v>
      </c>
      <c r="I16" s="841">
        <f>I14*1.08</f>
        <v>1774.4508</v>
      </c>
      <c r="J16" s="314"/>
      <c r="K16" s="314"/>
      <c r="L16" s="315"/>
      <c r="M16" s="317"/>
      <c r="N16" s="324"/>
      <c r="O16" s="765" t="s">
        <v>245</v>
      </c>
      <c r="P16" s="760">
        <f>$B$18</f>
        <v>2020.9</v>
      </c>
      <c r="Q16" s="314"/>
      <c r="R16" s="314"/>
      <c r="S16" s="315"/>
      <c r="T16" s="317"/>
      <c r="U16" s="306"/>
      <c r="V16" s="771" t="s">
        <v>246</v>
      </c>
      <c r="W16" s="760">
        <f>$B$18</f>
        <v>2020.9</v>
      </c>
      <c r="X16" s="314"/>
      <c r="Y16" s="314"/>
      <c r="Z16" s="315"/>
      <c r="AA16" s="317"/>
      <c r="AB16" s="306"/>
      <c r="AC16" s="771" t="s">
        <v>246</v>
      </c>
      <c r="AD16" s="760">
        <f>$B$18</f>
        <v>2020.9</v>
      </c>
      <c r="AE16" s="314"/>
      <c r="AF16" s="314"/>
      <c r="AG16" s="315"/>
      <c r="AH16" s="317"/>
    </row>
    <row r="17" spans="1:34" ht="15">
      <c r="A17" s="322" t="s">
        <v>243</v>
      </c>
      <c r="B17" s="841">
        <v>5868.88</v>
      </c>
      <c r="C17" s="314"/>
      <c r="D17" s="314"/>
      <c r="E17" s="315"/>
      <c r="F17" s="316"/>
      <c r="G17" s="306"/>
      <c r="H17" s="322" t="s">
        <v>243</v>
      </c>
      <c r="I17" s="760">
        <f>$B$17</f>
        <v>5868.88</v>
      </c>
      <c r="J17" s="314"/>
      <c r="K17" s="314"/>
      <c r="L17" s="315"/>
      <c r="M17" s="317"/>
      <c r="N17" s="324"/>
      <c r="O17" s="325"/>
      <c r="P17" s="326"/>
      <c r="Q17" s="314"/>
      <c r="R17" s="314"/>
      <c r="S17" s="315"/>
      <c r="T17" s="317"/>
      <c r="U17" s="306"/>
      <c r="V17" s="302"/>
      <c r="W17" s="326"/>
      <c r="X17" s="314"/>
      <c r="Y17" s="314"/>
      <c r="Z17" s="315"/>
      <c r="AA17" s="317"/>
      <c r="AB17" s="306"/>
      <c r="AC17" s="302"/>
      <c r="AD17" s="326"/>
      <c r="AE17" s="314"/>
      <c r="AF17" s="314"/>
      <c r="AG17" s="315"/>
      <c r="AH17" s="317"/>
    </row>
    <row r="18" spans="1:34" ht="15">
      <c r="A18" s="322" t="s">
        <v>246</v>
      </c>
      <c r="B18" s="841">
        <v>2020.9</v>
      </c>
      <c r="C18" s="314"/>
      <c r="D18" s="314"/>
      <c r="E18" s="315"/>
      <c r="F18" s="316"/>
      <c r="G18" s="306"/>
      <c r="H18" s="322" t="s">
        <v>246</v>
      </c>
      <c r="I18" s="760">
        <f>$B$18</f>
        <v>2020.9</v>
      </c>
      <c r="J18" s="314"/>
      <c r="K18" s="314"/>
      <c r="L18" s="315"/>
      <c r="M18" s="317"/>
      <c r="N18" s="324"/>
      <c r="O18" s="325"/>
      <c r="P18" s="326"/>
      <c r="Q18" s="314"/>
      <c r="R18" s="314"/>
      <c r="S18" s="315"/>
      <c r="T18" s="317"/>
      <c r="U18" s="306"/>
      <c r="V18" s="302"/>
      <c r="W18" s="326"/>
      <c r="X18" s="314"/>
      <c r="Y18" s="314"/>
      <c r="Z18" s="315"/>
      <c r="AA18" s="317"/>
      <c r="AB18" s="306"/>
      <c r="AC18" s="302"/>
      <c r="AD18" s="326"/>
      <c r="AE18" s="314"/>
      <c r="AF18" s="314"/>
      <c r="AG18" s="315"/>
      <c r="AH18" s="317"/>
    </row>
    <row r="19" spans="1:34" ht="15">
      <c r="A19" s="327"/>
      <c r="B19" s="314"/>
      <c r="C19" s="314"/>
      <c r="D19" s="314"/>
      <c r="E19" s="315"/>
      <c r="F19" s="316"/>
      <c r="G19" s="306"/>
      <c r="H19" s="328"/>
      <c r="I19" s="314"/>
      <c r="J19" s="314"/>
      <c r="K19" s="314"/>
      <c r="L19" s="315"/>
      <c r="M19" s="317"/>
      <c r="N19" s="324"/>
      <c r="O19" s="327"/>
      <c r="P19" s="314"/>
      <c r="Q19" s="314"/>
      <c r="R19" s="314"/>
      <c r="S19" s="315"/>
      <c r="T19" s="317"/>
      <c r="U19" s="306"/>
      <c r="V19" s="328"/>
      <c r="W19" s="314"/>
      <c r="X19" s="314"/>
      <c r="Y19" s="314"/>
      <c r="Z19" s="315"/>
      <c r="AA19" s="317"/>
      <c r="AB19" s="306"/>
      <c r="AC19" s="328"/>
      <c r="AD19" s="314"/>
      <c r="AE19" s="314"/>
      <c r="AF19" s="314"/>
      <c r="AG19" s="315"/>
      <c r="AH19" s="317"/>
    </row>
    <row r="20" spans="1:34" ht="16.5" thickBot="1">
      <c r="A20" s="329"/>
      <c r="B20" s="330"/>
      <c r="C20" s="330"/>
      <c r="D20" s="330"/>
      <c r="E20" s="315"/>
      <c r="F20" s="316"/>
      <c r="G20" s="306"/>
      <c r="H20" s="331"/>
      <c r="I20" s="330"/>
      <c r="J20" s="330"/>
      <c r="K20" s="330"/>
      <c r="L20" s="315"/>
      <c r="M20" s="317"/>
      <c r="N20" s="324"/>
      <c r="O20" s="329"/>
      <c r="P20" s="330"/>
      <c r="Q20" s="330"/>
      <c r="R20" s="330"/>
      <c r="S20" s="315"/>
      <c r="T20" s="317"/>
      <c r="U20" s="306"/>
      <c r="V20" s="331"/>
      <c r="W20" s="330"/>
      <c r="X20" s="330"/>
      <c r="Y20" s="330"/>
      <c r="Z20" s="315"/>
      <c r="AA20" s="317"/>
      <c r="AB20" s="306"/>
      <c r="AC20" s="331"/>
      <c r="AD20" s="330"/>
      <c r="AE20" s="330"/>
      <c r="AF20" s="330"/>
      <c r="AG20" s="315"/>
      <c r="AH20" s="317"/>
    </row>
    <row r="21" spans="1:34" ht="12.75" customHeight="1">
      <c r="A21" s="945">
        <f>A7</f>
        <v>2015</v>
      </c>
      <c r="B21" s="946"/>
      <c r="C21" s="946"/>
      <c r="D21" s="946"/>
      <c r="E21" s="947"/>
      <c r="F21" s="590"/>
      <c r="G21" s="306"/>
      <c r="H21" s="951">
        <f>H7</f>
        <v>2016</v>
      </c>
      <c r="I21" s="952"/>
      <c r="J21" s="952"/>
      <c r="K21" s="952"/>
      <c r="L21" s="953"/>
      <c r="M21" s="317"/>
      <c r="N21" s="306"/>
      <c r="O21" s="945">
        <f>O7</f>
        <v>2017</v>
      </c>
      <c r="P21" s="946"/>
      <c r="Q21" s="946"/>
      <c r="R21" s="946"/>
      <c r="S21" s="947"/>
      <c r="T21" s="317"/>
      <c r="U21" s="306"/>
      <c r="V21" s="945">
        <f>V7</f>
        <v>2018</v>
      </c>
      <c r="W21" s="946"/>
      <c r="X21" s="946"/>
      <c r="Y21" s="946"/>
      <c r="Z21" s="947"/>
      <c r="AA21" s="317"/>
      <c r="AB21" s="306"/>
      <c r="AC21" s="945">
        <f>AC7</f>
        <v>2019</v>
      </c>
      <c r="AD21" s="946"/>
      <c r="AE21" s="946"/>
      <c r="AF21" s="946"/>
      <c r="AG21" s="947"/>
      <c r="AH21" s="317"/>
    </row>
    <row r="22" spans="1:34" ht="13.5" customHeight="1" thickBot="1">
      <c r="A22" s="948"/>
      <c r="B22" s="949"/>
      <c r="C22" s="949"/>
      <c r="D22" s="949"/>
      <c r="E22" s="950"/>
      <c r="F22" s="306"/>
      <c r="G22" s="306"/>
      <c r="H22" s="954"/>
      <c r="I22" s="955"/>
      <c r="J22" s="955"/>
      <c r="K22" s="955"/>
      <c r="L22" s="956"/>
      <c r="M22" s="306"/>
      <c r="N22" s="306"/>
      <c r="O22" s="948"/>
      <c r="P22" s="949"/>
      <c r="Q22" s="949"/>
      <c r="R22" s="949"/>
      <c r="S22" s="950"/>
      <c r="T22" s="306"/>
      <c r="U22" s="306"/>
      <c r="V22" s="948"/>
      <c r="W22" s="949"/>
      <c r="X22" s="949"/>
      <c r="Y22" s="949"/>
      <c r="Z22" s="950"/>
      <c r="AA22" s="306"/>
      <c r="AB22" s="306"/>
      <c r="AC22" s="948"/>
      <c r="AD22" s="949"/>
      <c r="AE22" s="949"/>
      <c r="AF22" s="949"/>
      <c r="AG22" s="950"/>
      <c r="AH22" s="306"/>
    </row>
    <row r="23" spans="1:34" ht="16.5" thickBot="1">
      <c r="A23" s="934" t="s">
        <v>247</v>
      </c>
      <c r="B23" s="935"/>
      <c r="C23" s="935"/>
      <c r="D23" s="935"/>
      <c r="E23" s="936"/>
      <c r="F23" s="332"/>
      <c r="G23" s="306"/>
      <c r="H23" s="934" t="s">
        <v>247</v>
      </c>
      <c r="I23" s="935"/>
      <c r="J23" s="935"/>
      <c r="K23" s="935"/>
      <c r="L23" s="936"/>
      <c r="M23" s="332"/>
      <c r="N23" s="306"/>
      <c r="O23" s="934" t="s">
        <v>247</v>
      </c>
      <c r="P23" s="935"/>
      <c r="Q23" s="935"/>
      <c r="R23" s="935"/>
      <c r="S23" s="936"/>
      <c r="T23" s="332"/>
      <c r="U23" s="306"/>
      <c r="V23" s="934" t="s">
        <v>247</v>
      </c>
      <c r="W23" s="935"/>
      <c r="X23" s="935"/>
      <c r="Y23" s="935"/>
      <c r="Z23" s="936"/>
      <c r="AA23" s="332"/>
      <c r="AB23" s="306"/>
      <c r="AC23" s="934" t="s">
        <v>247</v>
      </c>
      <c r="AD23" s="935"/>
      <c r="AE23" s="935"/>
      <c r="AF23" s="935"/>
      <c r="AG23" s="936"/>
      <c r="AH23" s="332"/>
    </row>
    <row r="24" spans="1:34" ht="16.5" thickBot="1">
      <c r="A24" s="333"/>
      <c r="B24" s="334"/>
      <c r="C24" s="334"/>
      <c r="D24" s="335"/>
      <c r="E24" s="335"/>
      <c r="F24" s="332"/>
      <c r="G24" s="306"/>
      <c r="H24" s="335"/>
      <c r="I24" s="334"/>
      <c r="J24" s="334"/>
      <c r="K24" s="335"/>
      <c r="L24" s="335"/>
      <c r="M24" s="332"/>
      <c r="N24" s="306"/>
      <c r="O24" s="335"/>
      <c r="P24" s="334"/>
      <c r="Q24" s="334"/>
      <c r="R24" s="335"/>
      <c r="S24" s="335"/>
      <c r="T24" s="332"/>
      <c r="U24" s="306"/>
      <c r="V24" s="335"/>
      <c r="W24" s="334"/>
      <c r="X24" s="334"/>
      <c r="Y24" s="335"/>
      <c r="Z24" s="335"/>
      <c r="AA24" s="332"/>
      <c r="AB24" s="306"/>
      <c r="AC24" s="335"/>
      <c r="AD24" s="334"/>
      <c r="AE24" s="334"/>
      <c r="AF24" s="335"/>
      <c r="AG24" s="335"/>
      <c r="AH24" s="332"/>
    </row>
    <row r="25" spans="1:34" ht="30.75" thickBot="1">
      <c r="A25" s="632" t="s">
        <v>248</v>
      </c>
      <c r="B25" s="633" t="s">
        <v>249</v>
      </c>
      <c r="C25" s="634" t="s">
        <v>250</v>
      </c>
      <c r="D25" s="632" t="s">
        <v>251</v>
      </c>
      <c r="E25" s="184"/>
      <c r="F25" s="336"/>
      <c r="G25" s="306"/>
      <c r="H25" s="703" t="s">
        <v>248</v>
      </c>
      <c r="I25" s="633" t="s">
        <v>249</v>
      </c>
      <c r="J25" s="634" t="s">
        <v>250</v>
      </c>
      <c r="K25" s="632" t="s">
        <v>251</v>
      </c>
      <c r="L25" s="184"/>
      <c r="M25" s="336"/>
      <c r="N25" s="306"/>
      <c r="O25" s="703" t="s">
        <v>248</v>
      </c>
      <c r="P25" s="633" t="s">
        <v>249</v>
      </c>
      <c r="Q25" s="634" t="s">
        <v>250</v>
      </c>
      <c r="R25" s="632" t="s">
        <v>251</v>
      </c>
      <c r="S25" s="184"/>
      <c r="T25" s="336"/>
      <c r="U25" s="306"/>
      <c r="V25" s="703" t="s">
        <v>248</v>
      </c>
      <c r="W25" s="633" t="s">
        <v>249</v>
      </c>
      <c r="X25" s="634" t="s">
        <v>250</v>
      </c>
      <c r="Y25" s="632" t="s">
        <v>251</v>
      </c>
      <c r="Z25" s="184"/>
      <c r="AA25" s="336"/>
      <c r="AB25" s="306"/>
      <c r="AC25" s="703" t="s">
        <v>248</v>
      </c>
      <c r="AD25" s="633" t="s">
        <v>249</v>
      </c>
      <c r="AE25" s="634" t="s">
        <v>250</v>
      </c>
      <c r="AF25" s="632" t="s">
        <v>251</v>
      </c>
      <c r="AG25" s="184"/>
      <c r="AH25" s="336"/>
    </row>
    <row r="26" spans="1:34" ht="12.75">
      <c r="A26" s="640" t="s">
        <v>210</v>
      </c>
      <c r="B26" s="337"/>
      <c r="C26" s="337"/>
      <c r="D26" s="654">
        <f>B26+C26</f>
        <v>0</v>
      </c>
      <c r="E26" s="184"/>
      <c r="F26" s="338"/>
      <c r="G26" s="306"/>
      <c r="H26" s="704" t="s">
        <v>210</v>
      </c>
      <c r="I26" s="337"/>
      <c r="J26" s="337"/>
      <c r="K26" s="654">
        <f>I26+J26</f>
        <v>0</v>
      </c>
      <c r="L26" s="184"/>
      <c r="M26" s="338"/>
      <c r="N26" s="306"/>
      <c r="O26" s="704" t="s">
        <v>210</v>
      </c>
      <c r="P26" s="337"/>
      <c r="Q26" s="337"/>
      <c r="R26" s="654">
        <f>P26+Q26</f>
        <v>0</v>
      </c>
      <c r="S26" s="184"/>
      <c r="T26" s="338"/>
      <c r="U26" s="306"/>
      <c r="V26" s="704" t="s">
        <v>210</v>
      </c>
      <c r="W26" s="337"/>
      <c r="X26" s="337"/>
      <c r="Y26" s="654">
        <f>W26+X26</f>
        <v>0</v>
      </c>
      <c r="Z26" s="184"/>
      <c r="AA26" s="338"/>
      <c r="AB26" s="306"/>
      <c r="AC26" s="704" t="s">
        <v>210</v>
      </c>
      <c r="AD26" s="337"/>
      <c r="AE26" s="337"/>
      <c r="AF26" s="654">
        <f>AD26+AE26</f>
        <v>0</v>
      </c>
      <c r="AG26" s="184"/>
      <c r="AH26" s="338"/>
    </row>
    <row r="27" spans="1:34" ht="12.75">
      <c r="A27" s="641">
        <v>1</v>
      </c>
      <c r="B27" s="337"/>
      <c r="C27" s="339"/>
      <c r="D27" s="655">
        <f>B27+C27</f>
        <v>0</v>
      </c>
      <c r="E27" s="184"/>
      <c r="F27" s="317"/>
      <c r="G27" s="306"/>
      <c r="H27" s="705">
        <v>1</v>
      </c>
      <c r="I27" s="337"/>
      <c r="J27" s="339"/>
      <c r="K27" s="655">
        <f>I27+J27</f>
        <v>0</v>
      </c>
      <c r="L27" s="184"/>
      <c r="M27" s="317"/>
      <c r="N27" s="306"/>
      <c r="O27" s="705">
        <v>1</v>
      </c>
      <c r="P27" s="337"/>
      <c r="Q27" s="339"/>
      <c r="R27" s="655">
        <f>P27+Q27</f>
        <v>0</v>
      </c>
      <c r="S27" s="184"/>
      <c r="T27" s="317"/>
      <c r="U27" s="306"/>
      <c r="V27" s="705">
        <v>1</v>
      </c>
      <c r="W27" s="337"/>
      <c r="X27" s="339"/>
      <c r="Y27" s="655">
        <f>W27+X27</f>
        <v>0</v>
      </c>
      <c r="Z27" s="184"/>
      <c r="AA27" s="317"/>
      <c r="AB27" s="306"/>
      <c r="AC27" s="705">
        <v>1</v>
      </c>
      <c r="AD27" s="337"/>
      <c r="AE27" s="339"/>
      <c r="AF27" s="655">
        <f>AD27+AE27</f>
        <v>0</v>
      </c>
      <c r="AG27" s="184"/>
      <c r="AH27" s="317"/>
    </row>
    <row r="28" spans="1:34" ht="12.75">
      <c r="A28" s="641">
        <v>2</v>
      </c>
      <c r="B28" s="337"/>
      <c r="C28" s="339"/>
      <c r="D28" s="655">
        <f>B28+C28</f>
        <v>0</v>
      </c>
      <c r="E28" s="184"/>
      <c r="F28" s="317"/>
      <c r="G28" s="306"/>
      <c r="H28" s="705">
        <v>2</v>
      </c>
      <c r="I28" s="337"/>
      <c r="J28" s="339"/>
      <c r="K28" s="655">
        <f>I28+J28</f>
        <v>0</v>
      </c>
      <c r="L28" s="184"/>
      <c r="M28" s="317"/>
      <c r="N28" s="306"/>
      <c r="O28" s="705">
        <v>2</v>
      </c>
      <c r="P28" s="337"/>
      <c r="Q28" s="339"/>
      <c r="R28" s="655">
        <f>P28+Q28</f>
        <v>0</v>
      </c>
      <c r="S28" s="184"/>
      <c r="T28" s="317"/>
      <c r="U28" s="306"/>
      <c r="V28" s="705">
        <v>2</v>
      </c>
      <c r="W28" s="337"/>
      <c r="X28" s="339"/>
      <c r="Y28" s="655">
        <f>W28+X28</f>
        <v>0</v>
      </c>
      <c r="Z28" s="184"/>
      <c r="AA28" s="317"/>
      <c r="AB28" s="306"/>
      <c r="AC28" s="705">
        <v>2</v>
      </c>
      <c r="AD28" s="337"/>
      <c r="AE28" s="339"/>
      <c r="AF28" s="655">
        <f>AD28+AE28</f>
        <v>0</v>
      </c>
      <c r="AG28" s="184"/>
      <c r="AH28" s="317"/>
    </row>
    <row r="29" spans="1:34" ht="13.5" thickBot="1">
      <c r="A29" s="641">
        <v>3</v>
      </c>
      <c r="B29" s="337"/>
      <c r="C29" s="339"/>
      <c r="D29" s="656">
        <f>B29+C29</f>
        <v>0</v>
      </c>
      <c r="E29" s="184"/>
      <c r="F29" s="317"/>
      <c r="G29" s="306"/>
      <c r="H29" s="705">
        <v>3</v>
      </c>
      <c r="I29" s="337"/>
      <c r="J29" s="339"/>
      <c r="K29" s="656">
        <f>I29+J29</f>
        <v>0</v>
      </c>
      <c r="L29" s="184"/>
      <c r="M29" s="317"/>
      <c r="N29" s="306"/>
      <c r="O29" s="705">
        <v>3</v>
      </c>
      <c r="P29" s="337"/>
      <c r="Q29" s="339"/>
      <c r="R29" s="656">
        <f>P29+Q29</f>
        <v>0</v>
      </c>
      <c r="S29" s="184"/>
      <c r="T29" s="317"/>
      <c r="U29" s="306"/>
      <c r="V29" s="705">
        <v>3</v>
      </c>
      <c r="W29" s="337"/>
      <c r="X29" s="339"/>
      <c r="Y29" s="656">
        <f>W29+X29</f>
        <v>0</v>
      </c>
      <c r="Z29" s="184"/>
      <c r="AA29" s="317"/>
      <c r="AB29" s="306"/>
      <c r="AC29" s="705">
        <v>3</v>
      </c>
      <c r="AD29" s="337"/>
      <c r="AE29" s="339"/>
      <c r="AF29" s="656">
        <f>AD29+AE29</f>
        <v>0</v>
      </c>
      <c r="AG29" s="184"/>
      <c r="AH29" s="317"/>
    </row>
    <row r="30" spans="1:34" ht="13.5" thickBot="1">
      <c r="A30" s="635" t="s">
        <v>252</v>
      </c>
      <c r="B30" s="629">
        <f>SUM(B26:B29)</f>
        <v>0</v>
      </c>
      <c r="C30" s="630">
        <f>SUM(C26:C29)</f>
        <v>0</v>
      </c>
      <c r="D30" s="631">
        <f>B30+C30</f>
        <v>0</v>
      </c>
      <c r="E30" s="184"/>
      <c r="F30" s="317"/>
      <c r="G30" s="306"/>
      <c r="H30" s="706" t="s">
        <v>252</v>
      </c>
      <c r="I30" s="629">
        <f>SUM(I26:I29)</f>
        <v>0</v>
      </c>
      <c r="J30" s="630">
        <f>SUM(J26:J29)</f>
        <v>0</v>
      </c>
      <c r="K30" s="631">
        <f>I30+J30</f>
        <v>0</v>
      </c>
      <c r="L30" s="184"/>
      <c r="M30" s="317"/>
      <c r="N30" s="306"/>
      <c r="O30" s="706" t="s">
        <v>252</v>
      </c>
      <c r="P30" s="629">
        <f>SUM(P26:P29)</f>
        <v>0</v>
      </c>
      <c r="Q30" s="630">
        <f>SUM(Q26:Q29)</f>
        <v>0</v>
      </c>
      <c r="R30" s="631">
        <f>P30+Q30</f>
        <v>0</v>
      </c>
      <c r="S30" s="184"/>
      <c r="T30" s="317"/>
      <c r="U30" s="306"/>
      <c r="V30" s="706" t="s">
        <v>252</v>
      </c>
      <c r="W30" s="629">
        <f>SUM(W26:W29)</f>
        <v>0</v>
      </c>
      <c r="X30" s="630">
        <f>SUM(X26:X29)</f>
        <v>0</v>
      </c>
      <c r="Y30" s="631">
        <f>W30+X30</f>
        <v>0</v>
      </c>
      <c r="Z30" s="184"/>
      <c r="AA30" s="317"/>
      <c r="AB30" s="306"/>
      <c r="AC30" s="706" t="s">
        <v>252</v>
      </c>
      <c r="AD30" s="629">
        <f>SUM(AD26:AD29)</f>
        <v>0</v>
      </c>
      <c r="AE30" s="630">
        <f>SUM(AE26:AE29)</f>
        <v>0</v>
      </c>
      <c r="AF30" s="631">
        <f>AD30+AE30</f>
        <v>0</v>
      </c>
      <c r="AG30" s="184"/>
      <c r="AH30" s="317"/>
    </row>
    <row r="31" spans="1:34" ht="13.5" thickBot="1">
      <c r="A31" s="636" t="s">
        <v>253</v>
      </c>
      <c r="B31" s="638">
        <v>1</v>
      </c>
      <c r="C31" s="638">
        <v>0.4</v>
      </c>
      <c r="D31" s="175"/>
      <c r="E31" s="184"/>
      <c r="F31" s="317"/>
      <c r="G31" s="306"/>
      <c r="H31" s="707" t="s">
        <v>253</v>
      </c>
      <c r="I31" s="638">
        <v>1</v>
      </c>
      <c r="J31" s="638">
        <v>0.4</v>
      </c>
      <c r="K31" s="175"/>
      <c r="L31" s="184"/>
      <c r="M31" s="317"/>
      <c r="N31" s="306"/>
      <c r="O31" s="707" t="s">
        <v>253</v>
      </c>
      <c r="P31" s="638">
        <v>1</v>
      </c>
      <c r="Q31" s="638">
        <v>0.4</v>
      </c>
      <c r="R31" s="175"/>
      <c r="S31" s="184"/>
      <c r="T31" s="317"/>
      <c r="U31" s="306"/>
      <c r="V31" s="707" t="s">
        <v>253</v>
      </c>
      <c r="W31" s="638">
        <v>1</v>
      </c>
      <c r="X31" s="638">
        <v>0.4</v>
      </c>
      <c r="Y31" s="175"/>
      <c r="Z31" s="184"/>
      <c r="AA31" s="317"/>
      <c r="AB31" s="306"/>
      <c r="AC31" s="707" t="s">
        <v>253</v>
      </c>
      <c r="AD31" s="638">
        <v>1</v>
      </c>
      <c r="AE31" s="638">
        <v>0.4</v>
      </c>
      <c r="AF31" s="175"/>
      <c r="AG31" s="184"/>
      <c r="AH31" s="317"/>
    </row>
    <row r="32" spans="1:34" ht="13.5" thickBot="1">
      <c r="A32" s="637" t="s">
        <v>254</v>
      </c>
      <c r="B32" s="639">
        <f>B30*B31</f>
        <v>0</v>
      </c>
      <c r="C32" s="639">
        <f>C30*C31</f>
        <v>0</v>
      </c>
      <c r="D32" s="631">
        <f>B32+C32</f>
        <v>0</v>
      </c>
      <c r="E32" s="184"/>
      <c r="F32" s="317"/>
      <c r="G32" s="306"/>
      <c r="H32" s="648" t="s">
        <v>254</v>
      </c>
      <c r="I32" s="639">
        <f>I30*I31</f>
        <v>0</v>
      </c>
      <c r="J32" s="639">
        <f>J30*J31</f>
        <v>0</v>
      </c>
      <c r="K32" s="631">
        <f>I32+J32</f>
        <v>0</v>
      </c>
      <c r="L32" s="184"/>
      <c r="M32" s="317"/>
      <c r="N32" s="306"/>
      <c r="O32" s="648" t="s">
        <v>254</v>
      </c>
      <c r="P32" s="639">
        <f>P30*P31</f>
        <v>0</v>
      </c>
      <c r="Q32" s="639">
        <f>Q30*Q31</f>
        <v>0</v>
      </c>
      <c r="R32" s="631">
        <f>P32+Q32</f>
        <v>0</v>
      </c>
      <c r="S32" s="184"/>
      <c r="T32" s="317"/>
      <c r="U32" s="306"/>
      <c r="V32" s="648" t="s">
        <v>254</v>
      </c>
      <c r="W32" s="639">
        <f>W30*W31</f>
        <v>0</v>
      </c>
      <c r="X32" s="639">
        <f>X30*X31</f>
        <v>0</v>
      </c>
      <c r="Y32" s="631">
        <f>W32+X32</f>
        <v>0</v>
      </c>
      <c r="Z32" s="184"/>
      <c r="AA32" s="317"/>
      <c r="AB32" s="306"/>
      <c r="AC32" s="648" t="s">
        <v>254</v>
      </c>
      <c r="AD32" s="639">
        <f>AD30*AD31</f>
        <v>0</v>
      </c>
      <c r="AE32" s="639">
        <f>AE30*AE31</f>
        <v>0</v>
      </c>
      <c r="AF32" s="631">
        <f>AD32+AE32</f>
        <v>0</v>
      </c>
      <c r="AG32" s="184"/>
      <c r="AH32" s="317"/>
    </row>
    <row r="33" spans="1:34" ht="12.75">
      <c r="A33" s="341"/>
      <c r="B33" s="342"/>
      <c r="C33" s="184"/>
      <c r="D33" s="342"/>
      <c r="E33" s="184"/>
      <c r="F33" s="317"/>
      <c r="G33" s="306"/>
      <c r="H33" s="342"/>
      <c r="I33" s="342"/>
      <c r="J33" s="184"/>
      <c r="K33" s="342"/>
      <c r="L33" s="184"/>
      <c r="M33" s="317"/>
      <c r="N33" s="306"/>
      <c r="O33" s="342"/>
      <c r="P33" s="342"/>
      <c r="Q33" s="184"/>
      <c r="R33" s="342"/>
      <c r="S33" s="184"/>
      <c r="T33" s="317"/>
      <c r="U33" s="306"/>
      <c r="V33" s="342"/>
      <c r="W33" s="342"/>
      <c r="X33" s="184"/>
      <c r="Y33" s="342"/>
      <c r="Z33" s="184"/>
      <c r="AA33" s="317"/>
      <c r="AB33" s="306"/>
      <c r="AC33" s="342"/>
      <c r="AD33" s="342"/>
      <c r="AE33" s="184"/>
      <c r="AF33" s="342"/>
      <c r="AG33" s="184"/>
      <c r="AH33" s="317"/>
    </row>
    <row r="34" spans="1:34" ht="13.5" thickBot="1">
      <c r="A34" s="341"/>
      <c r="B34" s="342"/>
      <c r="C34" s="184"/>
      <c r="D34" s="342"/>
      <c r="E34" s="184"/>
      <c r="F34" s="317"/>
      <c r="G34" s="306"/>
      <c r="H34" s="342"/>
      <c r="I34" s="342"/>
      <c r="J34" s="184"/>
      <c r="K34" s="342"/>
      <c r="L34" s="184"/>
      <c r="M34" s="317"/>
      <c r="N34" s="306"/>
      <c r="O34" s="342"/>
      <c r="P34" s="342"/>
      <c r="Q34" s="184"/>
      <c r="R34" s="342"/>
      <c r="S34" s="184"/>
      <c r="T34" s="317"/>
      <c r="U34" s="306"/>
      <c r="V34" s="342"/>
      <c r="W34" s="342"/>
      <c r="X34" s="184"/>
      <c r="Y34" s="342"/>
      <c r="Z34" s="184"/>
      <c r="AA34" s="317"/>
      <c r="AB34" s="306"/>
      <c r="AC34" s="342"/>
      <c r="AD34" s="342"/>
      <c r="AE34" s="184"/>
      <c r="AF34" s="342"/>
      <c r="AG34" s="184"/>
      <c r="AH34" s="317"/>
    </row>
    <row r="35" spans="1:34" ht="13.5" thickBot="1">
      <c r="A35" s="895" t="s">
        <v>255</v>
      </c>
      <c r="B35" s="897"/>
      <c r="C35" s="184"/>
      <c r="D35" s="342"/>
      <c r="E35" s="184"/>
      <c r="F35" s="317"/>
      <c r="G35" s="306"/>
      <c r="H35" s="895" t="s">
        <v>255</v>
      </c>
      <c r="I35" s="897"/>
      <c r="J35" s="184"/>
      <c r="K35" s="342"/>
      <c r="L35" s="184"/>
      <c r="M35" s="317"/>
      <c r="N35" s="306"/>
      <c r="O35" s="895" t="s">
        <v>255</v>
      </c>
      <c r="P35" s="897"/>
      <c r="Q35" s="184"/>
      <c r="R35" s="342"/>
      <c r="S35" s="184"/>
      <c r="T35" s="317"/>
      <c r="U35" s="306"/>
      <c r="V35" s="895" t="s">
        <v>255</v>
      </c>
      <c r="W35" s="897"/>
      <c r="X35" s="184"/>
      <c r="Y35" s="342"/>
      <c r="Z35" s="184"/>
      <c r="AA35" s="317"/>
      <c r="AB35" s="306"/>
      <c r="AC35" s="895" t="s">
        <v>255</v>
      </c>
      <c r="AD35" s="897"/>
      <c r="AE35" s="184"/>
      <c r="AF35" s="342"/>
      <c r="AG35" s="184"/>
      <c r="AH35" s="317"/>
    </row>
    <row r="36" spans="1:34" ht="12.75">
      <c r="A36" s="642" t="s">
        <v>256</v>
      </c>
      <c r="B36" s="643">
        <f>D32</f>
        <v>0</v>
      </c>
      <c r="C36" s="184"/>
      <c r="D36" s="342"/>
      <c r="E36" s="184"/>
      <c r="F36" s="317"/>
      <c r="G36" s="306"/>
      <c r="H36" s="708" t="s">
        <v>256</v>
      </c>
      <c r="I36" s="643">
        <f>K32</f>
        <v>0</v>
      </c>
      <c r="J36" s="184"/>
      <c r="K36" s="342"/>
      <c r="L36" s="184"/>
      <c r="M36" s="317"/>
      <c r="N36" s="306"/>
      <c r="O36" s="708" t="s">
        <v>256</v>
      </c>
      <c r="P36" s="643">
        <f>R32</f>
        <v>0</v>
      </c>
      <c r="Q36" s="184"/>
      <c r="R36" s="342"/>
      <c r="S36" s="184"/>
      <c r="T36" s="317"/>
      <c r="U36" s="306"/>
      <c r="V36" s="708" t="s">
        <v>256</v>
      </c>
      <c r="W36" s="643">
        <f>Y32</f>
        <v>0</v>
      </c>
      <c r="X36" s="184"/>
      <c r="Y36" s="342"/>
      <c r="Z36" s="184"/>
      <c r="AA36" s="317"/>
      <c r="AB36" s="306"/>
      <c r="AC36" s="708" t="s">
        <v>256</v>
      </c>
      <c r="AD36" s="643">
        <f>AF32</f>
        <v>0</v>
      </c>
      <c r="AE36" s="184"/>
      <c r="AF36" s="342"/>
      <c r="AG36" s="184"/>
      <c r="AH36" s="317"/>
    </row>
    <row r="37" spans="1:34" ht="13.5" thickBot="1">
      <c r="A37" s="644" t="s">
        <v>257</v>
      </c>
      <c r="B37" s="645">
        <f>B11</f>
        <v>5070.65</v>
      </c>
      <c r="C37" s="184"/>
      <c r="D37" s="342"/>
      <c r="E37" s="184"/>
      <c r="F37" s="317"/>
      <c r="G37" s="306"/>
      <c r="H37" s="709" t="s">
        <v>257</v>
      </c>
      <c r="I37" s="645">
        <f>I11</f>
        <v>5070.65</v>
      </c>
      <c r="J37" s="184"/>
      <c r="K37" s="342"/>
      <c r="L37" s="184"/>
      <c r="M37" s="317"/>
      <c r="N37" s="306"/>
      <c r="O37" s="709" t="s">
        <v>257</v>
      </c>
      <c r="P37" s="645">
        <f>P11</f>
        <v>5070.65</v>
      </c>
      <c r="Q37" s="184"/>
      <c r="R37" s="342"/>
      <c r="S37" s="184"/>
      <c r="T37" s="317"/>
      <c r="U37" s="306"/>
      <c r="V37" s="709" t="s">
        <v>257</v>
      </c>
      <c r="W37" s="645">
        <f>W11</f>
        <v>5070.65</v>
      </c>
      <c r="X37" s="184"/>
      <c r="Y37" s="342"/>
      <c r="Z37" s="184"/>
      <c r="AA37" s="317"/>
      <c r="AB37" s="306"/>
      <c r="AC37" s="709" t="s">
        <v>257</v>
      </c>
      <c r="AD37" s="645">
        <f>AD11</f>
        <v>5070.65</v>
      </c>
      <c r="AE37" s="184"/>
      <c r="AF37" s="342"/>
      <c r="AG37" s="184"/>
      <c r="AH37" s="317"/>
    </row>
    <row r="38" spans="1:34" ht="15.75" thickBot="1">
      <c r="A38" s="631" t="s">
        <v>258</v>
      </c>
      <c r="B38" s="646">
        <f>B36*B37</f>
        <v>0</v>
      </c>
      <c r="C38" s="184"/>
      <c r="D38" s="342"/>
      <c r="E38" s="184"/>
      <c r="F38" s="317"/>
      <c r="G38" s="306"/>
      <c r="H38" s="710" t="s">
        <v>258</v>
      </c>
      <c r="I38" s="646">
        <f>I36*I37</f>
        <v>0</v>
      </c>
      <c r="J38" s="184"/>
      <c r="K38" s="342"/>
      <c r="L38" s="184"/>
      <c r="M38" s="317"/>
      <c r="N38" s="306"/>
      <c r="O38" s="710" t="s">
        <v>258</v>
      </c>
      <c r="P38" s="646">
        <f>P36*P37</f>
        <v>0</v>
      </c>
      <c r="Q38" s="184"/>
      <c r="R38" s="342"/>
      <c r="S38" s="184"/>
      <c r="T38" s="317"/>
      <c r="U38" s="306"/>
      <c r="V38" s="710" t="s">
        <v>258</v>
      </c>
      <c r="W38" s="646">
        <f>W36*W37</f>
        <v>0</v>
      </c>
      <c r="X38" s="184"/>
      <c r="Y38" s="342"/>
      <c r="Z38" s="184"/>
      <c r="AA38" s="317"/>
      <c r="AB38" s="306"/>
      <c r="AC38" s="710" t="s">
        <v>258</v>
      </c>
      <c r="AD38" s="646">
        <f>AD36*AD37</f>
        <v>0</v>
      </c>
      <c r="AE38" s="184"/>
      <c r="AF38" s="342"/>
      <c r="AG38" s="184"/>
      <c r="AH38" s="317"/>
    </row>
    <row r="39" spans="1:34" ht="15">
      <c r="A39" s="344"/>
      <c r="B39" s="345"/>
      <c r="C39" s="184"/>
      <c r="D39" s="184"/>
      <c r="E39" s="342"/>
      <c r="F39" s="317"/>
      <c r="G39" s="306"/>
      <c r="H39" s="31"/>
      <c r="I39" s="345"/>
      <c r="J39" s="184"/>
      <c r="K39" s="184"/>
      <c r="L39" s="342"/>
      <c r="M39" s="317"/>
      <c r="N39" s="306"/>
      <c r="O39" s="31"/>
      <c r="P39" s="345"/>
      <c r="Q39" s="184"/>
      <c r="R39" s="184"/>
      <c r="S39" s="342"/>
      <c r="T39" s="317"/>
      <c r="U39" s="306"/>
      <c r="V39" s="31"/>
      <c r="W39" s="345"/>
      <c r="X39" s="184"/>
      <c r="Y39" s="184"/>
      <c r="Z39" s="342"/>
      <c r="AA39" s="317"/>
      <c r="AB39" s="306"/>
      <c r="AC39" s="31"/>
      <c r="AD39" s="345"/>
      <c r="AE39" s="184"/>
      <c r="AF39" s="184"/>
      <c r="AG39" s="342"/>
      <c r="AH39" s="317"/>
    </row>
    <row r="40" spans="1:34" ht="15.75" thickBot="1">
      <c r="A40" s="344"/>
      <c r="B40" s="345"/>
      <c r="C40" s="184"/>
      <c r="D40" s="184"/>
      <c r="E40" s="342"/>
      <c r="F40" s="317"/>
      <c r="G40" s="306"/>
      <c r="H40" s="31"/>
      <c r="I40" s="345"/>
      <c r="J40" s="184"/>
      <c r="K40" s="184"/>
      <c r="L40" s="342"/>
      <c r="M40" s="317"/>
      <c r="N40" s="306"/>
      <c r="O40" s="31"/>
      <c r="P40" s="345"/>
      <c r="Q40" s="184"/>
      <c r="R40" s="184"/>
      <c r="S40" s="342"/>
      <c r="T40" s="317"/>
      <c r="U40" s="306"/>
      <c r="V40" s="31"/>
      <c r="W40" s="345"/>
      <c r="X40" s="184"/>
      <c r="Y40" s="184"/>
      <c r="Z40" s="342"/>
      <c r="AA40" s="317"/>
      <c r="AB40" s="306"/>
      <c r="AC40" s="31"/>
      <c r="AD40" s="345"/>
      <c r="AE40" s="184"/>
      <c r="AF40" s="184"/>
      <c r="AG40" s="342"/>
      <c r="AH40" s="317"/>
    </row>
    <row r="41" spans="1:34" ht="13.5" thickBot="1">
      <c r="A41" s="895" t="s">
        <v>259</v>
      </c>
      <c r="B41" s="897"/>
      <c r="C41" s="184"/>
      <c r="D41" s="184"/>
      <c r="E41" s="342"/>
      <c r="F41" s="317"/>
      <c r="G41" s="306"/>
      <c r="H41" s="895" t="s">
        <v>259</v>
      </c>
      <c r="I41" s="897"/>
      <c r="J41" s="184"/>
      <c r="K41" s="184"/>
      <c r="L41" s="342"/>
      <c r="M41" s="317"/>
      <c r="N41" s="306"/>
      <c r="O41" s="895" t="s">
        <v>259</v>
      </c>
      <c r="P41" s="897"/>
      <c r="Q41" s="184"/>
      <c r="R41" s="184"/>
      <c r="S41" s="342"/>
      <c r="T41" s="317"/>
      <c r="U41" s="306"/>
      <c r="V41" s="895" t="s">
        <v>259</v>
      </c>
      <c r="W41" s="897"/>
      <c r="X41" s="184"/>
      <c r="Y41" s="184"/>
      <c r="Z41" s="342"/>
      <c r="AA41" s="317"/>
      <c r="AB41" s="306"/>
      <c r="AC41" s="895" t="s">
        <v>259</v>
      </c>
      <c r="AD41" s="897"/>
      <c r="AE41" s="184"/>
      <c r="AF41" s="184"/>
      <c r="AG41" s="342"/>
      <c r="AH41" s="317"/>
    </row>
    <row r="42" spans="1:34" ht="12.75">
      <c r="A42" s="642" t="s">
        <v>260</v>
      </c>
      <c r="B42" s="643">
        <f>D30</f>
        <v>0</v>
      </c>
      <c r="C42" s="184"/>
      <c r="D42" s="184"/>
      <c r="E42" s="342"/>
      <c r="F42" s="317"/>
      <c r="G42" s="306"/>
      <c r="H42" s="708" t="s">
        <v>260</v>
      </c>
      <c r="I42" s="643">
        <f>K30</f>
        <v>0</v>
      </c>
      <c r="J42" s="184"/>
      <c r="K42" s="184"/>
      <c r="L42" s="342"/>
      <c r="M42" s="317"/>
      <c r="N42" s="306"/>
      <c r="O42" s="708" t="s">
        <v>260</v>
      </c>
      <c r="P42" s="643">
        <f>R30</f>
        <v>0</v>
      </c>
      <c r="Q42" s="184"/>
      <c r="R42" s="184"/>
      <c r="S42" s="342"/>
      <c r="T42" s="317"/>
      <c r="U42" s="306"/>
      <c r="V42" s="708" t="s">
        <v>260</v>
      </c>
      <c r="W42" s="643">
        <f>Y30</f>
        <v>0</v>
      </c>
      <c r="X42" s="184"/>
      <c r="Y42" s="184"/>
      <c r="Z42" s="342"/>
      <c r="AA42" s="317"/>
      <c r="AB42" s="306"/>
      <c r="AC42" s="708" t="s">
        <v>260</v>
      </c>
      <c r="AD42" s="643">
        <f>AF30</f>
        <v>0</v>
      </c>
      <c r="AE42" s="184"/>
      <c r="AF42" s="184"/>
      <c r="AG42" s="342"/>
      <c r="AH42" s="317"/>
    </row>
    <row r="43" spans="1:34" ht="13.5" thickBot="1">
      <c r="A43" s="644" t="s">
        <v>261</v>
      </c>
      <c r="B43" s="645">
        <f>B12</f>
        <v>1758.02</v>
      </c>
      <c r="C43" s="184"/>
      <c r="D43" s="184"/>
      <c r="E43" s="184"/>
      <c r="F43" s="317"/>
      <c r="G43" s="306"/>
      <c r="H43" s="709" t="s">
        <v>261</v>
      </c>
      <c r="I43" s="645">
        <f>I12</f>
        <v>1758.02</v>
      </c>
      <c r="J43" s="184"/>
      <c r="K43" s="184"/>
      <c r="L43" s="184"/>
      <c r="M43" s="317"/>
      <c r="N43" s="306"/>
      <c r="O43" s="709" t="s">
        <v>261</v>
      </c>
      <c r="P43" s="645">
        <f>P12</f>
        <v>1758.02</v>
      </c>
      <c r="Q43" s="184"/>
      <c r="R43" s="184"/>
      <c r="S43" s="184"/>
      <c r="T43" s="317"/>
      <c r="U43" s="306"/>
      <c r="V43" s="709" t="s">
        <v>261</v>
      </c>
      <c r="W43" s="645">
        <f>W12</f>
        <v>1758.02</v>
      </c>
      <c r="X43" s="184"/>
      <c r="Y43" s="184"/>
      <c r="Z43" s="184"/>
      <c r="AA43" s="317"/>
      <c r="AB43" s="306"/>
      <c r="AC43" s="709" t="s">
        <v>261</v>
      </c>
      <c r="AD43" s="645">
        <f>AD12</f>
        <v>1758.02</v>
      </c>
      <c r="AE43" s="184"/>
      <c r="AF43" s="184"/>
      <c r="AG43" s="184"/>
      <c r="AH43" s="317"/>
    </row>
    <row r="44" spans="1:34" ht="15.75" thickBot="1">
      <c r="A44" s="631" t="s">
        <v>262</v>
      </c>
      <c r="B44" s="646">
        <f>B42*B43</f>
        <v>0</v>
      </c>
      <c r="C44" s="184"/>
      <c r="D44" s="184"/>
      <c r="E44" s="184"/>
      <c r="F44" s="317"/>
      <c r="G44" s="306"/>
      <c r="H44" s="710" t="s">
        <v>262</v>
      </c>
      <c r="I44" s="646">
        <f>I42*I43</f>
        <v>0</v>
      </c>
      <c r="J44" s="184"/>
      <c r="K44" s="184"/>
      <c r="L44" s="184"/>
      <c r="M44" s="317"/>
      <c r="N44" s="306"/>
      <c r="O44" s="710" t="s">
        <v>262</v>
      </c>
      <c r="P44" s="646">
        <f>P42*P43</f>
        <v>0</v>
      </c>
      <c r="Q44" s="184"/>
      <c r="R44" s="184"/>
      <c r="S44" s="184"/>
      <c r="T44" s="317"/>
      <c r="U44" s="306"/>
      <c r="V44" s="710" t="s">
        <v>262</v>
      </c>
      <c r="W44" s="646">
        <f>W42*W43</f>
        <v>0</v>
      </c>
      <c r="X44" s="184"/>
      <c r="Y44" s="184"/>
      <c r="Z44" s="184"/>
      <c r="AA44" s="317"/>
      <c r="AB44" s="306"/>
      <c r="AC44" s="710" t="s">
        <v>262</v>
      </c>
      <c r="AD44" s="646">
        <f>AD42*AD43</f>
        <v>0</v>
      </c>
      <c r="AE44" s="184"/>
      <c r="AF44" s="184"/>
      <c r="AG44" s="184"/>
      <c r="AH44" s="317"/>
    </row>
    <row r="45" spans="1:34" ht="12.75">
      <c r="A45" s="346"/>
      <c r="B45" s="347"/>
      <c r="C45" s="348"/>
      <c r="D45" s="349"/>
      <c r="E45" s="350"/>
      <c r="F45" s="317"/>
      <c r="G45" s="306"/>
      <c r="H45" s="347"/>
      <c r="I45" s="347"/>
      <c r="J45" s="348"/>
      <c r="K45" s="349"/>
      <c r="L45" s="350"/>
      <c r="M45" s="317"/>
      <c r="N45" s="306"/>
      <c r="O45" s="347"/>
      <c r="P45" s="347"/>
      <c r="Q45" s="348"/>
      <c r="R45" s="349"/>
      <c r="S45" s="350"/>
      <c r="T45" s="317"/>
      <c r="U45" s="306"/>
      <c r="V45" s="347"/>
      <c r="W45" s="347"/>
      <c r="X45" s="348"/>
      <c r="Y45" s="349"/>
      <c r="Z45" s="350"/>
      <c r="AA45" s="317"/>
      <c r="AB45" s="306"/>
      <c r="AC45" s="347"/>
      <c r="AD45" s="347"/>
      <c r="AE45" s="348"/>
      <c r="AF45" s="349"/>
      <c r="AG45" s="350"/>
      <c r="AH45" s="317"/>
    </row>
    <row r="46" spans="1:34" ht="13.5" thickBot="1">
      <c r="A46" s="346"/>
      <c r="B46" s="347"/>
      <c r="C46" s="348"/>
      <c r="D46" s="349"/>
      <c r="E46" s="350"/>
      <c r="F46" s="317"/>
      <c r="G46" s="306"/>
      <c r="H46" s="347"/>
      <c r="I46" s="347"/>
      <c r="J46" s="348"/>
      <c r="K46" s="349"/>
      <c r="L46" s="350"/>
      <c r="M46" s="317"/>
      <c r="N46" s="306"/>
      <c r="O46" s="347"/>
      <c r="P46" s="347"/>
      <c r="Q46" s="348"/>
      <c r="R46" s="349"/>
      <c r="S46" s="350"/>
      <c r="T46" s="317"/>
      <c r="U46" s="306"/>
      <c r="V46" s="347"/>
      <c r="W46" s="347"/>
      <c r="X46" s="348"/>
      <c r="Y46" s="349"/>
      <c r="Z46" s="350"/>
      <c r="AA46" s="317"/>
      <c r="AB46" s="306"/>
      <c r="AC46" s="347"/>
      <c r="AD46" s="347"/>
      <c r="AE46" s="348"/>
      <c r="AF46" s="349"/>
      <c r="AG46" s="350"/>
      <c r="AH46" s="317"/>
    </row>
    <row r="47" spans="1:34" ht="13.5" thickBot="1">
      <c r="A47" s="647" t="s">
        <v>263</v>
      </c>
      <c r="B47" s="648"/>
      <c r="C47" s="348"/>
      <c r="D47" s="349"/>
      <c r="E47" s="350"/>
      <c r="F47" s="317"/>
      <c r="G47" s="306"/>
      <c r="H47" s="711" t="s">
        <v>263</v>
      </c>
      <c r="I47" s="648"/>
      <c r="J47" s="348"/>
      <c r="K47" s="349"/>
      <c r="L47" s="350"/>
      <c r="M47" s="317"/>
      <c r="N47" s="306"/>
      <c r="O47" s="711" t="s">
        <v>263</v>
      </c>
      <c r="P47" s="648"/>
      <c r="Q47" s="348"/>
      <c r="R47" s="349"/>
      <c r="S47" s="350"/>
      <c r="T47" s="317"/>
      <c r="U47" s="306"/>
      <c r="V47" s="711" t="s">
        <v>263</v>
      </c>
      <c r="W47" s="648"/>
      <c r="X47" s="348"/>
      <c r="Y47" s="349"/>
      <c r="Z47" s="350"/>
      <c r="AA47" s="317"/>
      <c r="AB47" s="306"/>
      <c r="AC47" s="711" t="s">
        <v>263</v>
      </c>
      <c r="AD47" s="648"/>
      <c r="AE47" s="348"/>
      <c r="AF47" s="349"/>
      <c r="AG47" s="350"/>
      <c r="AH47" s="317"/>
    </row>
    <row r="48" spans="1:34" ht="12.75">
      <c r="A48" s="649" t="s">
        <v>258</v>
      </c>
      <c r="B48" s="650">
        <f>B38</f>
        <v>0</v>
      </c>
      <c r="C48" s="348"/>
      <c r="D48" s="349"/>
      <c r="E48" s="350"/>
      <c r="F48" s="317"/>
      <c r="G48" s="306"/>
      <c r="H48" s="712" t="s">
        <v>258</v>
      </c>
      <c r="I48" s="650">
        <f>I38</f>
        <v>0</v>
      </c>
      <c r="J48" s="348"/>
      <c r="K48" s="349"/>
      <c r="L48" s="350"/>
      <c r="M48" s="317"/>
      <c r="N48" s="306"/>
      <c r="O48" s="712" t="s">
        <v>258</v>
      </c>
      <c r="P48" s="650">
        <f>P38</f>
        <v>0</v>
      </c>
      <c r="Q48" s="348"/>
      <c r="R48" s="349"/>
      <c r="S48" s="350"/>
      <c r="T48" s="317"/>
      <c r="U48" s="306"/>
      <c r="V48" s="712" t="s">
        <v>258</v>
      </c>
      <c r="W48" s="650">
        <f>W38</f>
        <v>0</v>
      </c>
      <c r="X48" s="348"/>
      <c r="Y48" s="349"/>
      <c r="Z48" s="350"/>
      <c r="AA48" s="317"/>
      <c r="AB48" s="306"/>
      <c r="AC48" s="712" t="s">
        <v>258</v>
      </c>
      <c r="AD48" s="650">
        <f>AD38</f>
        <v>0</v>
      </c>
      <c r="AE48" s="348"/>
      <c r="AF48" s="349"/>
      <c r="AG48" s="350"/>
      <c r="AH48" s="317"/>
    </row>
    <row r="49" spans="1:34" ht="13.5" thickBot="1">
      <c r="A49" s="649" t="s">
        <v>262</v>
      </c>
      <c r="B49" s="645">
        <f>B44</f>
        <v>0</v>
      </c>
      <c r="C49" s="348"/>
      <c r="D49" s="349"/>
      <c r="E49" s="350"/>
      <c r="F49" s="317"/>
      <c r="G49" s="306"/>
      <c r="H49" s="712" t="s">
        <v>262</v>
      </c>
      <c r="I49" s="645">
        <f>I44</f>
        <v>0</v>
      </c>
      <c r="J49" s="348"/>
      <c r="K49" s="349"/>
      <c r="L49" s="350"/>
      <c r="M49" s="317"/>
      <c r="N49" s="306"/>
      <c r="O49" s="712" t="s">
        <v>262</v>
      </c>
      <c r="P49" s="645">
        <f>P44</f>
        <v>0</v>
      </c>
      <c r="Q49" s="348"/>
      <c r="R49" s="349"/>
      <c r="S49" s="350"/>
      <c r="T49" s="317"/>
      <c r="U49" s="306"/>
      <c r="V49" s="712" t="s">
        <v>262</v>
      </c>
      <c r="W49" s="645">
        <f>W44</f>
        <v>0</v>
      </c>
      <c r="X49" s="348"/>
      <c r="Y49" s="349"/>
      <c r="Z49" s="350"/>
      <c r="AA49" s="317"/>
      <c r="AB49" s="306"/>
      <c r="AC49" s="712" t="s">
        <v>262</v>
      </c>
      <c r="AD49" s="645">
        <f>AD44</f>
        <v>0</v>
      </c>
      <c r="AE49" s="348"/>
      <c r="AF49" s="349"/>
      <c r="AG49" s="350"/>
      <c r="AH49" s="317"/>
    </row>
    <row r="50" spans="1:34" ht="15.75" thickBot="1">
      <c r="A50" s="631" t="s">
        <v>264</v>
      </c>
      <c r="B50" s="646">
        <f>B48+B49</f>
        <v>0</v>
      </c>
      <c r="C50" s="348"/>
      <c r="D50" s="349"/>
      <c r="E50" s="350"/>
      <c r="F50" s="317"/>
      <c r="G50" s="306"/>
      <c r="H50" s="710" t="s">
        <v>264</v>
      </c>
      <c r="I50" s="646">
        <f>I48+I49</f>
        <v>0</v>
      </c>
      <c r="J50" s="348"/>
      <c r="K50" s="349"/>
      <c r="L50" s="350"/>
      <c r="M50" s="317"/>
      <c r="N50" s="306"/>
      <c r="O50" s="710" t="s">
        <v>264</v>
      </c>
      <c r="P50" s="646">
        <f>P48+P49</f>
        <v>0</v>
      </c>
      <c r="Q50" s="348"/>
      <c r="R50" s="349"/>
      <c r="S50" s="350"/>
      <c r="T50" s="317"/>
      <c r="U50" s="306"/>
      <c r="V50" s="710" t="s">
        <v>264</v>
      </c>
      <c r="W50" s="646">
        <f>W48+W49</f>
        <v>0</v>
      </c>
      <c r="X50" s="348"/>
      <c r="Y50" s="349"/>
      <c r="Z50" s="350"/>
      <c r="AA50" s="317"/>
      <c r="AB50" s="306"/>
      <c r="AC50" s="710" t="s">
        <v>264</v>
      </c>
      <c r="AD50" s="646">
        <f>AD48+AD49</f>
        <v>0</v>
      </c>
      <c r="AE50" s="348"/>
      <c r="AF50" s="349"/>
      <c r="AG50" s="350"/>
      <c r="AH50" s="317"/>
    </row>
    <row r="51" spans="1:34" ht="12.75">
      <c r="A51" s="346"/>
      <c r="B51" s="347"/>
      <c r="C51" s="348"/>
      <c r="D51" s="349"/>
      <c r="E51" s="350"/>
      <c r="F51" s="317"/>
      <c r="G51" s="306"/>
      <c r="H51" s="347"/>
      <c r="I51" s="347"/>
      <c r="J51" s="348"/>
      <c r="K51" s="349"/>
      <c r="L51" s="350"/>
      <c r="M51" s="317"/>
      <c r="N51" s="306"/>
      <c r="O51" s="347"/>
      <c r="P51" s="347"/>
      <c r="Q51" s="348"/>
      <c r="R51" s="349"/>
      <c r="S51" s="350"/>
      <c r="T51" s="317"/>
      <c r="U51" s="306"/>
      <c r="V51" s="347"/>
      <c r="W51" s="347"/>
      <c r="X51" s="348"/>
      <c r="Y51" s="349"/>
      <c r="Z51" s="350"/>
      <c r="AA51" s="317"/>
      <c r="AB51" s="306"/>
      <c r="AC51" s="347"/>
      <c r="AD51" s="347"/>
      <c r="AE51" s="348"/>
      <c r="AF51" s="349"/>
      <c r="AG51" s="350"/>
      <c r="AH51" s="317"/>
    </row>
    <row r="52" spans="1:34" ht="13.5" thickBot="1">
      <c r="A52" s="351"/>
      <c r="B52" s="352"/>
      <c r="C52" s="353"/>
      <c r="D52" s="353"/>
      <c r="E52" s="354"/>
      <c r="F52" s="317"/>
      <c r="G52" s="306"/>
      <c r="H52" s="352"/>
      <c r="I52" s="352"/>
      <c r="J52" s="353"/>
      <c r="K52" s="353"/>
      <c r="L52" s="354"/>
      <c r="M52" s="317"/>
      <c r="N52" s="306"/>
      <c r="O52" s="352"/>
      <c r="P52" s="352"/>
      <c r="Q52" s="353"/>
      <c r="R52" s="353"/>
      <c r="S52" s="354"/>
      <c r="T52" s="317"/>
      <c r="U52" s="306"/>
      <c r="V52" s="352"/>
      <c r="W52" s="352"/>
      <c r="X52" s="353"/>
      <c r="Y52" s="353"/>
      <c r="Z52" s="354"/>
      <c r="AA52" s="317"/>
      <c r="AB52" s="306"/>
      <c r="AC52" s="352"/>
      <c r="AD52" s="352"/>
      <c r="AE52" s="353"/>
      <c r="AF52" s="353"/>
      <c r="AG52" s="354"/>
      <c r="AH52" s="317"/>
    </row>
    <row r="53" spans="1:34" ht="12.75">
      <c r="A53" s="355"/>
      <c r="B53" s="356"/>
      <c r="C53" s="356"/>
      <c r="D53" s="356"/>
      <c r="E53" s="350"/>
      <c r="F53" s="317"/>
      <c r="G53" s="306"/>
      <c r="H53" s="356"/>
      <c r="I53" s="356"/>
      <c r="J53" s="356"/>
      <c r="K53" s="356"/>
      <c r="L53" s="350"/>
      <c r="M53" s="317"/>
      <c r="N53" s="306"/>
      <c r="O53" s="356"/>
      <c r="P53" s="356"/>
      <c r="Q53" s="356"/>
      <c r="R53" s="356"/>
      <c r="S53" s="350"/>
      <c r="T53" s="317"/>
      <c r="U53" s="306"/>
      <c r="V53" s="356"/>
      <c r="W53" s="356"/>
      <c r="X53" s="356"/>
      <c r="Y53" s="356"/>
      <c r="Z53" s="350"/>
      <c r="AA53" s="317"/>
      <c r="AB53" s="306"/>
      <c r="AC53" s="356"/>
      <c r="AD53" s="356"/>
      <c r="AE53" s="356"/>
      <c r="AF53" s="356"/>
      <c r="AG53" s="350"/>
      <c r="AH53" s="317"/>
    </row>
    <row r="54" spans="1:34" ht="12.75">
      <c r="A54" s="355"/>
      <c r="B54" s="356"/>
      <c r="C54" s="356"/>
      <c r="D54" s="356"/>
      <c r="E54" s="315"/>
      <c r="F54" s="317"/>
      <c r="G54" s="306"/>
      <c r="H54" s="356"/>
      <c r="I54" s="356"/>
      <c r="J54" s="356"/>
      <c r="K54" s="356"/>
      <c r="L54" s="315"/>
      <c r="M54" s="317"/>
      <c r="N54" s="306"/>
      <c r="O54" s="356"/>
      <c r="P54" s="356"/>
      <c r="Q54" s="356"/>
      <c r="R54" s="356"/>
      <c r="S54" s="315"/>
      <c r="T54" s="317"/>
      <c r="U54" s="306"/>
      <c r="V54" s="356"/>
      <c r="W54" s="356"/>
      <c r="X54" s="356"/>
      <c r="Y54" s="356"/>
      <c r="Z54" s="315"/>
      <c r="AA54" s="317"/>
      <c r="AB54" s="306"/>
      <c r="AC54" s="356"/>
      <c r="AD54" s="356"/>
      <c r="AE54" s="356"/>
      <c r="AF54" s="356"/>
      <c r="AG54" s="315"/>
      <c r="AH54" s="317"/>
    </row>
    <row r="55" spans="1:34" ht="12.75">
      <c r="A55" s="355"/>
      <c r="B55" s="356"/>
      <c r="C55" s="356"/>
      <c r="D55" s="356"/>
      <c r="E55" s="315"/>
      <c r="F55" s="317"/>
      <c r="G55" s="306"/>
      <c r="H55" s="356"/>
      <c r="I55" s="356"/>
      <c r="J55" s="356"/>
      <c r="K55" s="356"/>
      <c r="L55" s="315"/>
      <c r="M55" s="317"/>
      <c r="N55" s="306"/>
      <c r="O55" s="356"/>
      <c r="P55" s="356"/>
      <c r="Q55" s="356"/>
      <c r="R55" s="356"/>
      <c r="S55" s="315"/>
      <c r="T55" s="317"/>
      <c r="U55" s="306"/>
      <c r="V55" s="356"/>
      <c r="W55" s="356"/>
      <c r="X55" s="356"/>
      <c r="Y55" s="356"/>
      <c r="Z55" s="315"/>
      <c r="AA55" s="317"/>
      <c r="AB55" s="306"/>
      <c r="AC55" s="356"/>
      <c r="AD55" s="356"/>
      <c r="AE55" s="356"/>
      <c r="AF55" s="356"/>
      <c r="AG55" s="315"/>
      <c r="AH55" s="317"/>
    </row>
    <row r="56" spans="1:34" ht="13.5" thickBot="1">
      <c r="A56" s="355"/>
      <c r="B56" s="356"/>
      <c r="C56" s="356"/>
      <c r="D56" s="356"/>
      <c r="E56" s="315"/>
      <c r="F56" s="317"/>
      <c r="G56" s="306"/>
      <c r="H56" s="356"/>
      <c r="I56" s="356"/>
      <c r="J56" s="356"/>
      <c r="K56" s="356"/>
      <c r="L56" s="315"/>
      <c r="M56" s="317"/>
      <c r="N56" s="306"/>
      <c r="O56" s="356"/>
      <c r="P56" s="356"/>
      <c r="Q56" s="356"/>
      <c r="R56" s="356"/>
      <c r="S56" s="315"/>
      <c r="T56" s="317"/>
      <c r="U56" s="306"/>
      <c r="V56" s="356"/>
      <c r="W56" s="356"/>
      <c r="X56" s="356"/>
      <c r="Y56" s="356"/>
      <c r="Z56" s="315"/>
      <c r="AA56" s="317"/>
      <c r="AB56" s="306"/>
      <c r="AC56" s="356"/>
      <c r="AD56" s="356"/>
      <c r="AE56" s="356"/>
      <c r="AF56" s="356"/>
      <c r="AG56" s="315"/>
      <c r="AH56" s="317"/>
    </row>
    <row r="57" spans="1:34" ht="16.5" thickBot="1">
      <c r="A57" s="934" t="s">
        <v>265</v>
      </c>
      <c r="B57" s="935"/>
      <c r="C57" s="935"/>
      <c r="D57" s="935"/>
      <c r="E57" s="936"/>
      <c r="F57" s="357"/>
      <c r="G57" s="358"/>
      <c r="H57" s="934" t="s">
        <v>265</v>
      </c>
      <c r="I57" s="935"/>
      <c r="J57" s="935"/>
      <c r="K57" s="935"/>
      <c r="L57" s="936"/>
      <c r="M57" s="338"/>
      <c r="N57" s="306"/>
      <c r="O57" s="934" t="s">
        <v>265</v>
      </c>
      <c r="P57" s="935"/>
      <c r="Q57" s="935"/>
      <c r="R57" s="935"/>
      <c r="S57" s="936"/>
      <c r="T57" s="338"/>
      <c r="U57" s="306"/>
      <c r="V57" s="934" t="s">
        <v>265</v>
      </c>
      <c r="W57" s="935"/>
      <c r="X57" s="935"/>
      <c r="Y57" s="935"/>
      <c r="Z57" s="936"/>
      <c r="AA57" s="338"/>
      <c r="AB57" s="306"/>
      <c r="AC57" s="934" t="s">
        <v>265</v>
      </c>
      <c r="AD57" s="935"/>
      <c r="AE57" s="935"/>
      <c r="AF57" s="935"/>
      <c r="AG57" s="936"/>
      <c r="AH57" s="338"/>
    </row>
    <row r="58" spans="1:34" ht="40.5" customHeight="1" thickBot="1">
      <c r="A58" s="939" t="s">
        <v>266</v>
      </c>
      <c r="B58" s="940"/>
      <c r="C58" s="940"/>
      <c r="D58" s="940"/>
      <c r="E58" s="941"/>
      <c r="F58" s="338"/>
      <c r="G58" s="306"/>
      <c r="H58" s="939" t="s">
        <v>266</v>
      </c>
      <c r="I58" s="940"/>
      <c r="J58" s="940"/>
      <c r="K58" s="940"/>
      <c r="L58" s="941"/>
      <c r="M58" s="338"/>
      <c r="N58" s="306"/>
      <c r="O58" s="939" t="s">
        <v>266</v>
      </c>
      <c r="P58" s="940"/>
      <c r="Q58" s="940"/>
      <c r="R58" s="940"/>
      <c r="S58" s="941"/>
      <c r="T58" s="338"/>
      <c r="U58" s="306"/>
      <c r="V58" s="939" t="s">
        <v>266</v>
      </c>
      <c r="W58" s="940"/>
      <c r="X58" s="940"/>
      <c r="Y58" s="940"/>
      <c r="Z58" s="941"/>
      <c r="AA58" s="338"/>
      <c r="AB58" s="306"/>
      <c r="AC58" s="939" t="s">
        <v>266</v>
      </c>
      <c r="AD58" s="940"/>
      <c r="AE58" s="940"/>
      <c r="AF58" s="940"/>
      <c r="AG58" s="941"/>
      <c r="AH58" s="338"/>
    </row>
    <row r="59" spans="1:34" ht="16.5" thickBot="1">
      <c r="A59" s="333"/>
      <c r="B59" s="334"/>
      <c r="C59" s="334"/>
      <c r="D59" s="335"/>
      <c r="E59" s="335"/>
      <c r="F59" s="317"/>
      <c r="G59" s="306"/>
      <c r="H59" s="335"/>
      <c r="I59" s="334"/>
      <c r="J59" s="334"/>
      <c r="K59" s="335"/>
      <c r="L59" s="335"/>
      <c r="M59" s="317"/>
      <c r="N59" s="306"/>
      <c r="O59" s="335"/>
      <c r="P59" s="334"/>
      <c r="Q59" s="334"/>
      <c r="R59" s="335"/>
      <c r="S59" s="335"/>
      <c r="T59" s="317"/>
      <c r="U59" s="306"/>
      <c r="V59" s="335"/>
      <c r="W59" s="334"/>
      <c r="X59" s="334"/>
      <c r="Y59" s="335"/>
      <c r="Z59" s="335"/>
      <c r="AA59" s="317"/>
      <c r="AB59" s="306"/>
      <c r="AC59" s="335"/>
      <c r="AD59" s="334"/>
      <c r="AE59" s="334"/>
      <c r="AF59" s="335"/>
      <c r="AG59" s="335"/>
      <c r="AH59" s="317"/>
    </row>
    <row r="60" spans="1:34" ht="26.25" thickBot="1">
      <c r="A60" s="637" t="s">
        <v>248</v>
      </c>
      <c r="B60" s="652" t="s">
        <v>249</v>
      </c>
      <c r="C60" s="653" t="s">
        <v>250</v>
      </c>
      <c r="D60" s="637" t="s">
        <v>251</v>
      </c>
      <c r="E60" s="175"/>
      <c r="F60" s="317"/>
      <c r="G60" s="306"/>
      <c r="H60" s="648" t="s">
        <v>248</v>
      </c>
      <c r="I60" s="652" t="s">
        <v>249</v>
      </c>
      <c r="J60" s="653" t="s">
        <v>250</v>
      </c>
      <c r="K60" s="637" t="s">
        <v>251</v>
      </c>
      <c r="L60" s="175"/>
      <c r="M60" s="317"/>
      <c r="N60" s="306"/>
      <c r="O60" s="648" t="s">
        <v>248</v>
      </c>
      <c r="P60" s="652" t="s">
        <v>249</v>
      </c>
      <c r="Q60" s="653" t="s">
        <v>250</v>
      </c>
      <c r="R60" s="637" t="s">
        <v>251</v>
      </c>
      <c r="S60" s="175"/>
      <c r="T60" s="317"/>
      <c r="U60" s="306"/>
      <c r="V60" s="648" t="s">
        <v>248</v>
      </c>
      <c r="W60" s="652" t="s">
        <v>249</v>
      </c>
      <c r="X60" s="653" t="s">
        <v>250</v>
      </c>
      <c r="Y60" s="637" t="s">
        <v>251</v>
      </c>
      <c r="Z60" s="175"/>
      <c r="AA60" s="317"/>
      <c r="AB60" s="306"/>
      <c r="AC60" s="648" t="s">
        <v>248</v>
      </c>
      <c r="AD60" s="652" t="s">
        <v>249</v>
      </c>
      <c r="AE60" s="653" t="s">
        <v>250</v>
      </c>
      <c r="AF60" s="637" t="s">
        <v>251</v>
      </c>
      <c r="AG60" s="175"/>
      <c r="AH60" s="317"/>
    </row>
    <row r="61" spans="1:34" ht="12.75">
      <c r="A61" s="640">
        <v>4</v>
      </c>
      <c r="B61" s="337"/>
      <c r="C61" s="337"/>
      <c r="D61" s="654">
        <f>B61+C61</f>
        <v>0</v>
      </c>
      <c r="E61" s="175"/>
      <c r="F61" s="317"/>
      <c r="G61" s="306"/>
      <c r="H61" s="704">
        <v>4</v>
      </c>
      <c r="I61" s="337"/>
      <c r="J61" s="337"/>
      <c r="K61" s="654">
        <f>I61+J61</f>
        <v>0</v>
      </c>
      <c r="L61" s="175"/>
      <c r="M61" s="317"/>
      <c r="N61" s="306"/>
      <c r="O61" s="704">
        <v>4</v>
      </c>
      <c r="P61" s="337"/>
      <c r="Q61" s="337"/>
      <c r="R61" s="654">
        <f>P61+Q61</f>
        <v>0</v>
      </c>
      <c r="S61" s="175"/>
      <c r="T61" s="317"/>
      <c r="U61" s="306"/>
      <c r="V61" s="704">
        <v>4</v>
      </c>
      <c r="W61" s="337"/>
      <c r="X61" s="337"/>
      <c r="Y61" s="654">
        <f>W61+X61</f>
        <v>0</v>
      </c>
      <c r="Z61" s="175"/>
      <c r="AA61" s="317"/>
      <c r="AB61" s="306"/>
      <c r="AC61" s="704">
        <v>4</v>
      </c>
      <c r="AD61" s="337"/>
      <c r="AE61" s="337"/>
      <c r="AF61" s="654">
        <f>AD61+AE61</f>
        <v>0</v>
      </c>
      <c r="AG61" s="175"/>
      <c r="AH61" s="317"/>
    </row>
    <row r="62" spans="1:34" ht="12.75">
      <c r="A62" s="641">
        <v>5</v>
      </c>
      <c r="B62" s="337"/>
      <c r="C62" s="339"/>
      <c r="D62" s="655">
        <f>B62+C62</f>
        <v>0</v>
      </c>
      <c r="E62" s="175"/>
      <c r="F62" s="317"/>
      <c r="G62" s="306"/>
      <c r="H62" s="705">
        <v>5</v>
      </c>
      <c r="I62" s="337"/>
      <c r="J62" s="339"/>
      <c r="K62" s="655">
        <f>I62+J62</f>
        <v>0</v>
      </c>
      <c r="L62" s="175"/>
      <c r="M62" s="317"/>
      <c r="N62" s="306"/>
      <c r="O62" s="705">
        <v>5</v>
      </c>
      <c r="P62" s="337"/>
      <c r="Q62" s="843"/>
      <c r="R62" s="655">
        <f>P62+Q62</f>
        <v>0</v>
      </c>
      <c r="S62" s="175"/>
      <c r="T62" s="317"/>
      <c r="U62" s="306"/>
      <c r="V62" s="705">
        <v>5</v>
      </c>
      <c r="W62" s="337"/>
      <c r="X62" s="337"/>
      <c r="Y62" s="655">
        <f>W62+X62</f>
        <v>0</v>
      </c>
      <c r="Z62" s="175"/>
      <c r="AA62" s="317"/>
      <c r="AB62" s="306"/>
      <c r="AC62" s="705">
        <v>5</v>
      </c>
      <c r="AD62" s="337"/>
      <c r="AE62" s="337"/>
      <c r="AF62" s="655">
        <f>AD62+AE62</f>
        <v>0</v>
      </c>
      <c r="AG62" s="175"/>
      <c r="AH62" s="317"/>
    </row>
    <row r="63" spans="1:34" ht="12.75">
      <c r="A63" s="641">
        <v>6</v>
      </c>
      <c r="B63" s="337"/>
      <c r="C63" s="339"/>
      <c r="D63" s="655">
        <f>B63+C63</f>
        <v>0</v>
      </c>
      <c r="E63" s="175"/>
      <c r="F63" s="317"/>
      <c r="G63" s="306"/>
      <c r="H63" s="705">
        <v>6</v>
      </c>
      <c r="I63" s="337"/>
      <c r="J63" s="339"/>
      <c r="K63" s="655">
        <f>I63+J63</f>
        <v>0</v>
      </c>
      <c r="L63" s="175"/>
      <c r="M63" s="317"/>
      <c r="N63" s="306"/>
      <c r="O63" s="705">
        <v>6</v>
      </c>
      <c r="P63" s="337"/>
      <c r="Q63" s="339"/>
      <c r="R63" s="655">
        <f>P63+Q63</f>
        <v>0</v>
      </c>
      <c r="S63" s="175"/>
      <c r="T63" s="317"/>
      <c r="U63" s="306"/>
      <c r="V63" s="705">
        <v>6</v>
      </c>
      <c r="W63" s="337"/>
      <c r="X63" s="337"/>
      <c r="Y63" s="655">
        <f>W63+X63</f>
        <v>0</v>
      </c>
      <c r="Z63" s="175"/>
      <c r="AA63" s="317"/>
      <c r="AB63" s="306"/>
      <c r="AC63" s="705">
        <v>6</v>
      </c>
      <c r="AD63" s="337"/>
      <c r="AE63" s="337"/>
      <c r="AF63" s="655">
        <f>AD63+AE63</f>
        <v>0</v>
      </c>
      <c r="AG63" s="175"/>
      <c r="AH63" s="317"/>
    </row>
    <row r="64" spans="1:34" ht="12.75">
      <c r="A64" s="641">
        <v>7</v>
      </c>
      <c r="B64" s="337"/>
      <c r="C64" s="339"/>
      <c r="D64" s="655">
        <f>B64+C64</f>
        <v>0</v>
      </c>
      <c r="E64" s="175"/>
      <c r="F64" s="317"/>
      <c r="G64" s="306"/>
      <c r="H64" s="705">
        <v>7</v>
      </c>
      <c r="I64" s="337"/>
      <c r="J64" s="339"/>
      <c r="K64" s="655">
        <f>I64+J64</f>
        <v>0</v>
      </c>
      <c r="L64" s="175"/>
      <c r="M64" s="317"/>
      <c r="N64" s="306"/>
      <c r="O64" s="705">
        <v>7</v>
      </c>
      <c r="P64" s="337"/>
      <c r="Q64" s="339"/>
      <c r="R64" s="655">
        <f>P64+Q64</f>
        <v>0</v>
      </c>
      <c r="S64" s="175"/>
      <c r="T64" s="317"/>
      <c r="U64" s="306"/>
      <c r="V64" s="705">
        <v>7</v>
      </c>
      <c r="W64" s="337"/>
      <c r="X64" s="337"/>
      <c r="Y64" s="655">
        <f>W64+X64</f>
        <v>0</v>
      </c>
      <c r="Z64" s="175"/>
      <c r="AA64" s="317"/>
      <c r="AB64" s="306"/>
      <c r="AC64" s="705">
        <v>7</v>
      </c>
      <c r="AD64" s="337"/>
      <c r="AE64" s="337"/>
      <c r="AF64" s="655">
        <f>AD64+AE64</f>
        <v>0</v>
      </c>
      <c r="AG64" s="175"/>
      <c r="AH64" s="317"/>
    </row>
    <row r="65" spans="1:34" ht="13.5" thickBot="1">
      <c r="A65" s="651">
        <v>8</v>
      </c>
      <c r="B65" s="337"/>
      <c r="C65" s="339"/>
      <c r="D65" s="656">
        <f>B65+C65</f>
        <v>0</v>
      </c>
      <c r="E65" s="175"/>
      <c r="F65" s="317"/>
      <c r="G65" s="306"/>
      <c r="H65" s="713">
        <v>8</v>
      </c>
      <c r="I65" s="337"/>
      <c r="J65" s="339"/>
      <c r="K65" s="656">
        <f>I65+J65</f>
        <v>0</v>
      </c>
      <c r="L65" s="175"/>
      <c r="M65" s="317"/>
      <c r="N65" s="306"/>
      <c r="O65" s="713">
        <v>8</v>
      </c>
      <c r="P65" s="337"/>
      <c r="Q65" s="339"/>
      <c r="R65" s="656">
        <f>P65+Q65</f>
        <v>0</v>
      </c>
      <c r="S65" s="175"/>
      <c r="T65" s="317"/>
      <c r="U65" s="306"/>
      <c r="V65" s="713">
        <v>8</v>
      </c>
      <c r="W65" s="337"/>
      <c r="X65" s="337"/>
      <c r="Y65" s="656">
        <f>W65+X65</f>
        <v>0</v>
      </c>
      <c r="Z65" s="175"/>
      <c r="AA65" s="317"/>
      <c r="AB65" s="306"/>
      <c r="AC65" s="713">
        <v>8</v>
      </c>
      <c r="AD65" s="337"/>
      <c r="AE65" s="337"/>
      <c r="AF65" s="656">
        <f>AD65+AE65</f>
        <v>0</v>
      </c>
      <c r="AG65" s="175"/>
      <c r="AH65" s="317"/>
    </row>
    <row r="66" spans="1:34" ht="13.5" thickBot="1">
      <c r="A66" s="635" t="s">
        <v>267</v>
      </c>
      <c r="B66" s="629">
        <f>SUM(B61:B65)</f>
        <v>0</v>
      </c>
      <c r="C66" s="630">
        <f>SUM(C61:C65)</f>
        <v>0</v>
      </c>
      <c r="D66" s="639">
        <f>SUM(D61:D65)</f>
        <v>0</v>
      </c>
      <c r="E66" s="175"/>
      <c r="F66" s="317"/>
      <c r="G66" s="306"/>
      <c r="H66" s="706" t="s">
        <v>267</v>
      </c>
      <c r="I66" s="629">
        <f>SUM(I61:I65)</f>
        <v>0</v>
      </c>
      <c r="J66" s="630">
        <f>SUM(J61:J65)</f>
        <v>0</v>
      </c>
      <c r="K66" s="639">
        <f>SUM(K61:K65)</f>
        <v>0</v>
      </c>
      <c r="L66" s="175"/>
      <c r="M66" s="317"/>
      <c r="N66" s="306"/>
      <c r="O66" s="706" t="s">
        <v>267</v>
      </c>
      <c r="P66" s="629">
        <f>SUM(P61:P65)</f>
        <v>0</v>
      </c>
      <c r="Q66" s="630">
        <f>SUM(Q61:Q65)</f>
        <v>0</v>
      </c>
      <c r="R66" s="639">
        <f>SUM(R61:R65)</f>
        <v>0</v>
      </c>
      <c r="S66" s="175"/>
      <c r="T66" s="317"/>
      <c r="U66" s="306"/>
      <c r="V66" s="706" t="s">
        <v>267</v>
      </c>
      <c r="W66" s="629">
        <f>SUM(W61:W65)</f>
        <v>0</v>
      </c>
      <c r="X66" s="630">
        <f>SUM(X61:X65)</f>
        <v>0</v>
      </c>
      <c r="Y66" s="639">
        <f>SUM(Y61:Y65)</f>
        <v>0</v>
      </c>
      <c r="Z66" s="175"/>
      <c r="AA66" s="317"/>
      <c r="AB66" s="306"/>
      <c r="AC66" s="706" t="s">
        <v>267</v>
      </c>
      <c r="AD66" s="629">
        <f>SUM(AD61:AD65)</f>
        <v>0</v>
      </c>
      <c r="AE66" s="630">
        <f>SUM(AE61:AE65)</f>
        <v>0</v>
      </c>
      <c r="AF66" s="639">
        <f>SUM(AF61:AF65)</f>
        <v>0</v>
      </c>
      <c r="AG66" s="175"/>
      <c r="AH66" s="317"/>
    </row>
    <row r="67" spans="1:34" ht="13.5" thickBot="1">
      <c r="A67" s="636" t="s">
        <v>253</v>
      </c>
      <c r="B67" s="638">
        <v>1</v>
      </c>
      <c r="C67" s="638">
        <v>0.4</v>
      </c>
      <c r="D67" s="175"/>
      <c r="E67" s="175"/>
      <c r="F67" s="317"/>
      <c r="G67" s="306"/>
      <c r="H67" s="707" t="s">
        <v>253</v>
      </c>
      <c r="I67" s="638">
        <v>1</v>
      </c>
      <c r="J67" s="638">
        <v>0.4</v>
      </c>
      <c r="K67" s="175"/>
      <c r="L67" s="175"/>
      <c r="M67" s="317"/>
      <c r="N67" s="306"/>
      <c r="O67" s="707" t="s">
        <v>253</v>
      </c>
      <c r="P67" s="638">
        <v>1</v>
      </c>
      <c r="Q67" s="638">
        <v>0.4</v>
      </c>
      <c r="R67" s="175"/>
      <c r="S67" s="175"/>
      <c r="T67" s="317"/>
      <c r="U67" s="306"/>
      <c r="V67" s="707" t="s">
        <v>253</v>
      </c>
      <c r="W67" s="638">
        <v>1</v>
      </c>
      <c r="X67" s="638">
        <v>0.4</v>
      </c>
      <c r="Y67" s="175"/>
      <c r="Z67" s="175"/>
      <c r="AA67" s="317"/>
      <c r="AB67" s="306"/>
      <c r="AC67" s="707" t="s">
        <v>253</v>
      </c>
      <c r="AD67" s="638">
        <v>1</v>
      </c>
      <c r="AE67" s="638">
        <v>0.4</v>
      </c>
      <c r="AF67" s="175"/>
      <c r="AG67" s="175"/>
      <c r="AH67" s="317"/>
    </row>
    <row r="68" spans="1:34" ht="13.5" thickBot="1">
      <c r="A68" s="637" t="s">
        <v>268</v>
      </c>
      <c r="B68" s="639">
        <f>B66*B67</f>
        <v>0</v>
      </c>
      <c r="C68" s="657">
        <f>C66*C67</f>
        <v>0</v>
      </c>
      <c r="D68" s="658">
        <f>B68+C68</f>
        <v>0</v>
      </c>
      <c r="E68" s="175"/>
      <c r="F68" s="317"/>
      <c r="G68" s="306"/>
      <c r="H68" s="648" t="s">
        <v>268</v>
      </c>
      <c r="I68" s="639">
        <f>I66*I67</f>
        <v>0</v>
      </c>
      <c r="J68" s="714">
        <f>J66*J67</f>
        <v>0</v>
      </c>
      <c r="K68" s="715">
        <f>I68+J68</f>
        <v>0</v>
      </c>
      <c r="L68" s="175"/>
      <c r="M68" s="317"/>
      <c r="N68" s="306"/>
      <c r="O68" s="648" t="s">
        <v>268</v>
      </c>
      <c r="P68" s="639">
        <f>P66*P67</f>
        <v>0</v>
      </c>
      <c r="Q68" s="714">
        <f>Q66*Q67</f>
        <v>0</v>
      </c>
      <c r="R68" s="715">
        <f>P68+Q68</f>
        <v>0</v>
      </c>
      <c r="S68" s="175"/>
      <c r="T68" s="317"/>
      <c r="U68" s="306"/>
      <c r="V68" s="648" t="s">
        <v>268</v>
      </c>
      <c r="W68" s="639">
        <f>W66*W67</f>
        <v>0</v>
      </c>
      <c r="X68" s="714">
        <f>X66*X67</f>
        <v>0</v>
      </c>
      <c r="Y68" s="715">
        <f>W68+X68</f>
        <v>0</v>
      </c>
      <c r="Z68" s="175"/>
      <c r="AA68" s="317"/>
      <c r="AB68" s="306"/>
      <c r="AC68" s="648" t="s">
        <v>268</v>
      </c>
      <c r="AD68" s="639">
        <f>AD66*AD67</f>
        <v>0</v>
      </c>
      <c r="AE68" s="714">
        <f>AE66*AE67</f>
        <v>0</v>
      </c>
      <c r="AF68" s="715">
        <f>AD68+AE68</f>
        <v>0</v>
      </c>
      <c r="AG68" s="175"/>
      <c r="AH68" s="317"/>
    </row>
    <row r="69" spans="1:34" ht="12.75">
      <c r="A69" s="341"/>
      <c r="B69" s="342"/>
      <c r="C69" s="184"/>
      <c r="D69" s="342"/>
      <c r="E69" s="184"/>
      <c r="F69" s="317"/>
      <c r="G69" s="306"/>
      <c r="H69" s="342"/>
      <c r="I69" s="342"/>
      <c r="J69" s="184"/>
      <c r="K69" s="342"/>
      <c r="L69" s="184"/>
      <c r="M69" s="317"/>
      <c r="N69" s="306"/>
      <c r="O69" s="342"/>
      <c r="P69" s="342"/>
      <c r="Q69" s="184"/>
      <c r="R69" s="342"/>
      <c r="S69" s="184"/>
      <c r="T69" s="317"/>
      <c r="U69" s="306"/>
      <c r="V69" s="342"/>
      <c r="W69" s="342"/>
      <c r="X69" s="184"/>
      <c r="Y69" s="342"/>
      <c r="Z69" s="184"/>
      <c r="AA69" s="317"/>
      <c r="AB69" s="306"/>
      <c r="AC69" s="342"/>
      <c r="AD69" s="342"/>
      <c r="AE69" s="184"/>
      <c r="AF69" s="342"/>
      <c r="AG69" s="184"/>
      <c r="AH69" s="317"/>
    </row>
    <row r="70" spans="1:34" ht="13.5" thickBot="1">
      <c r="A70" s="341"/>
      <c r="B70" s="342"/>
      <c r="C70" s="184"/>
      <c r="D70" s="342"/>
      <c r="E70" s="184"/>
      <c r="F70" s="317"/>
      <c r="G70" s="306"/>
      <c r="H70" s="342"/>
      <c r="I70" s="342"/>
      <c r="J70" s="184"/>
      <c r="K70" s="342"/>
      <c r="L70" s="184"/>
      <c r="M70" s="317"/>
      <c r="N70" s="306"/>
      <c r="O70" s="342"/>
      <c r="P70" s="342"/>
      <c r="Q70" s="184"/>
      <c r="R70" s="342"/>
      <c r="S70" s="184"/>
      <c r="T70" s="317"/>
      <c r="U70" s="306"/>
      <c r="V70" s="342"/>
      <c r="W70" s="342"/>
      <c r="X70" s="184"/>
      <c r="Y70" s="342"/>
      <c r="Z70" s="184"/>
      <c r="AA70" s="317"/>
      <c r="AB70" s="306"/>
      <c r="AC70" s="342"/>
      <c r="AD70" s="342"/>
      <c r="AE70" s="184"/>
      <c r="AF70" s="342"/>
      <c r="AG70" s="184"/>
      <c r="AH70" s="317"/>
    </row>
    <row r="71" spans="1:34" ht="13.5" thickBot="1">
      <c r="A71" s="895" t="s">
        <v>269</v>
      </c>
      <c r="B71" s="897"/>
      <c r="C71" s="184"/>
      <c r="D71" s="342"/>
      <c r="E71" s="184"/>
      <c r="F71" s="317"/>
      <c r="G71" s="306"/>
      <c r="H71" s="895" t="s">
        <v>269</v>
      </c>
      <c r="I71" s="897"/>
      <c r="J71" s="184"/>
      <c r="K71" s="342"/>
      <c r="L71" s="184"/>
      <c r="M71" s="317"/>
      <c r="N71" s="306"/>
      <c r="O71" s="895" t="s">
        <v>269</v>
      </c>
      <c r="P71" s="897"/>
      <c r="Q71" s="184"/>
      <c r="R71" s="342"/>
      <c r="S71" s="184"/>
      <c r="T71" s="317"/>
      <c r="U71" s="306"/>
      <c r="V71" s="895" t="s">
        <v>269</v>
      </c>
      <c r="W71" s="897"/>
      <c r="X71" s="184"/>
      <c r="Y71" s="342"/>
      <c r="Z71" s="184"/>
      <c r="AA71" s="317"/>
      <c r="AB71" s="306"/>
      <c r="AC71" s="895" t="s">
        <v>269</v>
      </c>
      <c r="AD71" s="897"/>
      <c r="AE71" s="184"/>
      <c r="AF71" s="342"/>
      <c r="AG71" s="184"/>
      <c r="AH71" s="317"/>
    </row>
    <row r="72" spans="1:34" ht="12.75">
      <c r="A72" s="642" t="s">
        <v>270</v>
      </c>
      <c r="B72" s="643">
        <f>D68</f>
        <v>0</v>
      </c>
      <c r="C72" s="184"/>
      <c r="D72" s="342"/>
      <c r="E72" s="184"/>
      <c r="F72" s="317"/>
      <c r="G72" s="306"/>
      <c r="H72" s="708" t="s">
        <v>270</v>
      </c>
      <c r="I72" s="643">
        <f>K68</f>
        <v>0</v>
      </c>
      <c r="J72" s="184"/>
      <c r="K72" s="342"/>
      <c r="L72" s="184"/>
      <c r="M72" s="317"/>
      <c r="N72" s="306"/>
      <c r="O72" s="708" t="s">
        <v>270</v>
      </c>
      <c r="P72" s="643">
        <f>R68</f>
        <v>0</v>
      </c>
      <c r="Q72" s="184"/>
      <c r="R72" s="342"/>
      <c r="S72" s="184"/>
      <c r="T72" s="317"/>
      <c r="U72" s="306"/>
      <c r="V72" s="708" t="s">
        <v>270</v>
      </c>
      <c r="W72" s="643">
        <f>Y68</f>
        <v>0</v>
      </c>
      <c r="X72" s="184"/>
      <c r="Y72" s="342"/>
      <c r="Z72" s="184"/>
      <c r="AA72" s="317"/>
      <c r="AB72" s="306"/>
      <c r="AC72" s="708" t="s">
        <v>270</v>
      </c>
      <c r="AD72" s="643">
        <f>AF68</f>
        <v>0</v>
      </c>
      <c r="AE72" s="184"/>
      <c r="AF72" s="342"/>
      <c r="AG72" s="184"/>
      <c r="AH72" s="317"/>
    </row>
    <row r="73" spans="1:34" ht="13.5" thickBot="1">
      <c r="A73" s="644" t="s">
        <v>271</v>
      </c>
      <c r="B73" s="645">
        <f>B13</f>
        <v>4738.92</v>
      </c>
      <c r="C73" s="184"/>
      <c r="D73" s="342"/>
      <c r="E73" s="184"/>
      <c r="F73" s="317"/>
      <c r="G73" s="306"/>
      <c r="H73" s="709" t="s">
        <v>271</v>
      </c>
      <c r="I73" s="645">
        <f>I13</f>
        <v>4738.92</v>
      </c>
      <c r="J73" s="184"/>
      <c r="K73" s="342"/>
      <c r="L73" s="184"/>
      <c r="M73" s="317"/>
      <c r="N73" s="306"/>
      <c r="O73" s="709" t="s">
        <v>271</v>
      </c>
      <c r="P73" s="645">
        <f>P13</f>
        <v>4738.92</v>
      </c>
      <c r="Q73" s="184"/>
      <c r="R73" s="342"/>
      <c r="S73" s="184"/>
      <c r="T73" s="317"/>
      <c r="U73" s="306"/>
      <c r="V73" s="709" t="s">
        <v>271</v>
      </c>
      <c r="W73" s="645">
        <f>W13</f>
        <v>4738.92</v>
      </c>
      <c r="X73" s="184"/>
      <c r="Y73" s="342"/>
      <c r="Z73" s="184"/>
      <c r="AA73" s="317"/>
      <c r="AB73" s="306"/>
      <c r="AC73" s="709" t="s">
        <v>271</v>
      </c>
      <c r="AD73" s="645">
        <f>AD13</f>
        <v>4738.92</v>
      </c>
      <c r="AE73" s="184"/>
      <c r="AF73" s="342"/>
      <c r="AG73" s="184"/>
      <c r="AH73" s="317"/>
    </row>
    <row r="74" spans="1:34" ht="15.75" thickBot="1">
      <c r="A74" s="631" t="s">
        <v>272</v>
      </c>
      <c r="B74" s="646">
        <f>B72*B73</f>
        <v>0</v>
      </c>
      <c r="C74" s="184"/>
      <c r="D74" s="342"/>
      <c r="E74" s="184"/>
      <c r="F74" s="317"/>
      <c r="G74" s="306"/>
      <c r="H74" s="710" t="s">
        <v>272</v>
      </c>
      <c r="I74" s="646">
        <f>I72*I73</f>
        <v>0</v>
      </c>
      <c r="J74" s="184"/>
      <c r="K74" s="342"/>
      <c r="L74" s="184"/>
      <c r="M74" s="317"/>
      <c r="N74" s="306"/>
      <c r="O74" s="710" t="s">
        <v>272</v>
      </c>
      <c r="P74" s="646">
        <f>P72*P73</f>
        <v>0</v>
      </c>
      <c r="Q74" s="184"/>
      <c r="R74" s="342"/>
      <c r="S74" s="184"/>
      <c r="T74" s="317"/>
      <c r="U74" s="306"/>
      <c r="V74" s="710" t="s">
        <v>272</v>
      </c>
      <c r="W74" s="646">
        <f>W72*W73</f>
        <v>0</v>
      </c>
      <c r="X74" s="184"/>
      <c r="Y74" s="342"/>
      <c r="Z74" s="184"/>
      <c r="AA74" s="317"/>
      <c r="AB74" s="306"/>
      <c r="AC74" s="710" t="s">
        <v>272</v>
      </c>
      <c r="AD74" s="646">
        <f>AD72*AD73</f>
        <v>0</v>
      </c>
      <c r="AE74" s="184"/>
      <c r="AF74" s="342"/>
      <c r="AG74" s="184"/>
      <c r="AH74" s="317"/>
    </row>
    <row r="75" spans="1:34" ht="15">
      <c r="A75" s="359"/>
      <c r="B75" s="360"/>
      <c r="C75" s="184"/>
      <c r="D75" s="184"/>
      <c r="E75" s="342"/>
      <c r="F75" s="361"/>
      <c r="G75" s="306"/>
      <c r="H75" s="362"/>
      <c r="I75" s="360"/>
      <c r="J75" s="184"/>
      <c r="K75" s="184"/>
      <c r="L75" s="342"/>
      <c r="M75" s="361"/>
      <c r="N75" s="306"/>
      <c r="O75" s="362"/>
      <c r="P75" s="360"/>
      <c r="Q75" s="184"/>
      <c r="R75" s="184"/>
      <c r="S75" s="342"/>
      <c r="T75" s="361"/>
      <c r="U75" s="306"/>
      <c r="V75" s="362"/>
      <c r="W75" s="360"/>
      <c r="X75" s="184"/>
      <c r="Y75" s="184"/>
      <c r="Z75" s="342"/>
      <c r="AA75" s="361"/>
      <c r="AB75" s="306"/>
      <c r="AC75" s="362"/>
      <c r="AD75" s="360"/>
      <c r="AE75" s="184"/>
      <c r="AF75" s="184"/>
      <c r="AG75" s="342"/>
      <c r="AH75" s="361"/>
    </row>
    <row r="76" spans="1:34" ht="15.75" thickBot="1">
      <c r="A76" s="359"/>
      <c r="B76" s="360"/>
      <c r="C76" s="184"/>
      <c r="D76" s="184"/>
      <c r="E76" s="342"/>
      <c r="F76" s="361"/>
      <c r="G76" s="306"/>
      <c r="H76" s="362"/>
      <c r="I76" s="360"/>
      <c r="J76" s="184"/>
      <c r="K76" s="184"/>
      <c r="L76" s="342"/>
      <c r="M76" s="361"/>
      <c r="N76" s="306"/>
      <c r="O76" s="362"/>
      <c r="P76" s="360"/>
      <c r="Q76" s="184"/>
      <c r="R76" s="184"/>
      <c r="S76" s="342"/>
      <c r="T76" s="361"/>
      <c r="U76" s="306"/>
      <c r="V76" s="362"/>
      <c r="W76" s="360"/>
      <c r="X76" s="184"/>
      <c r="Y76" s="184"/>
      <c r="Z76" s="342"/>
      <c r="AA76" s="361"/>
      <c r="AB76" s="306"/>
      <c r="AC76" s="362"/>
      <c r="AD76" s="360"/>
      <c r="AE76" s="184"/>
      <c r="AF76" s="184"/>
      <c r="AG76" s="342"/>
      <c r="AH76" s="361"/>
    </row>
    <row r="77" spans="1:34" ht="13.5" thickBot="1">
      <c r="A77" s="895" t="s">
        <v>273</v>
      </c>
      <c r="B77" s="897"/>
      <c r="C77" s="184"/>
      <c r="D77" s="184"/>
      <c r="E77" s="342"/>
      <c r="F77" s="338"/>
      <c r="G77" s="306"/>
      <c r="H77" s="895" t="s">
        <v>273</v>
      </c>
      <c r="I77" s="897"/>
      <c r="J77" s="184"/>
      <c r="K77" s="184"/>
      <c r="L77" s="342"/>
      <c r="M77" s="338"/>
      <c r="N77" s="306"/>
      <c r="O77" s="895" t="s">
        <v>273</v>
      </c>
      <c r="P77" s="897"/>
      <c r="Q77" s="184"/>
      <c r="R77" s="184"/>
      <c r="S77" s="342"/>
      <c r="T77" s="338"/>
      <c r="U77" s="306"/>
      <c r="V77" s="895" t="s">
        <v>273</v>
      </c>
      <c r="W77" s="897"/>
      <c r="X77" s="184"/>
      <c r="Y77" s="184"/>
      <c r="Z77" s="342"/>
      <c r="AA77" s="338"/>
      <c r="AB77" s="306"/>
      <c r="AC77" s="895" t="s">
        <v>273</v>
      </c>
      <c r="AD77" s="897"/>
      <c r="AE77" s="184"/>
      <c r="AF77" s="184"/>
      <c r="AG77" s="342"/>
      <c r="AH77" s="338"/>
    </row>
    <row r="78" spans="1:34" ht="12.75">
      <c r="A78" s="642" t="s">
        <v>274</v>
      </c>
      <c r="B78" s="643">
        <f>D66</f>
        <v>0</v>
      </c>
      <c r="C78" s="184"/>
      <c r="D78" s="184"/>
      <c r="E78" s="342"/>
      <c r="F78" s="317"/>
      <c r="G78" s="306"/>
      <c r="H78" s="708" t="s">
        <v>274</v>
      </c>
      <c r="I78" s="643">
        <f>K66</f>
        <v>0</v>
      </c>
      <c r="J78" s="184"/>
      <c r="K78" s="184"/>
      <c r="L78" s="342"/>
      <c r="M78" s="317"/>
      <c r="N78" s="306"/>
      <c r="O78" s="708" t="s">
        <v>274</v>
      </c>
      <c r="P78" s="643">
        <f>R66</f>
        <v>0</v>
      </c>
      <c r="Q78" s="184"/>
      <c r="R78" s="184"/>
      <c r="S78" s="342"/>
      <c r="T78" s="317"/>
      <c r="U78" s="306"/>
      <c r="V78" s="708" t="s">
        <v>274</v>
      </c>
      <c r="W78" s="643">
        <f>Y66</f>
        <v>0</v>
      </c>
      <c r="X78" s="184"/>
      <c r="Y78" s="184"/>
      <c r="Z78" s="342"/>
      <c r="AA78" s="317"/>
      <c r="AB78" s="306"/>
      <c r="AC78" s="708" t="s">
        <v>274</v>
      </c>
      <c r="AD78" s="643">
        <f>AF66</f>
        <v>0</v>
      </c>
      <c r="AE78" s="184"/>
      <c r="AF78" s="184"/>
      <c r="AG78" s="342"/>
      <c r="AH78" s="317"/>
    </row>
    <row r="79" spans="1:34" ht="13.5" thickBot="1">
      <c r="A79" s="644" t="s">
        <v>275</v>
      </c>
      <c r="B79" s="645">
        <f>B14</f>
        <v>1643.01</v>
      </c>
      <c r="C79" s="184"/>
      <c r="D79" s="184"/>
      <c r="E79" s="184"/>
      <c r="F79" s="317"/>
      <c r="G79" s="306"/>
      <c r="H79" s="709" t="s">
        <v>275</v>
      </c>
      <c r="I79" s="645">
        <f>I14</f>
        <v>1643.01</v>
      </c>
      <c r="J79" s="184"/>
      <c r="K79" s="184"/>
      <c r="L79" s="184"/>
      <c r="M79" s="317"/>
      <c r="N79" s="306"/>
      <c r="O79" s="709" t="s">
        <v>275</v>
      </c>
      <c r="P79" s="645">
        <f>P14</f>
        <v>1643.01</v>
      </c>
      <c r="Q79" s="184"/>
      <c r="R79" s="184"/>
      <c r="S79" s="184"/>
      <c r="T79" s="317"/>
      <c r="U79" s="306"/>
      <c r="V79" s="709" t="s">
        <v>275</v>
      </c>
      <c r="W79" s="645">
        <f>W14</f>
        <v>1643.01</v>
      </c>
      <c r="X79" s="184"/>
      <c r="Y79" s="184"/>
      <c r="Z79" s="184"/>
      <c r="AA79" s="317"/>
      <c r="AB79" s="306"/>
      <c r="AC79" s="709" t="s">
        <v>275</v>
      </c>
      <c r="AD79" s="645">
        <f>AD14</f>
        <v>1643.01</v>
      </c>
      <c r="AE79" s="184"/>
      <c r="AF79" s="184"/>
      <c r="AG79" s="184"/>
      <c r="AH79" s="317"/>
    </row>
    <row r="80" spans="1:34" ht="15.75" thickBot="1">
      <c r="A80" s="631" t="s">
        <v>276</v>
      </c>
      <c r="B80" s="646">
        <f>B78*B79</f>
        <v>0</v>
      </c>
      <c r="C80" s="184"/>
      <c r="D80" s="184"/>
      <c r="E80" s="184"/>
      <c r="F80" s="317"/>
      <c r="G80" s="306"/>
      <c r="H80" s="710" t="s">
        <v>276</v>
      </c>
      <c r="I80" s="646">
        <f>I78*I79</f>
        <v>0</v>
      </c>
      <c r="J80" s="184"/>
      <c r="K80" s="184"/>
      <c r="L80" s="184"/>
      <c r="M80" s="317"/>
      <c r="N80" s="306"/>
      <c r="O80" s="710" t="s">
        <v>276</v>
      </c>
      <c r="P80" s="646">
        <f>P78*P79</f>
        <v>0</v>
      </c>
      <c r="Q80" s="184"/>
      <c r="R80" s="184"/>
      <c r="S80" s="184"/>
      <c r="T80" s="317"/>
      <c r="U80" s="306"/>
      <c r="V80" s="710" t="s">
        <v>276</v>
      </c>
      <c r="W80" s="646">
        <f>W78*W79</f>
        <v>0</v>
      </c>
      <c r="X80" s="184"/>
      <c r="Y80" s="184"/>
      <c r="Z80" s="184"/>
      <c r="AA80" s="317"/>
      <c r="AB80" s="306"/>
      <c r="AC80" s="710" t="s">
        <v>276</v>
      </c>
      <c r="AD80" s="646">
        <f>AD78*AD79</f>
        <v>0</v>
      </c>
      <c r="AE80" s="184"/>
      <c r="AF80" s="184"/>
      <c r="AG80" s="184"/>
      <c r="AH80" s="317"/>
    </row>
    <row r="81" spans="1:34" ht="12.75">
      <c r="A81" s="363"/>
      <c r="B81" s="348"/>
      <c r="C81" s="348"/>
      <c r="D81" s="349"/>
      <c r="E81" s="350"/>
      <c r="F81" s="317"/>
      <c r="G81" s="306"/>
      <c r="H81" s="348"/>
      <c r="I81" s="348"/>
      <c r="J81" s="348"/>
      <c r="K81" s="349"/>
      <c r="L81" s="350"/>
      <c r="M81" s="317"/>
      <c r="N81" s="306"/>
      <c r="O81" s="348"/>
      <c r="P81" s="348"/>
      <c r="Q81" s="348"/>
      <c r="R81" s="349"/>
      <c r="S81" s="350"/>
      <c r="T81" s="317"/>
      <c r="U81" s="306"/>
      <c r="V81" s="348"/>
      <c r="W81" s="348"/>
      <c r="X81" s="348"/>
      <c r="Y81" s="349"/>
      <c r="Z81" s="350"/>
      <c r="AA81" s="317"/>
      <c r="AB81" s="306"/>
      <c r="AC81" s="348"/>
      <c r="AD81" s="348"/>
      <c r="AE81" s="348"/>
      <c r="AF81" s="349"/>
      <c r="AG81" s="350"/>
      <c r="AH81" s="317"/>
    </row>
    <row r="82" spans="1:34" ht="13.5" thickBot="1">
      <c r="A82" s="363"/>
      <c r="B82" s="348"/>
      <c r="C82" s="348"/>
      <c r="D82" s="349"/>
      <c r="E82" s="350"/>
      <c r="F82" s="317"/>
      <c r="G82" s="306"/>
      <c r="H82" s="348"/>
      <c r="I82" s="348"/>
      <c r="J82" s="348"/>
      <c r="K82" s="349"/>
      <c r="L82" s="350"/>
      <c r="M82" s="317"/>
      <c r="N82" s="306"/>
      <c r="O82" s="348"/>
      <c r="P82" s="348"/>
      <c r="Q82" s="348"/>
      <c r="R82" s="349"/>
      <c r="S82" s="350"/>
      <c r="T82" s="317"/>
      <c r="U82" s="306"/>
      <c r="V82" s="348"/>
      <c r="W82" s="348"/>
      <c r="X82" s="348"/>
      <c r="Y82" s="349"/>
      <c r="Z82" s="350"/>
      <c r="AA82" s="317"/>
      <c r="AB82" s="306"/>
      <c r="AC82" s="348"/>
      <c r="AD82" s="348"/>
      <c r="AE82" s="348"/>
      <c r="AF82" s="349"/>
      <c r="AG82" s="350"/>
      <c r="AH82" s="317"/>
    </row>
    <row r="83" spans="1:34" ht="13.5" thickBot="1">
      <c r="A83" s="895" t="s">
        <v>277</v>
      </c>
      <c r="B83" s="897"/>
      <c r="C83" s="348"/>
      <c r="D83" s="349"/>
      <c r="E83" s="350"/>
      <c r="F83" s="317"/>
      <c r="G83" s="306"/>
      <c r="H83" s="895" t="s">
        <v>277</v>
      </c>
      <c r="I83" s="897"/>
      <c r="J83" s="348"/>
      <c r="K83" s="349"/>
      <c r="L83" s="350"/>
      <c r="M83" s="317"/>
      <c r="N83" s="306"/>
      <c r="O83" s="895" t="s">
        <v>277</v>
      </c>
      <c r="P83" s="897"/>
      <c r="Q83" s="348"/>
      <c r="R83" s="349"/>
      <c r="S83" s="350"/>
      <c r="T83" s="317"/>
      <c r="U83" s="306"/>
      <c r="V83" s="895" t="s">
        <v>277</v>
      </c>
      <c r="W83" s="897"/>
      <c r="X83" s="348"/>
      <c r="Y83" s="349"/>
      <c r="Z83" s="350"/>
      <c r="AA83" s="317"/>
      <c r="AB83" s="306"/>
      <c r="AC83" s="895" t="s">
        <v>277</v>
      </c>
      <c r="AD83" s="897"/>
      <c r="AE83" s="348"/>
      <c r="AF83" s="349"/>
      <c r="AG83" s="350"/>
      <c r="AH83" s="317"/>
    </row>
    <row r="84" spans="1:34" ht="12.75">
      <c r="A84" s="642" t="s">
        <v>272</v>
      </c>
      <c r="B84" s="659">
        <f>B74</f>
        <v>0</v>
      </c>
      <c r="C84" s="348"/>
      <c r="D84" s="349"/>
      <c r="E84" s="350"/>
      <c r="F84" s="317"/>
      <c r="G84" s="306"/>
      <c r="H84" s="708" t="s">
        <v>272</v>
      </c>
      <c r="I84" s="659">
        <f>I74</f>
        <v>0</v>
      </c>
      <c r="J84" s="348"/>
      <c r="K84" s="349"/>
      <c r="L84" s="350"/>
      <c r="M84" s="317"/>
      <c r="N84" s="306"/>
      <c r="O84" s="708" t="s">
        <v>272</v>
      </c>
      <c r="P84" s="659">
        <f>P74</f>
        <v>0</v>
      </c>
      <c r="Q84" s="348"/>
      <c r="R84" s="349"/>
      <c r="S84" s="350"/>
      <c r="T84" s="317"/>
      <c r="U84" s="306"/>
      <c r="V84" s="708" t="s">
        <v>272</v>
      </c>
      <c r="W84" s="659">
        <f>W74</f>
        <v>0</v>
      </c>
      <c r="X84" s="348"/>
      <c r="Y84" s="349"/>
      <c r="Z84" s="350"/>
      <c r="AA84" s="317"/>
      <c r="AB84" s="306"/>
      <c r="AC84" s="708" t="s">
        <v>272</v>
      </c>
      <c r="AD84" s="659">
        <f>AD74</f>
        <v>0</v>
      </c>
      <c r="AE84" s="348"/>
      <c r="AF84" s="349"/>
      <c r="AG84" s="350"/>
      <c r="AH84" s="317"/>
    </row>
    <row r="85" spans="1:34" ht="13.5" thickBot="1">
      <c r="A85" s="642" t="s">
        <v>276</v>
      </c>
      <c r="B85" s="660">
        <f>B80</f>
        <v>0</v>
      </c>
      <c r="C85" s="348"/>
      <c r="D85" s="349"/>
      <c r="E85" s="350"/>
      <c r="F85" s="317"/>
      <c r="G85" s="306"/>
      <c r="H85" s="708" t="s">
        <v>276</v>
      </c>
      <c r="I85" s="660">
        <f>I80</f>
        <v>0</v>
      </c>
      <c r="J85" s="348"/>
      <c r="K85" s="349"/>
      <c r="L85" s="350"/>
      <c r="M85" s="317"/>
      <c r="N85" s="306"/>
      <c r="O85" s="708" t="s">
        <v>276</v>
      </c>
      <c r="P85" s="660">
        <f>P80</f>
        <v>0</v>
      </c>
      <c r="Q85" s="348"/>
      <c r="R85" s="349"/>
      <c r="S85" s="350"/>
      <c r="T85" s="317"/>
      <c r="U85" s="306"/>
      <c r="V85" s="708" t="s">
        <v>276</v>
      </c>
      <c r="W85" s="660">
        <f>W80</f>
        <v>0</v>
      </c>
      <c r="X85" s="348"/>
      <c r="Y85" s="349"/>
      <c r="Z85" s="350"/>
      <c r="AA85" s="317"/>
      <c r="AB85" s="306"/>
      <c r="AC85" s="708" t="s">
        <v>276</v>
      </c>
      <c r="AD85" s="660">
        <f>AD80</f>
        <v>0</v>
      </c>
      <c r="AE85" s="348"/>
      <c r="AF85" s="349"/>
      <c r="AG85" s="350"/>
      <c r="AH85" s="317"/>
    </row>
    <row r="86" spans="1:34" ht="15.75" thickBot="1">
      <c r="A86" s="631" t="s">
        <v>278</v>
      </c>
      <c r="B86" s="646">
        <f>B84+B85</f>
        <v>0</v>
      </c>
      <c r="C86" s="348"/>
      <c r="D86" s="349"/>
      <c r="E86" s="350"/>
      <c r="F86" s="317"/>
      <c r="G86" s="306"/>
      <c r="H86" s="710" t="s">
        <v>278</v>
      </c>
      <c r="I86" s="646">
        <f>I84+I85</f>
        <v>0</v>
      </c>
      <c r="J86" s="348"/>
      <c r="K86" s="349"/>
      <c r="L86" s="350"/>
      <c r="M86" s="317"/>
      <c r="N86" s="306"/>
      <c r="O86" s="710" t="s">
        <v>278</v>
      </c>
      <c r="P86" s="646">
        <f>P84+P85</f>
        <v>0</v>
      </c>
      <c r="Q86" s="348"/>
      <c r="R86" s="349"/>
      <c r="S86" s="350"/>
      <c r="T86" s="317"/>
      <c r="U86" s="306"/>
      <c r="V86" s="710" t="s">
        <v>278</v>
      </c>
      <c r="W86" s="646">
        <f>W84+W85</f>
        <v>0</v>
      </c>
      <c r="X86" s="348"/>
      <c r="Y86" s="349"/>
      <c r="Z86" s="350"/>
      <c r="AA86" s="317"/>
      <c r="AB86" s="306"/>
      <c r="AC86" s="710" t="s">
        <v>278</v>
      </c>
      <c r="AD86" s="646">
        <f>AD84+AD85</f>
        <v>0</v>
      </c>
      <c r="AE86" s="348"/>
      <c r="AF86" s="349"/>
      <c r="AG86" s="350"/>
      <c r="AH86" s="317"/>
    </row>
    <row r="87" spans="1:34" ht="12.75">
      <c r="A87" s="363"/>
      <c r="B87" s="348"/>
      <c r="C87" s="348"/>
      <c r="D87" s="349"/>
      <c r="E87" s="350"/>
      <c r="F87" s="317"/>
      <c r="G87" s="306"/>
      <c r="H87" s="348"/>
      <c r="I87" s="348"/>
      <c r="J87" s="348"/>
      <c r="K87" s="349"/>
      <c r="L87" s="350"/>
      <c r="M87" s="317"/>
      <c r="N87" s="306"/>
      <c r="O87" s="348"/>
      <c r="P87" s="348"/>
      <c r="Q87" s="348"/>
      <c r="R87" s="349"/>
      <c r="S87" s="350"/>
      <c r="T87" s="317"/>
      <c r="U87" s="306"/>
      <c r="V87" s="348"/>
      <c r="W87" s="348"/>
      <c r="X87" s="348"/>
      <c r="Y87" s="349"/>
      <c r="Z87" s="350"/>
      <c r="AA87" s="317"/>
      <c r="AB87" s="306"/>
      <c r="AC87" s="348"/>
      <c r="AD87" s="348"/>
      <c r="AE87" s="348"/>
      <c r="AF87" s="349"/>
      <c r="AG87" s="350"/>
      <c r="AH87" s="317"/>
    </row>
    <row r="88" spans="1:34" ht="12.75">
      <c r="A88" s="363"/>
      <c r="B88" s="348"/>
      <c r="C88" s="348"/>
      <c r="D88" s="349"/>
      <c r="E88" s="350"/>
      <c r="F88" s="317"/>
      <c r="G88" s="306"/>
      <c r="H88" s="348"/>
      <c r="I88" s="348"/>
      <c r="J88" s="348"/>
      <c r="K88" s="349"/>
      <c r="L88" s="350"/>
      <c r="M88" s="317"/>
      <c r="N88" s="306"/>
      <c r="O88" s="348"/>
      <c r="P88" s="348"/>
      <c r="Q88" s="348"/>
      <c r="R88" s="349"/>
      <c r="S88" s="350"/>
      <c r="T88" s="317"/>
      <c r="U88" s="306"/>
      <c r="V88" s="348"/>
      <c r="W88" s="348"/>
      <c r="X88" s="348"/>
      <c r="Y88" s="349"/>
      <c r="Z88" s="350"/>
      <c r="AA88" s="317"/>
      <c r="AB88" s="306"/>
      <c r="AC88" s="348"/>
      <c r="AD88" s="348"/>
      <c r="AE88" s="348"/>
      <c r="AF88" s="349"/>
      <c r="AG88" s="350"/>
      <c r="AH88" s="317"/>
    </row>
    <row r="89" spans="1:34" ht="12.75">
      <c r="A89" s="363"/>
      <c r="B89" s="348"/>
      <c r="C89" s="348"/>
      <c r="D89" s="349"/>
      <c r="E89" s="350"/>
      <c r="F89" s="317"/>
      <c r="G89" s="306"/>
      <c r="H89" s="348"/>
      <c r="I89" s="348"/>
      <c r="J89" s="348"/>
      <c r="K89" s="349"/>
      <c r="L89" s="350"/>
      <c r="M89" s="317"/>
      <c r="N89" s="306"/>
      <c r="O89" s="348"/>
      <c r="P89" s="348"/>
      <c r="Q89" s="348"/>
      <c r="R89" s="349"/>
      <c r="S89" s="350"/>
      <c r="T89" s="317"/>
      <c r="U89" s="306"/>
      <c r="V89" s="348"/>
      <c r="W89" s="348"/>
      <c r="X89" s="348"/>
      <c r="Y89" s="349"/>
      <c r="Z89" s="350"/>
      <c r="AA89" s="317"/>
      <c r="AB89" s="306"/>
      <c r="AC89" s="348"/>
      <c r="AD89" s="348"/>
      <c r="AE89" s="348"/>
      <c r="AF89" s="349"/>
      <c r="AG89" s="350"/>
      <c r="AH89" s="317"/>
    </row>
    <row r="90" spans="1:34" ht="13.5" thickBot="1">
      <c r="A90" s="363"/>
      <c r="B90" s="348"/>
      <c r="C90" s="348"/>
      <c r="D90" s="349"/>
      <c r="E90" s="350"/>
      <c r="F90" s="317"/>
      <c r="G90" s="306"/>
      <c r="H90" s="348"/>
      <c r="I90" s="348"/>
      <c r="J90" s="348"/>
      <c r="K90" s="349"/>
      <c r="L90" s="350"/>
      <c r="M90" s="317"/>
      <c r="N90" s="306"/>
      <c r="O90" s="348"/>
      <c r="P90" s="348"/>
      <c r="Q90" s="348"/>
      <c r="R90" s="349"/>
      <c r="S90" s="350"/>
      <c r="T90" s="317"/>
      <c r="U90" s="306"/>
      <c r="V90" s="348"/>
      <c r="W90" s="348"/>
      <c r="X90" s="348"/>
      <c r="Y90" s="349"/>
      <c r="Z90" s="350"/>
      <c r="AA90" s="317"/>
      <c r="AB90" s="306"/>
      <c r="AC90" s="348"/>
      <c r="AD90" s="348"/>
      <c r="AE90" s="348"/>
      <c r="AF90" s="349"/>
      <c r="AG90" s="350"/>
      <c r="AH90" s="317"/>
    </row>
    <row r="91" spans="1:34" ht="16.5" thickBot="1">
      <c r="A91" s="934" t="s">
        <v>279</v>
      </c>
      <c r="B91" s="935"/>
      <c r="C91" s="935"/>
      <c r="D91" s="935"/>
      <c r="E91" s="936"/>
      <c r="F91" s="364"/>
      <c r="G91" s="365"/>
      <c r="H91" s="934" t="s">
        <v>279</v>
      </c>
      <c r="I91" s="935"/>
      <c r="J91" s="935"/>
      <c r="K91" s="935"/>
      <c r="L91" s="936"/>
      <c r="M91" s="317"/>
      <c r="N91" s="306"/>
      <c r="O91" s="934" t="s">
        <v>279</v>
      </c>
      <c r="P91" s="935"/>
      <c r="Q91" s="935"/>
      <c r="R91" s="935"/>
      <c r="S91" s="936"/>
      <c r="T91" s="317"/>
      <c r="U91" s="306"/>
      <c r="V91" s="934" t="s">
        <v>279</v>
      </c>
      <c r="W91" s="935"/>
      <c r="X91" s="935"/>
      <c r="Y91" s="935"/>
      <c r="Z91" s="936"/>
      <c r="AA91" s="317"/>
      <c r="AB91" s="306"/>
      <c r="AC91" s="934" t="s">
        <v>279</v>
      </c>
      <c r="AD91" s="935"/>
      <c r="AE91" s="935"/>
      <c r="AF91" s="935"/>
      <c r="AG91" s="936"/>
      <c r="AH91" s="317"/>
    </row>
    <row r="92" spans="1:34" ht="36.75" customHeight="1" thickBot="1">
      <c r="A92" s="939" t="s">
        <v>280</v>
      </c>
      <c r="B92" s="940"/>
      <c r="C92" s="940"/>
      <c r="D92" s="940"/>
      <c r="E92" s="941"/>
      <c r="F92" s="366"/>
      <c r="G92" s="367"/>
      <c r="H92" s="939" t="s">
        <v>280</v>
      </c>
      <c r="I92" s="940"/>
      <c r="J92" s="940"/>
      <c r="K92" s="940"/>
      <c r="L92" s="941"/>
      <c r="M92" s="317"/>
      <c r="N92" s="306"/>
      <c r="O92" s="942" t="s">
        <v>281</v>
      </c>
      <c r="P92" s="943"/>
      <c r="Q92" s="943"/>
      <c r="R92" s="943"/>
      <c r="S92" s="944"/>
      <c r="T92" s="317"/>
      <c r="U92" s="306"/>
      <c r="V92" s="942" t="s">
        <v>281</v>
      </c>
      <c r="W92" s="943"/>
      <c r="X92" s="943"/>
      <c r="Y92" s="943"/>
      <c r="Z92" s="944"/>
      <c r="AA92" s="317"/>
      <c r="AB92" s="306"/>
      <c r="AC92" s="942" t="s">
        <v>281</v>
      </c>
      <c r="AD92" s="943"/>
      <c r="AE92" s="943"/>
      <c r="AF92" s="943"/>
      <c r="AG92" s="944"/>
      <c r="AH92" s="317"/>
    </row>
    <row r="93" spans="1:34" ht="16.5" thickBot="1">
      <c r="A93" s="333"/>
      <c r="B93" s="334"/>
      <c r="C93" s="334"/>
      <c r="D93" s="335"/>
      <c r="E93" s="368"/>
      <c r="F93" s="333"/>
      <c r="G93" s="368"/>
      <c r="H93" s="333"/>
      <c r="I93" s="334"/>
      <c r="J93" s="334"/>
      <c r="K93" s="335"/>
      <c r="L93" s="335"/>
      <c r="M93" s="317"/>
      <c r="N93" s="306"/>
      <c r="O93" s="333"/>
      <c r="P93" s="334"/>
      <c r="Q93" s="334"/>
      <c r="R93" s="335"/>
      <c r="S93" s="335"/>
      <c r="T93" s="317"/>
      <c r="U93" s="306"/>
      <c r="V93" s="333"/>
      <c r="W93" s="334"/>
      <c r="X93" s="334"/>
      <c r="Y93" s="335"/>
      <c r="Z93" s="335"/>
      <c r="AA93" s="317"/>
      <c r="AB93" s="306"/>
      <c r="AC93" s="333"/>
      <c r="AD93" s="334"/>
      <c r="AE93" s="334"/>
      <c r="AF93" s="335"/>
      <c r="AG93" s="335"/>
      <c r="AH93" s="317"/>
    </row>
    <row r="94" spans="1:34" ht="26.25" thickBot="1">
      <c r="A94" s="637" t="s">
        <v>248</v>
      </c>
      <c r="B94" s="652" t="s">
        <v>249</v>
      </c>
      <c r="C94" s="653" t="s">
        <v>296</v>
      </c>
      <c r="D94" s="637" t="s">
        <v>250</v>
      </c>
      <c r="E94" s="647" t="s">
        <v>125</v>
      </c>
      <c r="F94" s="370"/>
      <c r="G94" s="371"/>
      <c r="H94" s="637" t="s">
        <v>248</v>
      </c>
      <c r="I94" s="652" t="s">
        <v>249</v>
      </c>
      <c r="J94" s="653" t="s">
        <v>296</v>
      </c>
      <c r="K94" s="637" t="s">
        <v>250</v>
      </c>
      <c r="L94" s="647" t="s">
        <v>125</v>
      </c>
      <c r="M94" s="317"/>
      <c r="N94" s="306"/>
      <c r="O94" s="637" t="s">
        <v>248</v>
      </c>
      <c r="P94" s="652" t="s">
        <v>249</v>
      </c>
      <c r="Q94" s="653" t="s">
        <v>250</v>
      </c>
      <c r="R94" s="637" t="s">
        <v>251</v>
      </c>
      <c r="S94" s="175"/>
      <c r="T94" s="317"/>
      <c r="U94" s="306"/>
      <c r="V94" s="637" t="s">
        <v>248</v>
      </c>
      <c r="W94" s="652" t="s">
        <v>249</v>
      </c>
      <c r="X94" s="653" t="s">
        <v>250</v>
      </c>
      <c r="Y94" s="637" t="s">
        <v>251</v>
      </c>
      <c r="Z94" s="175"/>
      <c r="AA94" s="317"/>
      <c r="AB94" s="306"/>
      <c r="AC94" s="637" t="s">
        <v>248</v>
      </c>
      <c r="AD94" s="652" t="s">
        <v>249</v>
      </c>
      <c r="AE94" s="653" t="s">
        <v>250</v>
      </c>
      <c r="AF94" s="637" t="s">
        <v>251</v>
      </c>
      <c r="AG94" s="175"/>
      <c r="AH94" s="317"/>
    </row>
    <row r="95" spans="1:34" ht="12.75">
      <c r="A95" s="641">
        <v>6</v>
      </c>
      <c r="B95" s="337"/>
      <c r="C95" s="337"/>
      <c r="D95" s="402"/>
      <c r="E95" s="666">
        <f>SUM(B95:D95)</f>
        <v>0</v>
      </c>
      <c r="F95" s="372"/>
      <c r="G95" s="373"/>
      <c r="H95" s="641">
        <v>6</v>
      </c>
      <c r="I95" s="337"/>
      <c r="J95" s="337"/>
      <c r="K95" s="402"/>
      <c r="L95" s="666">
        <f>SUM(I95:K95)</f>
        <v>0</v>
      </c>
      <c r="M95" s="317"/>
      <c r="N95" s="306"/>
      <c r="O95" s="641">
        <v>6</v>
      </c>
      <c r="P95" s="728" t="s">
        <v>194</v>
      </c>
      <c r="Q95" s="728" t="s">
        <v>194</v>
      </c>
      <c r="R95" s="728" t="s">
        <v>194</v>
      </c>
      <c r="S95" s="175"/>
      <c r="T95" s="317"/>
      <c r="U95" s="306"/>
      <c r="V95" s="641">
        <v>6</v>
      </c>
      <c r="W95" s="728" t="s">
        <v>194</v>
      </c>
      <c r="X95" s="728" t="s">
        <v>194</v>
      </c>
      <c r="Y95" s="728" t="s">
        <v>194</v>
      </c>
      <c r="Z95" s="175"/>
      <c r="AA95" s="317"/>
      <c r="AB95" s="306"/>
      <c r="AC95" s="641">
        <v>6</v>
      </c>
      <c r="AD95" s="728" t="s">
        <v>194</v>
      </c>
      <c r="AE95" s="728" t="s">
        <v>194</v>
      </c>
      <c r="AF95" s="728" t="s">
        <v>194</v>
      </c>
      <c r="AG95" s="175"/>
      <c r="AH95" s="317"/>
    </row>
    <row r="96" spans="1:34" ht="12.75">
      <c r="A96" s="641">
        <v>7</v>
      </c>
      <c r="B96" s="337"/>
      <c r="C96" s="337"/>
      <c r="D96" s="402"/>
      <c r="E96" s="666">
        <f>SUM(B96:D96)</f>
        <v>0</v>
      </c>
      <c r="F96" s="372"/>
      <c r="G96" s="373"/>
      <c r="H96" s="641">
        <v>7</v>
      </c>
      <c r="I96" s="337"/>
      <c r="J96" s="337"/>
      <c r="K96" s="402"/>
      <c r="L96" s="666">
        <f>SUM(I96:K96)</f>
        <v>0</v>
      </c>
      <c r="M96" s="317"/>
      <c r="N96" s="306"/>
      <c r="O96" s="641">
        <v>7</v>
      </c>
      <c r="P96" s="728" t="s">
        <v>194</v>
      </c>
      <c r="Q96" s="728" t="s">
        <v>194</v>
      </c>
      <c r="R96" s="728" t="s">
        <v>194</v>
      </c>
      <c r="S96" s="175"/>
      <c r="T96" s="317"/>
      <c r="U96" s="306"/>
      <c r="V96" s="641">
        <v>7</v>
      </c>
      <c r="W96" s="728" t="s">
        <v>194</v>
      </c>
      <c r="X96" s="728" t="s">
        <v>194</v>
      </c>
      <c r="Y96" s="728" t="s">
        <v>194</v>
      </c>
      <c r="Z96" s="175"/>
      <c r="AA96" s="317"/>
      <c r="AB96" s="306"/>
      <c r="AC96" s="641">
        <v>7</v>
      </c>
      <c r="AD96" s="728" t="s">
        <v>194</v>
      </c>
      <c r="AE96" s="728" t="s">
        <v>194</v>
      </c>
      <c r="AF96" s="728" t="s">
        <v>194</v>
      </c>
      <c r="AG96" s="175"/>
      <c r="AH96" s="317"/>
    </row>
    <row r="97" spans="1:34" ht="13.5" thickBot="1">
      <c r="A97" s="651">
        <v>8</v>
      </c>
      <c r="B97" s="337"/>
      <c r="C97" s="558"/>
      <c r="D97" s="559"/>
      <c r="E97" s="667">
        <f>SUM(B97:D97)</f>
        <v>0</v>
      </c>
      <c r="F97" s="374"/>
      <c r="G97" s="373"/>
      <c r="H97" s="651">
        <v>8</v>
      </c>
      <c r="I97" s="337"/>
      <c r="J97" s="558"/>
      <c r="K97" s="559"/>
      <c r="L97" s="667">
        <f>SUM(I97:K97)</f>
        <v>0</v>
      </c>
      <c r="M97" s="317"/>
      <c r="N97" s="306"/>
      <c r="O97" s="651">
        <v>8</v>
      </c>
      <c r="P97" s="728" t="s">
        <v>194</v>
      </c>
      <c r="Q97" s="728" t="s">
        <v>194</v>
      </c>
      <c r="R97" s="728" t="s">
        <v>194</v>
      </c>
      <c r="S97" s="175"/>
      <c r="T97" s="317"/>
      <c r="U97" s="306"/>
      <c r="V97" s="651">
        <v>8</v>
      </c>
      <c r="W97" s="728" t="s">
        <v>194</v>
      </c>
      <c r="X97" s="728" t="s">
        <v>194</v>
      </c>
      <c r="Y97" s="728" t="s">
        <v>194</v>
      </c>
      <c r="Z97" s="175"/>
      <c r="AA97" s="317"/>
      <c r="AB97" s="306"/>
      <c r="AC97" s="651">
        <v>8</v>
      </c>
      <c r="AD97" s="728" t="s">
        <v>194</v>
      </c>
      <c r="AE97" s="728" t="s">
        <v>194</v>
      </c>
      <c r="AF97" s="728" t="s">
        <v>194</v>
      </c>
      <c r="AG97" s="175"/>
      <c r="AH97" s="317"/>
    </row>
    <row r="98" spans="1:34" ht="13.5" thickBot="1">
      <c r="A98" s="635" t="s">
        <v>282</v>
      </c>
      <c r="B98" s="662">
        <f>SUM(B95:B97)</f>
        <v>0</v>
      </c>
      <c r="C98" s="662">
        <f>SUM(C95:C97)</f>
        <v>0</v>
      </c>
      <c r="D98" s="662">
        <f>SUM(D95:D97)</f>
        <v>0</v>
      </c>
      <c r="E98" s="662">
        <f>SUM(E95:E97)</f>
        <v>0</v>
      </c>
      <c r="F98" s="370"/>
      <c r="G98" s="375"/>
      <c r="H98" s="635" t="s">
        <v>282</v>
      </c>
      <c r="I98" s="662">
        <f>SUM(I95:I97)</f>
        <v>0</v>
      </c>
      <c r="J98" s="662">
        <f>SUM(J95:J97)</f>
        <v>0</v>
      </c>
      <c r="K98" s="662">
        <f>SUM(K95:K97)</f>
        <v>0</v>
      </c>
      <c r="L98" s="662">
        <f>SUM(L95:L97)</f>
        <v>0</v>
      </c>
      <c r="M98" s="317"/>
      <c r="N98" s="306"/>
      <c r="O98" s="635" t="s">
        <v>282</v>
      </c>
      <c r="P98" s="629">
        <f>SUM(P95:P97)</f>
        <v>0</v>
      </c>
      <c r="Q98" s="630">
        <f>SUM(Q95:Q97)</f>
        <v>0</v>
      </c>
      <c r="R98" s="639">
        <f>SUM(R95:R97)</f>
        <v>0</v>
      </c>
      <c r="S98" s="175"/>
      <c r="T98" s="317"/>
      <c r="U98" s="306"/>
      <c r="V98" s="635" t="s">
        <v>282</v>
      </c>
      <c r="W98" s="629">
        <f>SUM(W95:W97)</f>
        <v>0</v>
      </c>
      <c r="X98" s="630">
        <f>SUM(X95:X97)</f>
        <v>0</v>
      </c>
      <c r="Y98" s="639">
        <f>SUM(Y95:Y97)</f>
        <v>0</v>
      </c>
      <c r="Z98" s="175"/>
      <c r="AA98" s="317"/>
      <c r="AB98" s="306"/>
      <c r="AC98" s="635" t="s">
        <v>282</v>
      </c>
      <c r="AD98" s="629">
        <f>SUM(AD95:AD97)</f>
        <v>0</v>
      </c>
      <c r="AE98" s="630">
        <f>SUM(AE95:AE97)</f>
        <v>0</v>
      </c>
      <c r="AF98" s="639">
        <f>SUM(AF95:AF97)</f>
        <v>0</v>
      </c>
      <c r="AG98" s="175"/>
      <c r="AH98" s="317"/>
    </row>
    <row r="99" spans="1:34" ht="13.5" thickBot="1">
      <c r="A99" s="636" t="s">
        <v>253</v>
      </c>
      <c r="B99" s="663">
        <v>1</v>
      </c>
      <c r="C99" s="663">
        <v>0.7</v>
      </c>
      <c r="D99" s="663">
        <v>0.4</v>
      </c>
      <c r="E99" s="560"/>
      <c r="F99" s="370"/>
      <c r="G99" s="376"/>
      <c r="H99" s="636" t="s">
        <v>253</v>
      </c>
      <c r="I99" s="663">
        <v>1</v>
      </c>
      <c r="J99" s="663">
        <v>0.7</v>
      </c>
      <c r="K99" s="663">
        <v>0.4</v>
      </c>
      <c r="L99" s="560"/>
      <c r="M99" s="317"/>
      <c r="N99" s="306"/>
      <c r="O99" s="636" t="s">
        <v>253</v>
      </c>
      <c r="P99" s="638">
        <v>1</v>
      </c>
      <c r="Q99" s="638">
        <v>0.4</v>
      </c>
      <c r="R99" s="175"/>
      <c r="S99" s="175"/>
      <c r="T99" s="317"/>
      <c r="U99" s="306"/>
      <c r="V99" s="636" t="s">
        <v>253</v>
      </c>
      <c r="W99" s="638">
        <v>1</v>
      </c>
      <c r="X99" s="638">
        <v>0.4</v>
      </c>
      <c r="Y99" s="175"/>
      <c r="Z99" s="175"/>
      <c r="AA99" s="317"/>
      <c r="AB99" s="306"/>
      <c r="AC99" s="636" t="s">
        <v>253</v>
      </c>
      <c r="AD99" s="638">
        <v>1</v>
      </c>
      <c r="AE99" s="638">
        <v>0.4</v>
      </c>
      <c r="AF99" s="175"/>
      <c r="AG99" s="175"/>
      <c r="AH99" s="317"/>
    </row>
    <row r="100" spans="1:34" ht="13.5" thickBot="1">
      <c r="A100" s="637" t="s">
        <v>283</v>
      </c>
      <c r="B100" s="664">
        <f>B98*B99</f>
        <v>0</v>
      </c>
      <c r="C100" s="657">
        <f>C98*C99</f>
        <v>0</v>
      </c>
      <c r="D100" s="657">
        <f>D98*D99</f>
        <v>0</v>
      </c>
      <c r="E100" s="665">
        <f>SUM(B100:D100)</f>
        <v>0</v>
      </c>
      <c r="F100" s="370"/>
      <c r="G100" s="375"/>
      <c r="H100" s="637" t="s">
        <v>283</v>
      </c>
      <c r="I100" s="664">
        <f>I98*I99</f>
        <v>0</v>
      </c>
      <c r="J100" s="657">
        <f>J98*J99</f>
        <v>0</v>
      </c>
      <c r="K100" s="657">
        <f>K98*K99</f>
        <v>0</v>
      </c>
      <c r="L100" s="665">
        <f>SUM(I100:K100)</f>
        <v>0</v>
      </c>
      <c r="M100" s="317"/>
      <c r="N100" s="306"/>
      <c r="O100" s="637" t="s">
        <v>283</v>
      </c>
      <c r="P100" s="639">
        <f>P98*P99</f>
        <v>0</v>
      </c>
      <c r="Q100" s="639">
        <f>Q98*Q99</f>
        <v>0</v>
      </c>
      <c r="R100" s="631">
        <f>P100+Q100</f>
        <v>0</v>
      </c>
      <c r="S100" s="175"/>
      <c r="T100" s="317"/>
      <c r="U100" s="306"/>
      <c r="V100" s="637" t="s">
        <v>283</v>
      </c>
      <c r="W100" s="639">
        <f>W98*W99</f>
        <v>0</v>
      </c>
      <c r="X100" s="639">
        <f>X98*X99</f>
        <v>0</v>
      </c>
      <c r="Y100" s="631">
        <f>W100+X100</f>
        <v>0</v>
      </c>
      <c r="Z100" s="175"/>
      <c r="AA100" s="317"/>
      <c r="AB100" s="306"/>
      <c r="AC100" s="637" t="s">
        <v>283</v>
      </c>
      <c r="AD100" s="639">
        <f>AD98*AD99</f>
        <v>0</v>
      </c>
      <c r="AE100" s="639">
        <f>AE98*AE99</f>
        <v>0</v>
      </c>
      <c r="AF100" s="631">
        <f>AD100+AE100</f>
        <v>0</v>
      </c>
      <c r="AG100" s="175"/>
      <c r="AH100" s="317"/>
    </row>
    <row r="101" spans="1:34" ht="13.5" thickBot="1">
      <c r="A101" s="341"/>
      <c r="B101" s="342"/>
      <c r="C101" s="184"/>
      <c r="D101" s="342"/>
      <c r="E101" s="377"/>
      <c r="F101" s="341"/>
      <c r="G101" s="378"/>
      <c r="H101" s="341"/>
      <c r="I101" s="342"/>
      <c r="J101" s="184"/>
      <c r="K101" s="342"/>
      <c r="L101" s="184"/>
      <c r="M101" s="317"/>
      <c r="N101" s="306"/>
      <c r="O101" s="341"/>
      <c r="P101" s="342"/>
      <c r="Q101" s="184"/>
      <c r="R101" s="342"/>
      <c r="S101" s="184"/>
      <c r="T101" s="317"/>
      <c r="U101" s="306"/>
      <c r="V101" s="341"/>
      <c r="W101" s="342"/>
      <c r="X101" s="184"/>
      <c r="Y101" s="342"/>
      <c r="Z101" s="184"/>
      <c r="AA101" s="317"/>
      <c r="AB101" s="306"/>
      <c r="AC101" s="341"/>
      <c r="AD101" s="342"/>
      <c r="AE101" s="184"/>
      <c r="AF101" s="342"/>
      <c r="AG101" s="184"/>
      <c r="AH101" s="317"/>
    </row>
    <row r="102" spans="1:34" ht="13.5" thickBot="1">
      <c r="A102" s="895" t="s">
        <v>284</v>
      </c>
      <c r="B102" s="897"/>
      <c r="C102" s="184"/>
      <c r="D102" s="342"/>
      <c r="E102" s="377"/>
      <c r="F102" s="937"/>
      <c r="G102" s="938"/>
      <c r="H102" s="895" t="s">
        <v>284</v>
      </c>
      <c r="I102" s="897"/>
      <c r="J102" s="184"/>
      <c r="K102" s="342"/>
      <c r="L102" s="184"/>
      <c r="M102" s="317"/>
      <c r="N102" s="306"/>
      <c r="O102" s="895" t="s">
        <v>284</v>
      </c>
      <c r="P102" s="897"/>
      <c r="Q102" s="184"/>
      <c r="R102" s="342"/>
      <c r="S102" s="184"/>
      <c r="T102" s="317"/>
      <c r="U102" s="306"/>
      <c r="V102" s="895" t="s">
        <v>284</v>
      </c>
      <c r="W102" s="897"/>
      <c r="X102" s="184"/>
      <c r="Y102" s="342"/>
      <c r="Z102" s="184"/>
      <c r="AA102" s="317"/>
      <c r="AB102" s="306"/>
      <c r="AC102" s="895" t="s">
        <v>284</v>
      </c>
      <c r="AD102" s="897"/>
      <c r="AE102" s="184"/>
      <c r="AF102" s="342"/>
      <c r="AG102" s="184"/>
      <c r="AH102" s="317"/>
    </row>
    <row r="103" spans="1:34" ht="12.75">
      <c r="A103" s="642" t="s">
        <v>285</v>
      </c>
      <c r="B103" s="661">
        <f>E100</f>
        <v>0</v>
      </c>
      <c r="C103" s="184"/>
      <c r="D103" s="342"/>
      <c r="E103" s="377"/>
      <c r="F103" s="379"/>
      <c r="G103" s="380"/>
      <c r="H103" s="642" t="s">
        <v>285</v>
      </c>
      <c r="I103" s="661">
        <f>L100</f>
        <v>0</v>
      </c>
      <c r="J103" s="184"/>
      <c r="K103" s="342"/>
      <c r="L103" s="184"/>
      <c r="M103" s="317"/>
      <c r="N103" s="306"/>
      <c r="O103" s="642" t="s">
        <v>285</v>
      </c>
      <c r="P103" s="643">
        <f>R100</f>
        <v>0</v>
      </c>
      <c r="Q103" s="184"/>
      <c r="R103" s="342"/>
      <c r="S103" s="184"/>
      <c r="T103" s="317"/>
      <c r="U103" s="306"/>
      <c r="V103" s="642" t="s">
        <v>285</v>
      </c>
      <c r="W103" s="643">
        <f>Y100</f>
        <v>0</v>
      </c>
      <c r="X103" s="184"/>
      <c r="Y103" s="342"/>
      <c r="Z103" s="184"/>
      <c r="AA103" s="317"/>
      <c r="AB103" s="306"/>
      <c r="AC103" s="642" t="s">
        <v>285</v>
      </c>
      <c r="AD103" s="643">
        <f>AF100</f>
        <v>0</v>
      </c>
      <c r="AE103" s="184"/>
      <c r="AF103" s="342"/>
      <c r="AG103" s="184"/>
      <c r="AH103" s="317"/>
    </row>
    <row r="104" spans="1:34" ht="13.5" thickBot="1">
      <c r="A104" s="644" t="s">
        <v>286</v>
      </c>
      <c r="B104" s="645">
        <f>B15</f>
        <v>5497.147199999999</v>
      </c>
      <c r="C104" s="184"/>
      <c r="D104" s="342"/>
      <c r="E104" s="377"/>
      <c r="F104" s="381"/>
      <c r="G104" s="382"/>
      <c r="H104" s="644" t="s">
        <v>286</v>
      </c>
      <c r="I104" s="645">
        <f>I15</f>
        <v>5118.033600000001</v>
      </c>
      <c r="J104" s="184"/>
      <c r="K104" s="342"/>
      <c r="L104" s="184"/>
      <c r="M104" s="317"/>
      <c r="N104" s="306"/>
      <c r="O104" s="644" t="s">
        <v>286</v>
      </c>
      <c r="P104" s="645"/>
      <c r="Q104" s="184"/>
      <c r="R104" s="342"/>
      <c r="S104" s="184"/>
      <c r="T104" s="317"/>
      <c r="U104" s="306"/>
      <c r="V104" s="644" t="s">
        <v>286</v>
      </c>
      <c r="W104" s="645"/>
      <c r="X104" s="184"/>
      <c r="Y104" s="342"/>
      <c r="Z104" s="184"/>
      <c r="AA104" s="317"/>
      <c r="AB104" s="306"/>
      <c r="AC104" s="644" t="s">
        <v>286</v>
      </c>
      <c r="AD104" s="645"/>
      <c r="AE104" s="184"/>
      <c r="AF104" s="342"/>
      <c r="AG104" s="184"/>
      <c r="AH104" s="317"/>
    </row>
    <row r="105" spans="1:34" ht="15.75" thickBot="1">
      <c r="A105" s="631" t="s">
        <v>287</v>
      </c>
      <c r="B105" s="646">
        <f>B103*B104</f>
        <v>0</v>
      </c>
      <c r="C105" s="184"/>
      <c r="D105" s="342"/>
      <c r="E105" s="377"/>
      <c r="F105" s="344"/>
      <c r="G105" s="383"/>
      <c r="H105" s="631" t="s">
        <v>287</v>
      </c>
      <c r="I105" s="646">
        <f>I103*I104</f>
        <v>0</v>
      </c>
      <c r="J105" s="184"/>
      <c r="K105" s="342"/>
      <c r="L105" s="184"/>
      <c r="M105" s="317"/>
      <c r="N105" s="306"/>
      <c r="O105" s="631" t="s">
        <v>287</v>
      </c>
      <c r="P105" s="646">
        <f>P103*P104</f>
        <v>0</v>
      </c>
      <c r="Q105" s="184"/>
      <c r="R105" s="342"/>
      <c r="S105" s="184"/>
      <c r="T105" s="317"/>
      <c r="U105" s="306"/>
      <c r="V105" s="631" t="s">
        <v>287</v>
      </c>
      <c r="W105" s="646">
        <f>W103*W104</f>
        <v>0</v>
      </c>
      <c r="X105" s="184"/>
      <c r="Y105" s="342"/>
      <c r="Z105" s="184"/>
      <c r="AA105" s="317"/>
      <c r="AB105" s="306"/>
      <c r="AC105" s="631" t="s">
        <v>287</v>
      </c>
      <c r="AD105" s="646">
        <f>AD103*AD104</f>
        <v>0</v>
      </c>
      <c r="AE105" s="184"/>
      <c r="AF105" s="342"/>
      <c r="AG105" s="184"/>
      <c r="AH105" s="317"/>
    </row>
    <row r="106" spans="1:34" ht="15">
      <c r="A106" s="359"/>
      <c r="B106" s="360"/>
      <c r="C106" s="184"/>
      <c r="D106" s="184"/>
      <c r="E106" s="378"/>
      <c r="F106" s="359"/>
      <c r="G106" s="384"/>
      <c r="H106" s="359"/>
      <c r="I106" s="360"/>
      <c r="J106" s="184"/>
      <c r="K106" s="184"/>
      <c r="L106" s="342"/>
      <c r="M106" s="317"/>
      <c r="N106" s="306"/>
      <c r="O106" s="359"/>
      <c r="P106" s="360"/>
      <c r="Q106" s="184"/>
      <c r="R106" s="184"/>
      <c r="S106" s="342"/>
      <c r="T106" s="317"/>
      <c r="U106" s="306"/>
      <c r="V106" s="359"/>
      <c r="W106" s="360"/>
      <c r="X106" s="184"/>
      <c r="Y106" s="184"/>
      <c r="Z106" s="342"/>
      <c r="AA106" s="317"/>
      <c r="AB106" s="306"/>
      <c r="AC106" s="359"/>
      <c r="AD106" s="360"/>
      <c r="AE106" s="184"/>
      <c r="AF106" s="184"/>
      <c r="AG106" s="342"/>
      <c r="AH106" s="317"/>
    </row>
    <row r="107" spans="1:34" ht="15.75" thickBot="1">
      <c r="A107" s="359"/>
      <c r="B107" s="360"/>
      <c r="C107" s="184"/>
      <c r="D107" s="184"/>
      <c r="E107" s="378"/>
      <c r="F107" s="359"/>
      <c r="G107" s="384"/>
      <c r="H107" s="359"/>
      <c r="I107" s="360"/>
      <c r="J107" s="184"/>
      <c r="K107" s="184"/>
      <c r="L107" s="342"/>
      <c r="M107" s="317"/>
      <c r="N107" s="306"/>
      <c r="O107" s="359"/>
      <c r="P107" s="360"/>
      <c r="Q107" s="184"/>
      <c r="R107" s="184"/>
      <c r="S107" s="342"/>
      <c r="T107" s="317"/>
      <c r="U107" s="306"/>
      <c r="V107" s="359"/>
      <c r="W107" s="360"/>
      <c r="X107" s="184"/>
      <c r="Y107" s="184"/>
      <c r="Z107" s="342"/>
      <c r="AA107" s="317"/>
      <c r="AB107" s="306"/>
      <c r="AC107" s="359"/>
      <c r="AD107" s="360"/>
      <c r="AE107" s="184"/>
      <c r="AF107" s="184"/>
      <c r="AG107" s="342"/>
      <c r="AH107" s="317"/>
    </row>
    <row r="108" spans="1:34" ht="13.5" thickBot="1">
      <c r="A108" s="895" t="s">
        <v>288</v>
      </c>
      <c r="B108" s="897"/>
      <c r="C108" s="184"/>
      <c r="D108" s="184"/>
      <c r="E108" s="378"/>
      <c r="F108" s="937"/>
      <c r="G108" s="938"/>
      <c r="H108" s="895" t="s">
        <v>288</v>
      </c>
      <c r="I108" s="897"/>
      <c r="J108" s="184"/>
      <c r="K108" s="184"/>
      <c r="L108" s="342"/>
      <c r="M108" s="317"/>
      <c r="N108" s="306"/>
      <c r="O108" s="895" t="s">
        <v>288</v>
      </c>
      <c r="P108" s="897"/>
      <c r="Q108" s="184"/>
      <c r="R108" s="184"/>
      <c r="S108" s="342"/>
      <c r="T108" s="317"/>
      <c r="U108" s="306"/>
      <c r="V108" s="895" t="s">
        <v>288</v>
      </c>
      <c r="W108" s="897"/>
      <c r="X108" s="184"/>
      <c r="Y108" s="184"/>
      <c r="Z108" s="342"/>
      <c r="AA108" s="317"/>
      <c r="AB108" s="306"/>
      <c r="AC108" s="895" t="s">
        <v>288</v>
      </c>
      <c r="AD108" s="897"/>
      <c r="AE108" s="184"/>
      <c r="AF108" s="184"/>
      <c r="AG108" s="342"/>
      <c r="AH108" s="317"/>
    </row>
    <row r="109" spans="1:34" ht="12.75">
      <c r="A109" s="642" t="s">
        <v>289</v>
      </c>
      <c r="B109" s="643">
        <f>E98</f>
        <v>0</v>
      </c>
      <c r="C109" s="184"/>
      <c r="D109" s="184"/>
      <c r="E109" s="378"/>
      <c r="F109" s="379"/>
      <c r="G109" s="380"/>
      <c r="H109" s="642" t="s">
        <v>289</v>
      </c>
      <c r="I109" s="643">
        <f>L98</f>
        <v>0</v>
      </c>
      <c r="J109" s="184"/>
      <c r="K109" s="184"/>
      <c r="L109" s="342"/>
      <c r="M109" s="317"/>
      <c r="N109" s="306"/>
      <c r="O109" s="642" t="s">
        <v>289</v>
      </c>
      <c r="P109" s="643">
        <f>R98</f>
        <v>0</v>
      </c>
      <c r="Q109" s="184"/>
      <c r="R109" s="184"/>
      <c r="S109" s="342"/>
      <c r="T109" s="317"/>
      <c r="U109" s="306"/>
      <c r="V109" s="642" t="s">
        <v>289</v>
      </c>
      <c r="W109" s="643">
        <f>Y98</f>
        <v>0</v>
      </c>
      <c r="X109" s="184"/>
      <c r="Y109" s="184"/>
      <c r="Z109" s="342"/>
      <c r="AA109" s="317"/>
      <c r="AB109" s="306"/>
      <c r="AC109" s="642" t="s">
        <v>289</v>
      </c>
      <c r="AD109" s="643">
        <f>AF98</f>
        <v>0</v>
      </c>
      <c r="AE109" s="184"/>
      <c r="AF109" s="184"/>
      <c r="AG109" s="342"/>
      <c r="AH109" s="317"/>
    </row>
    <row r="110" spans="1:34" ht="13.5" thickBot="1">
      <c r="A110" s="644" t="s">
        <v>290</v>
      </c>
      <c r="B110" s="645">
        <f>B16</f>
        <v>1905.8916</v>
      </c>
      <c r="C110" s="184"/>
      <c r="D110" s="184"/>
      <c r="E110" s="377"/>
      <c r="F110" s="381"/>
      <c r="G110" s="382"/>
      <c r="H110" s="644" t="s">
        <v>290</v>
      </c>
      <c r="I110" s="645">
        <f>I16</f>
        <v>1774.4508</v>
      </c>
      <c r="J110" s="184"/>
      <c r="K110" s="184"/>
      <c r="L110" s="184"/>
      <c r="M110" s="317"/>
      <c r="N110" s="306"/>
      <c r="O110" s="644" t="s">
        <v>290</v>
      </c>
      <c r="P110" s="645"/>
      <c r="Q110" s="184"/>
      <c r="R110" s="184"/>
      <c r="S110" s="184"/>
      <c r="T110" s="317"/>
      <c r="U110" s="306"/>
      <c r="V110" s="644" t="s">
        <v>290</v>
      </c>
      <c r="W110" s="645"/>
      <c r="X110" s="184"/>
      <c r="Y110" s="184"/>
      <c r="Z110" s="184"/>
      <c r="AA110" s="317"/>
      <c r="AB110" s="306"/>
      <c r="AC110" s="644" t="s">
        <v>290</v>
      </c>
      <c r="AD110" s="645"/>
      <c r="AE110" s="184"/>
      <c r="AF110" s="184"/>
      <c r="AG110" s="184"/>
      <c r="AH110" s="317"/>
    </row>
    <row r="111" spans="1:34" ht="15.75" thickBot="1">
      <c r="A111" s="631" t="s">
        <v>291</v>
      </c>
      <c r="B111" s="646">
        <f>B109*B110</f>
        <v>0</v>
      </c>
      <c r="C111" s="184"/>
      <c r="D111" s="184"/>
      <c r="E111" s="377"/>
      <c r="F111" s="344"/>
      <c r="G111" s="383"/>
      <c r="H111" s="631" t="s">
        <v>291</v>
      </c>
      <c r="I111" s="646">
        <f>I109*I110</f>
        <v>0</v>
      </c>
      <c r="J111" s="184"/>
      <c r="K111" s="184"/>
      <c r="L111" s="184"/>
      <c r="M111" s="317"/>
      <c r="N111" s="306"/>
      <c r="O111" s="631" t="s">
        <v>291</v>
      </c>
      <c r="P111" s="646">
        <f>P109*P110</f>
        <v>0</v>
      </c>
      <c r="Q111" s="184"/>
      <c r="R111" s="184"/>
      <c r="S111" s="184"/>
      <c r="T111" s="317"/>
      <c r="U111" s="306"/>
      <c r="V111" s="631" t="s">
        <v>291</v>
      </c>
      <c r="W111" s="646">
        <f>W109*W110</f>
        <v>0</v>
      </c>
      <c r="X111" s="184"/>
      <c r="Y111" s="184"/>
      <c r="Z111" s="184"/>
      <c r="AA111" s="317"/>
      <c r="AB111" s="306"/>
      <c r="AC111" s="631" t="s">
        <v>291</v>
      </c>
      <c r="AD111" s="646">
        <f>AD109*AD110</f>
        <v>0</v>
      </c>
      <c r="AE111" s="184"/>
      <c r="AF111" s="184"/>
      <c r="AG111" s="184"/>
      <c r="AH111" s="317"/>
    </row>
    <row r="112" spans="1:34" ht="12.75">
      <c r="A112" s="363"/>
      <c r="B112" s="348"/>
      <c r="C112" s="348"/>
      <c r="D112" s="349"/>
      <c r="E112" s="385"/>
      <c r="F112" s="363"/>
      <c r="G112" s="386"/>
      <c r="H112" s="363"/>
      <c r="I112" s="348"/>
      <c r="J112" s="348"/>
      <c r="K112" s="349"/>
      <c r="L112" s="350"/>
      <c r="M112" s="317"/>
      <c r="N112" s="306"/>
      <c r="O112" s="363"/>
      <c r="P112" s="348"/>
      <c r="Q112" s="348"/>
      <c r="R112" s="349"/>
      <c r="S112" s="350"/>
      <c r="T112" s="317"/>
      <c r="U112" s="306"/>
      <c r="V112" s="363"/>
      <c r="W112" s="348"/>
      <c r="X112" s="348"/>
      <c r="Y112" s="349"/>
      <c r="Z112" s="350"/>
      <c r="AA112" s="317"/>
      <c r="AB112" s="306"/>
      <c r="AC112" s="363"/>
      <c r="AD112" s="348"/>
      <c r="AE112" s="348"/>
      <c r="AF112" s="349"/>
      <c r="AG112" s="350"/>
      <c r="AH112" s="317"/>
    </row>
    <row r="113" spans="1:34" ht="13.5" thickBot="1">
      <c r="A113" s="363"/>
      <c r="B113" s="348"/>
      <c r="C113" s="348"/>
      <c r="D113" s="349"/>
      <c r="E113" s="385"/>
      <c r="F113" s="363"/>
      <c r="G113" s="386"/>
      <c r="H113" s="363"/>
      <c r="I113" s="348"/>
      <c r="J113" s="348"/>
      <c r="K113" s="349"/>
      <c r="L113" s="350"/>
      <c r="M113" s="317"/>
      <c r="N113" s="306"/>
      <c r="O113" s="363"/>
      <c r="P113" s="348"/>
      <c r="Q113" s="348"/>
      <c r="R113" s="349"/>
      <c r="S113" s="350"/>
      <c r="T113" s="317"/>
      <c r="U113" s="306"/>
      <c r="V113" s="363"/>
      <c r="W113" s="348"/>
      <c r="X113" s="348"/>
      <c r="Y113" s="349"/>
      <c r="Z113" s="350"/>
      <c r="AA113" s="317"/>
      <c r="AB113" s="306"/>
      <c r="AC113" s="363"/>
      <c r="AD113" s="348"/>
      <c r="AE113" s="348"/>
      <c r="AF113" s="349"/>
      <c r="AG113" s="350"/>
      <c r="AH113" s="317"/>
    </row>
    <row r="114" spans="1:34" ht="13.5" thickBot="1">
      <c r="A114" s="895" t="s">
        <v>292</v>
      </c>
      <c r="B114" s="897"/>
      <c r="C114" s="348"/>
      <c r="D114" s="349"/>
      <c r="E114" s="385"/>
      <c r="F114" s="937"/>
      <c r="G114" s="938"/>
      <c r="H114" s="895" t="s">
        <v>292</v>
      </c>
      <c r="I114" s="897"/>
      <c r="J114" s="348"/>
      <c r="K114" s="349"/>
      <c r="L114" s="350"/>
      <c r="M114" s="317"/>
      <c r="N114" s="306"/>
      <c r="O114" s="895" t="s">
        <v>292</v>
      </c>
      <c r="P114" s="897"/>
      <c r="Q114" s="348"/>
      <c r="R114" s="349"/>
      <c r="S114" s="350"/>
      <c r="T114" s="317"/>
      <c r="U114" s="306"/>
      <c r="V114" s="895" t="s">
        <v>292</v>
      </c>
      <c r="W114" s="897"/>
      <c r="X114" s="348"/>
      <c r="Y114" s="349"/>
      <c r="Z114" s="350"/>
      <c r="AA114" s="317"/>
      <c r="AB114" s="306"/>
      <c r="AC114" s="895" t="s">
        <v>292</v>
      </c>
      <c r="AD114" s="897"/>
      <c r="AE114" s="348"/>
      <c r="AF114" s="349"/>
      <c r="AG114" s="350"/>
      <c r="AH114" s="317"/>
    </row>
    <row r="115" spans="1:34" ht="12.75">
      <c r="A115" s="642" t="s">
        <v>287</v>
      </c>
      <c r="B115" s="659">
        <f>B105</f>
        <v>0</v>
      </c>
      <c r="C115" s="348"/>
      <c r="D115" s="349"/>
      <c r="E115" s="385"/>
      <c r="F115" s="379"/>
      <c r="G115" s="387"/>
      <c r="H115" s="642" t="s">
        <v>287</v>
      </c>
      <c r="I115" s="659">
        <f>I105</f>
        <v>0</v>
      </c>
      <c r="J115" s="348"/>
      <c r="K115" s="349"/>
      <c r="L115" s="350"/>
      <c r="M115" s="317"/>
      <c r="N115" s="306"/>
      <c r="O115" s="642" t="s">
        <v>287</v>
      </c>
      <c r="P115" s="659">
        <f>P105</f>
        <v>0</v>
      </c>
      <c r="Q115" s="348"/>
      <c r="R115" s="349"/>
      <c r="S115" s="350"/>
      <c r="T115" s="317"/>
      <c r="U115" s="306"/>
      <c r="V115" s="642" t="s">
        <v>287</v>
      </c>
      <c r="W115" s="659">
        <f>W105</f>
        <v>0</v>
      </c>
      <c r="X115" s="348"/>
      <c r="Y115" s="349"/>
      <c r="Z115" s="350"/>
      <c r="AA115" s="317"/>
      <c r="AB115" s="306"/>
      <c r="AC115" s="642" t="s">
        <v>287</v>
      </c>
      <c r="AD115" s="659">
        <f>AD105</f>
        <v>0</v>
      </c>
      <c r="AE115" s="348"/>
      <c r="AF115" s="349"/>
      <c r="AG115" s="350"/>
      <c r="AH115" s="317"/>
    </row>
    <row r="116" spans="1:34" ht="13.5" thickBot="1">
      <c r="A116" s="642" t="s">
        <v>291</v>
      </c>
      <c r="B116" s="660">
        <f>B111</f>
        <v>0</v>
      </c>
      <c r="C116" s="348"/>
      <c r="D116" s="349"/>
      <c r="E116" s="385"/>
      <c r="F116" s="379"/>
      <c r="G116" s="387"/>
      <c r="H116" s="642" t="s">
        <v>291</v>
      </c>
      <c r="I116" s="660">
        <f>I111</f>
        <v>0</v>
      </c>
      <c r="J116" s="348"/>
      <c r="K116" s="349"/>
      <c r="L116" s="350"/>
      <c r="M116" s="317"/>
      <c r="N116" s="306"/>
      <c r="O116" s="642" t="s">
        <v>291</v>
      </c>
      <c r="P116" s="660">
        <f>P111</f>
        <v>0</v>
      </c>
      <c r="Q116" s="348"/>
      <c r="R116" s="349"/>
      <c r="S116" s="350"/>
      <c r="T116" s="317"/>
      <c r="U116" s="306"/>
      <c r="V116" s="642" t="s">
        <v>291</v>
      </c>
      <c r="W116" s="660">
        <f>W111</f>
        <v>0</v>
      </c>
      <c r="X116" s="348"/>
      <c r="Y116" s="349"/>
      <c r="Z116" s="350"/>
      <c r="AA116" s="317"/>
      <c r="AB116" s="306"/>
      <c r="AC116" s="642" t="s">
        <v>291</v>
      </c>
      <c r="AD116" s="660">
        <f>AD111</f>
        <v>0</v>
      </c>
      <c r="AE116" s="348"/>
      <c r="AF116" s="349"/>
      <c r="AG116" s="350"/>
      <c r="AH116" s="317"/>
    </row>
    <row r="117" spans="1:34" ht="15.75" thickBot="1">
      <c r="A117" s="631" t="s">
        <v>293</v>
      </c>
      <c r="B117" s="646">
        <f>B115+B116</f>
        <v>0</v>
      </c>
      <c r="C117" s="388"/>
      <c r="D117" s="353"/>
      <c r="E117" s="389"/>
      <c r="F117" s="390"/>
      <c r="G117" s="391"/>
      <c r="H117" s="631" t="s">
        <v>293</v>
      </c>
      <c r="I117" s="646">
        <f>I115+I116</f>
        <v>0</v>
      </c>
      <c r="J117" s="348"/>
      <c r="K117" s="349"/>
      <c r="L117" s="350"/>
      <c r="M117" s="317"/>
      <c r="N117" s="306"/>
      <c r="O117" s="631" t="s">
        <v>293</v>
      </c>
      <c r="P117" s="646">
        <f>P115+P116</f>
        <v>0</v>
      </c>
      <c r="Q117" s="348"/>
      <c r="R117" s="349"/>
      <c r="S117" s="350"/>
      <c r="T117" s="317"/>
      <c r="U117" s="306"/>
      <c r="V117" s="631" t="s">
        <v>293</v>
      </c>
      <c r="W117" s="646">
        <f>W115+W116</f>
        <v>0</v>
      </c>
      <c r="X117" s="348"/>
      <c r="Y117" s="349"/>
      <c r="Z117" s="350"/>
      <c r="AA117" s="317"/>
      <c r="AB117" s="306"/>
      <c r="AC117" s="631" t="s">
        <v>293</v>
      </c>
      <c r="AD117" s="646">
        <f>AD115+AD116</f>
        <v>0</v>
      </c>
      <c r="AE117" s="348"/>
      <c r="AF117" s="349"/>
      <c r="AG117" s="350"/>
      <c r="AH117" s="317"/>
    </row>
    <row r="118" spans="1:34" ht="12.75">
      <c r="A118" s="392"/>
      <c r="B118" s="393"/>
      <c r="C118" s="394"/>
      <c r="D118" s="394"/>
      <c r="E118" s="395"/>
      <c r="F118" s="317"/>
      <c r="G118" s="306"/>
      <c r="H118" s="348"/>
      <c r="I118" s="350"/>
      <c r="J118" s="348"/>
      <c r="K118" s="348"/>
      <c r="L118" s="315"/>
      <c r="M118" s="317"/>
      <c r="N118" s="306"/>
      <c r="O118" s="348"/>
      <c r="P118" s="350"/>
      <c r="Q118" s="348"/>
      <c r="R118" s="348"/>
      <c r="S118" s="315"/>
      <c r="T118" s="317"/>
      <c r="U118" s="306"/>
      <c r="V118" s="348"/>
      <c r="W118" s="350"/>
      <c r="X118" s="348"/>
      <c r="Y118" s="348"/>
      <c r="Z118" s="315"/>
      <c r="AA118" s="317"/>
      <c r="AB118" s="306"/>
      <c r="AC118" s="348"/>
      <c r="AD118" s="350"/>
      <c r="AE118" s="348"/>
      <c r="AF118" s="348"/>
      <c r="AG118" s="315"/>
      <c r="AH118" s="317"/>
    </row>
    <row r="119" spans="1:34" ht="12.75">
      <c r="A119" s="363"/>
      <c r="B119" s="350"/>
      <c r="C119" s="348"/>
      <c r="D119" s="348"/>
      <c r="E119" s="396"/>
      <c r="F119" s="317"/>
      <c r="G119" s="306"/>
      <c r="H119" s="348"/>
      <c r="I119" s="350"/>
      <c r="J119" s="348"/>
      <c r="K119" s="348"/>
      <c r="L119" s="315"/>
      <c r="M119" s="317"/>
      <c r="N119" s="306"/>
      <c r="O119" s="348"/>
      <c r="P119" s="350"/>
      <c r="Q119" s="348"/>
      <c r="R119" s="348"/>
      <c r="S119" s="315"/>
      <c r="T119" s="317"/>
      <c r="U119" s="306"/>
      <c r="V119" s="348"/>
      <c r="W119" s="350"/>
      <c r="X119" s="348"/>
      <c r="Y119" s="348"/>
      <c r="Z119" s="315"/>
      <c r="AA119" s="317"/>
      <c r="AB119" s="306"/>
      <c r="AC119" s="348"/>
      <c r="AD119" s="350"/>
      <c r="AE119" s="348"/>
      <c r="AF119" s="348"/>
      <c r="AG119" s="315"/>
      <c r="AH119" s="317"/>
    </row>
    <row r="120" spans="1:34" ht="12.75">
      <c r="A120" s="363"/>
      <c r="B120" s="350"/>
      <c r="C120" s="348"/>
      <c r="D120" s="348"/>
      <c r="E120" s="396"/>
      <c r="F120" s="317"/>
      <c r="G120" s="306"/>
      <c r="H120" s="348"/>
      <c r="I120" s="350"/>
      <c r="J120" s="348"/>
      <c r="K120" s="348"/>
      <c r="L120" s="315"/>
      <c r="M120" s="317"/>
      <c r="N120" s="306"/>
      <c r="O120" s="348"/>
      <c r="P120" s="350"/>
      <c r="Q120" s="348"/>
      <c r="R120" s="348"/>
      <c r="S120" s="315"/>
      <c r="T120" s="317"/>
      <c r="U120" s="306"/>
      <c r="V120" s="348"/>
      <c r="W120" s="350"/>
      <c r="X120" s="348"/>
      <c r="Y120" s="348"/>
      <c r="Z120" s="315"/>
      <c r="AA120" s="317"/>
      <c r="AB120" s="306"/>
      <c r="AC120" s="348"/>
      <c r="AD120" s="350"/>
      <c r="AE120" s="348"/>
      <c r="AF120" s="348"/>
      <c r="AG120" s="315"/>
      <c r="AH120" s="317"/>
    </row>
    <row r="121" spans="1:34" ht="13.5" thickBot="1">
      <c r="A121" s="397"/>
      <c r="B121" s="354"/>
      <c r="C121" s="388"/>
      <c r="D121" s="388"/>
      <c r="E121" s="398"/>
      <c r="F121" s="317"/>
      <c r="G121" s="306"/>
      <c r="H121" s="348"/>
      <c r="I121" s="350"/>
      <c r="J121" s="348"/>
      <c r="K121" s="348"/>
      <c r="L121" s="315"/>
      <c r="M121" s="317"/>
      <c r="N121" s="306"/>
      <c r="O121" s="348"/>
      <c r="P121" s="350"/>
      <c r="Q121" s="348"/>
      <c r="R121" s="348"/>
      <c r="S121" s="315"/>
      <c r="T121" s="317"/>
      <c r="U121" s="306"/>
      <c r="V121" s="348"/>
      <c r="W121" s="350"/>
      <c r="X121" s="348"/>
      <c r="Y121" s="348"/>
      <c r="Z121" s="315"/>
      <c r="AA121" s="317"/>
      <c r="AB121" s="306"/>
      <c r="AC121" s="348"/>
      <c r="AD121" s="350"/>
      <c r="AE121" s="348"/>
      <c r="AF121" s="348"/>
      <c r="AG121" s="315"/>
      <c r="AH121" s="317"/>
    </row>
    <row r="122" spans="1:34" ht="16.5" thickBot="1">
      <c r="A122" s="934" t="s">
        <v>294</v>
      </c>
      <c r="B122" s="935"/>
      <c r="C122" s="935"/>
      <c r="D122" s="935"/>
      <c r="E122" s="936"/>
      <c r="F122" s="317"/>
      <c r="G122" s="306"/>
      <c r="H122" s="934" t="s">
        <v>294</v>
      </c>
      <c r="I122" s="935"/>
      <c r="J122" s="935"/>
      <c r="K122" s="935"/>
      <c r="L122" s="936"/>
      <c r="M122" s="317"/>
      <c r="N122" s="306"/>
      <c r="O122" s="934" t="s">
        <v>294</v>
      </c>
      <c r="P122" s="935"/>
      <c r="Q122" s="935"/>
      <c r="R122" s="935"/>
      <c r="S122" s="936"/>
      <c r="T122" s="317"/>
      <c r="U122" s="306"/>
      <c r="V122" s="934" t="s">
        <v>294</v>
      </c>
      <c r="W122" s="935"/>
      <c r="X122" s="935"/>
      <c r="Y122" s="935"/>
      <c r="Z122" s="936"/>
      <c r="AA122" s="317"/>
      <c r="AB122" s="306"/>
      <c r="AC122" s="934" t="s">
        <v>294</v>
      </c>
      <c r="AD122" s="935"/>
      <c r="AE122" s="935"/>
      <c r="AF122" s="935"/>
      <c r="AG122" s="936"/>
      <c r="AH122" s="317"/>
    </row>
    <row r="123" spans="1:34" ht="16.5" thickBot="1">
      <c r="A123" s="399"/>
      <c r="B123" s="400"/>
      <c r="C123" s="400"/>
      <c r="D123" s="400"/>
      <c r="E123" s="400"/>
      <c r="F123" s="317"/>
      <c r="G123" s="306"/>
      <c r="H123" s="400"/>
      <c r="I123" s="400"/>
      <c r="J123" s="400"/>
      <c r="K123" s="400"/>
      <c r="L123" s="400"/>
      <c r="M123" s="317"/>
      <c r="N123" s="306"/>
      <c r="O123" s="400"/>
      <c r="P123" s="400"/>
      <c r="Q123" s="400"/>
      <c r="R123" s="400"/>
      <c r="S123" s="400"/>
      <c r="T123" s="317"/>
      <c r="U123" s="306"/>
      <c r="V123" s="400"/>
      <c r="W123" s="400"/>
      <c r="X123" s="400"/>
      <c r="Y123" s="400"/>
      <c r="Z123" s="400"/>
      <c r="AA123" s="317"/>
      <c r="AB123" s="306"/>
      <c r="AC123" s="400"/>
      <c r="AD123" s="400"/>
      <c r="AE123" s="400"/>
      <c r="AF123" s="400"/>
      <c r="AG123" s="400"/>
      <c r="AH123" s="317"/>
    </row>
    <row r="124" spans="1:34" ht="26.25" thickBot="1">
      <c r="A124" s="637" t="s">
        <v>248</v>
      </c>
      <c r="B124" s="652" t="s">
        <v>295</v>
      </c>
      <c r="C124" s="653" t="s">
        <v>296</v>
      </c>
      <c r="D124" s="637" t="s">
        <v>250</v>
      </c>
      <c r="E124" s="647" t="s">
        <v>125</v>
      </c>
      <c r="F124" s="317"/>
      <c r="G124" s="306"/>
      <c r="H124" s="648" t="s">
        <v>248</v>
      </c>
      <c r="I124" s="652" t="s">
        <v>295</v>
      </c>
      <c r="J124" s="653" t="s">
        <v>296</v>
      </c>
      <c r="K124" s="637" t="s">
        <v>250</v>
      </c>
      <c r="L124" s="647" t="s">
        <v>125</v>
      </c>
      <c r="M124" s="317"/>
      <c r="N124" s="306"/>
      <c r="O124" s="648" t="s">
        <v>248</v>
      </c>
      <c r="P124" s="652" t="s">
        <v>295</v>
      </c>
      <c r="Q124" s="653" t="s">
        <v>296</v>
      </c>
      <c r="R124" s="637" t="s">
        <v>250</v>
      </c>
      <c r="S124" s="647" t="s">
        <v>125</v>
      </c>
      <c r="T124" s="317"/>
      <c r="U124" s="306"/>
      <c r="V124" s="648" t="s">
        <v>248</v>
      </c>
      <c r="W124" s="652" t="s">
        <v>295</v>
      </c>
      <c r="X124" s="653" t="s">
        <v>296</v>
      </c>
      <c r="Y124" s="637" t="s">
        <v>250</v>
      </c>
      <c r="Z124" s="647" t="s">
        <v>125</v>
      </c>
      <c r="AA124" s="317"/>
      <c r="AB124" s="306"/>
      <c r="AC124" s="648" t="s">
        <v>248</v>
      </c>
      <c r="AD124" s="652" t="s">
        <v>295</v>
      </c>
      <c r="AE124" s="653" t="s">
        <v>296</v>
      </c>
      <c r="AF124" s="637" t="s">
        <v>250</v>
      </c>
      <c r="AG124" s="647" t="s">
        <v>125</v>
      </c>
      <c r="AH124" s="317"/>
    </row>
    <row r="125" spans="1:34" ht="12.75">
      <c r="A125" s="641">
        <v>9</v>
      </c>
      <c r="B125" s="337">
        <v>60</v>
      </c>
      <c r="C125" s="337"/>
      <c r="D125" s="402"/>
      <c r="E125" s="666">
        <f>SUM(B125:D125)</f>
        <v>60</v>
      </c>
      <c r="F125" s="317"/>
      <c r="G125" s="306"/>
      <c r="H125" s="705">
        <v>9</v>
      </c>
      <c r="I125" s="403">
        <v>60</v>
      </c>
      <c r="J125" s="337"/>
      <c r="K125" s="402"/>
      <c r="L125" s="666">
        <f>SUM(I125:K125)</f>
        <v>60</v>
      </c>
      <c r="M125" s="317"/>
      <c r="N125" s="306"/>
      <c r="O125" s="705">
        <v>9</v>
      </c>
      <c r="P125" s="337">
        <v>60</v>
      </c>
      <c r="Q125" s="337"/>
      <c r="R125" s="402"/>
      <c r="S125" s="666">
        <f>SUM(P125:R125)</f>
        <v>60</v>
      </c>
      <c r="T125" s="317"/>
      <c r="U125" s="306"/>
      <c r="V125" s="705">
        <v>9</v>
      </c>
      <c r="W125" s="337">
        <v>60</v>
      </c>
      <c r="X125" s="337"/>
      <c r="Y125" s="402"/>
      <c r="Z125" s="666">
        <f>SUM(W125:Y125)</f>
        <v>60</v>
      </c>
      <c r="AA125" s="317"/>
      <c r="AB125" s="306"/>
      <c r="AC125" s="705">
        <v>9</v>
      </c>
      <c r="AD125" s="403">
        <v>60</v>
      </c>
      <c r="AE125" s="403"/>
      <c r="AF125" s="404"/>
      <c r="AG125" s="666">
        <f>SUM(AD125:AF125)</f>
        <v>60</v>
      </c>
      <c r="AH125" s="317"/>
    </row>
    <row r="126" spans="1:34" ht="12.75">
      <c r="A126" s="651">
        <v>10</v>
      </c>
      <c r="B126" s="337"/>
      <c r="C126" s="337"/>
      <c r="D126" s="402"/>
      <c r="E126" s="666">
        <f>SUM(B126:D126)</f>
        <v>0</v>
      </c>
      <c r="F126" s="317"/>
      <c r="G126" s="306"/>
      <c r="H126" s="713">
        <v>10</v>
      </c>
      <c r="I126" s="403">
        <v>60</v>
      </c>
      <c r="J126" s="337"/>
      <c r="K126" s="402"/>
      <c r="L126" s="666">
        <f>SUM(I126:K126)</f>
        <v>60</v>
      </c>
      <c r="M126" s="317"/>
      <c r="N126" s="306"/>
      <c r="O126" s="713">
        <v>10</v>
      </c>
      <c r="P126" s="337">
        <v>60</v>
      </c>
      <c r="Q126" s="337"/>
      <c r="R126" s="402"/>
      <c r="S126" s="666">
        <f>SUM(P126:R126)</f>
        <v>60</v>
      </c>
      <c r="T126" s="317"/>
      <c r="U126" s="306"/>
      <c r="V126" s="713">
        <v>10</v>
      </c>
      <c r="W126" s="337">
        <v>60</v>
      </c>
      <c r="X126" s="337"/>
      <c r="Y126" s="402"/>
      <c r="Z126" s="666">
        <f>SUM(W126:Y126)</f>
        <v>60</v>
      </c>
      <c r="AA126" s="317"/>
      <c r="AB126" s="306"/>
      <c r="AC126" s="713">
        <v>10</v>
      </c>
      <c r="AD126" s="403">
        <v>60</v>
      </c>
      <c r="AE126" s="403"/>
      <c r="AF126" s="404"/>
      <c r="AG126" s="666">
        <f>SUM(AD126:AF126)</f>
        <v>60</v>
      </c>
      <c r="AH126" s="317"/>
    </row>
    <row r="127" spans="1:34" ht="12.75">
      <c r="A127" s="651">
        <v>11</v>
      </c>
      <c r="B127" s="337"/>
      <c r="C127" s="337"/>
      <c r="D127" s="402"/>
      <c r="E127" s="666">
        <f>SUM(B127:D127)</f>
        <v>0</v>
      </c>
      <c r="F127" s="317"/>
      <c r="G127" s="306"/>
      <c r="H127" s="713">
        <v>11</v>
      </c>
      <c r="I127" s="403"/>
      <c r="J127" s="337"/>
      <c r="K127" s="402"/>
      <c r="L127" s="666">
        <f>SUM(I127:K127)</f>
        <v>0</v>
      </c>
      <c r="M127" s="317"/>
      <c r="N127" s="306"/>
      <c r="O127" s="713">
        <v>11</v>
      </c>
      <c r="P127" s="337">
        <v>60</v>
      </c>
      <c r="Q127" s="337"/>
      <c r="R127" s="402"/>
      <c r="S127" s="666">
        <f>SUM(P127:R127)</f>
        <v>60</v>
      </c>
      <c r="T127" s="317"/>
      <c r="U127" s="306"/>
      <c r="V127" s="713">
        <v>11</v>
      </c>
      <c r="W127" s="337">
        <v>60</v>
      </c>
      <c r="X127" s="337"/>
      <c r="Y127" s="402"/>
      <c r="Z127" s="666">
        <f>SUM(W127:Y127)</f>
        <v>60</v>
      </c>
      <c r="AA127" s="317"/>
      <c r="AB127" s="306"/>
      <c r="AC127" s="713">
        <v>11</v>
      </c>
      <c r="AD127" s="403">
        <v>60</v>
      </c>
      <c r="AE127" s="403"/>
      <c r="AF127" s="404"/>
      <c r="AG127" s="666">
        <f>SUM(AD127:AF127)</f>
        <v>60</v>
      </c>
      <c r="AH127" s="317"/>
    </row>
    <row r="128" spans="1:34" ht="12.75">
      <c r="A128" s="651">
        <v>12</v>
      </c>
      <c r="B128" s="337"/>
      <c r="C128" s="337"/>
      <c r="D128" s="402"/>
      <c r="E128" s="666">
        <f>SUM(B128:D128)</f>
        <v>0</v>
      </c>
      <c r="F128" s="317"/>
      <c r="G128" s="306"/>
      <c r="H128" s="713">
        <v>12</v>
      </c>
      <c r="I128" s="403"/>
      <c r="J128" s="337"/>
      <c r="K128" s="402"/>
      <c r="L128" s="666">
        <f>SUM(I128:K128)</f>
        <v>0</v>
      </c>
      <c r="M128" s="317"/>
      <c r="N128" s="306"/>
      <c r="O128" s="713">
        <v>12</v>
      </c>
      <c r="P128" s="337"/>
      <c r="Q128" s="337"/>
      <c r="R128" s="402"/>
      <c r="S128" s="666">
        <f>SUM(P128:R128)</f>
        <v>0</v>
      </c>
      <c r="T128" s="317"/>
      <c r="U128" s="306"/>
      <c r="V128" s="713">
        <v>12</v>
      </c>
      <c r="W128" s="337">
        <v>60</v>
      </c>
      <c r="X128" s="337"/>
      <c r="Y128" s="402"/>
      <c r="Z128" s="666">
        <f>SUM(W128:Y128)</f>
        <v>60</v>
      </c>
      <c r="AA128" s="317"/>
      <c r="AB128" s="306"/>
      <c r="AC128" s="713">
        <v>12</v>
      </c>
      <c r="AD128" s="403">
        <v>60</v>
      </c>
      <c r="AE128" s="403"/>
      <c r="AF128" s="842"/>
      <c r="AG128" s="666">
        <f>SUM(AD128:AF128)</f>
        <v>60</v>
      </c>
      <c r="AH128" s="317"/>
    </row>
    <row r="129" spans="1:34" ht="12.75">
      <c r="A129" s="635" t="s">
        <v>297</v>
      </c>
      <c r="B129" s="629">
        <f>SUM(B125:B128)</f>
        <v>60</v>
      </c>
      <c r="C129" s="629">
        <f>SUM(C125:C128)</f>
        <v>0</v>
      </c>
      <c r="D129" s="629">
        <f>SUM(D125:D128)</f>
        <v>0</v>
      </c>
      <c r="E129" s="630">
        <f>SUM(E125:E128)</f>
        <v>60</v>
      </c>
      <c r="F129" s="317"/>
      <c r="G129" s="306"/>
      <c r="H129" s="706" t="s">
        <v>297</v>
      </c>
      <c r="I129" s="629">
        <f>SUM(I125:I128)</f>
        <v>120</v>
      </c>
      <c r="J129" s="629">
        <f>SUM(J125:J128)</f>
        <v>0</v>
      </c>
      <c r="K129" s="629">
        <f>SUM(K125:K128)</f>
        <v>0</v>
      </c>
      <c r="L129" s="630">
        <f>SUM(L125:L128)</f>
        <v>120</v>
      </c>
      <c r="M129" s="317"/>
      <c r="N129" s="306"/>
      <c r="O129" s="706" t="s">
        <v>297</v>
      </c>
      <c r="P129" s="629">
        <f>SUM(P125:P128)</f>
        <v>180</v>
      </c>
      <c r="Q129" s="629">
        <f>SUM(Q125:Q128)</f>
        <v>0</v>
      </c>
      <c r="R129" s="629">
        <f>SUM(R125:R128)</f>
        <v>0</v>
      </c>
      <c r="S129" s="630">
        <f>SUM(S125:S128)</f>
        <v>180</v>
      </c>
      <c r="T129" s="317"/>
      <c r="U129" s="306"/>
      <c r="V129" s="706" t="s">
        <v>297</v>
      </c>
      <c r="W129" s="629">
        <f>SUM(W125:W128)</f>
        <v>240</v>
      </c>
      <c r="X129" s="629">
        <f>SUM(X125:X128)</f>
        <v>0</v>
      </c>
      <c r="Y129" s="629">
        <f>SUM(Y125:Y128)</f>
        <v>0</v>
      </c>
      <c r="Z129" s="630">
        <f>SUM(Z125:Z128)</f>
        <v>240</v>
      </c>
      <c r="AA129" s="317"/>
      <c r="AB129" s="306"/>
      <c r="AC129" s="706" t="s">
        <v>297</v>
      </c>
      <c r="AD129" s="629">
        <f>SUM(AD125:AD128)</f>
        <v>240</v>
      </c>
      <c r="AE129" s="629">
        <f>SUM(AE125:AE128)</f>
        <v>0</v>
      </c>
      <c r="AF129" s="629">
        <f>SUM(AF125:AF128)</f>
        <v>0</v>
      </c>
      <c r="AG129" s="630">
        <f>SUM(AG125:AG128)</f>
        <v>240</v>
      </c>
      <c r="AH129" s="317"/>
    </row>
    <row r="130" spans="1:34" ht="13.5" thickBot="1">
      <c r="A130" s="636" t="s">
        <v>253</v>
      </c>
      <c r="B130" s="638">
        <v>1</v>
      </c>
      <c r="C130" s="638">
        <v>0.7</v>
      </c>
      <c r="D130" s="638">
        <v>0.4</v>
      </c>
      <c r="E130" s="175"/>
      <c r="F130" s="317"/>
      <c r="G130" s="306"/>
      <c r="H130" s="707" t="s">
        <v>253</v>
      </c>
      <c r="I130" s="638">
        <v>1</v>
      </c>
      <c r="J130" s="638">
        <v>0.7</v>
      </c>
      <c r="K130" s="638">
        <v>0.4</v>
      </c>
      <c r="L130" s="175"/>
      <c r="M130" s="317"/>
      <c r="N130" s="306"/>
      <c r="O130" s="707" t="s">
        <v>253</v>
      </c>
      <c r="P130" s="638">
        <v>1</v>
      </c>
      <c r="Q130" s="638">
        <v>0.7</v>
      </c>
      <c r="R130" s="638">
        <v>0.4</v>
      </c>
      <c r="S130" s="175"/>
      <c r="T130" s="317"/>
      <c r="U130" s="306"/>
      <c r="V130" s="707" t="s">
        <v>253</v>
      </c>
      <c r="W130" s="638">
        <v>1</v>
      </c>
      <c r="X130" s="638">
        <v>0.7</v>
      </c>
      <c r="Y130" s="638">
        <v>0.4</v>
      </c>
      <c r="Z130" s="175"/>
      <c r="AA130" s="317"/>
      <c r="AB130" s="306"/>
      <c r="AC130" s="707" t="s">
        <v>253</v>
      </c>
      <c r="AD130" s="638">
        <v>1</v>
      </c>
      <c r="AE130" s="638">
        <v>0.7</v>
      </c>
      <c r="AF130" s="638">
        <v>0.4</v>
      </c>
      <c r="AG130" s="301"/>
      <c r="AH130" s="317"/>
    </row>
    <row r="131" spans="1:34" ht="13.5" thickBot="1">
      <c r="A131" s="637" t="s">
        <v>298</v>
      </c>
      <c r="B131" s="639">
        <f>B129*B130</f>
        <v>60</v>
      </c>
      <c r="C131" s="639">
        <f>C129*C130</f>
        <v>0</v>
      </c>
      <c r="D131" s="639">
        <f>D129*D130</f>
        <v>0</v>
      </c>
      <c r="E131" s="668">
        <f>SUM(B131:D131)</f>
        <v>60</v>
      </c>
      <c r="F131" s="317"/>
      <c r="G131" s="306"/>
      <c r="H131" s="648" t="s">
        <v>298</v>
      </c>
      <c r="I131" s="639">
        <f>I129*I130</f>
        <v>120</v>
      </c>
      <c r="J131" s="639">
        <f>J129*J130</f>
        <v>0</v>
      </c>
      <c r="K131" s="639">
        <f>K129*K130</f>
        <v>0</v>
      </c>
      <c r="L131" s="668">
        <f>SUM(I131:K131)</f>
        <v>120</v>
      </c>
      <c r="M131" s="317"/>
      <c r="N131" s="306"/>
      <c r="O131" s="648" t="s">
        <v>298</v>
      </c>
      <c r="P131" s="639">
        <f>P129*P130</f>
        <v>180</v>
      </c>
      <c r="Q131" s="714">
        <f>Q129*Q130</f>
        <v>0</v>
      </c>
      <c r="R131" s="714">
        <f>R129*R130</f>
        <v>0</v>
      </c>
      <c r="S131" s="729">
        <f>SUM(P131:R131)</f>
        <v>180</v>
      </c>
      <c r="T131" s="317"/>
      <c r="U131" s="306"/>
      <c r="V131" s="648" t="s">
        <v>298</v>
      </c>
      <c r="W131" s="639">
        <f>W129*W130</f>
        <v>240</v>
      </c>
      <c r="X131" s="714">
        <f>X129*X130</f>
        <v>0</v>
      </c>
      <c r="Y131" s="714">
        <f>Y129*Y130</f>
        <v>0</v>
      </c>
      <c r="Z131" s="729">
        <f>SUM(W131:Y131)</f>
        <v>240</v>
      </c>
      <c r="AA131" s="317"/>
      <c r="AB131" s="306"/>
      <c r="AC131" s="648" t="s">
        <v>298</v>
      </c>
      <c r="AD131" s="639">
        <f>AD129*AD130</f>
        <v>240</v>
      </c>
      <c r="AE131" s="639">
        <f>AE129*AE130</f>
        <v>0</v>
      </c>
      <c r="AF131" s="639">
        <f>AF129*AF130</f>
        <v>0</v>
      </c>
      <c r="AG131" s="668">
        <f>SUM(AD131:AF131)</f>
        <v>240</v>
      </c>
      <c r="AH131" s="317"/>
    </row>
    <row r="132" spans="1:34" ht="12.75">
      <c r="A132" s="341"/>
      <c r="B132" s="342"/>
      <c r="C132" s="184"/>
      <c r="D132" s="342"/>
      <c r="E132" s="184"/>
      <c r="F132" s="317"/>
      <c r="G132" s="306"/>
      <c r="H132" s="342"/>
      <c r="I132" s="342"/>
      <c r="J132" s="184"/>
      <c r="K132" s="342"/>
      <c r="L132" s="184"/>
      <c r="M132" s="317"/>
      <c r="N132" s="306"/>
      <c r="O132" s="342"/>
      <c r="P132" s="342"/>
      <c r="Q132" s="184"/>
      <c r="R132" s="342"/>
      <c r="S132" s="184"/>
      <c r="T132" s="317"/>
      <c r="U132" s="306"/>
      <c r="V132" s="342"/>
      <c r="W132" s="342"/>
      <c r="X132" s="184"/>
      <c r="Y132" s="342"/>
      <c r="Z132" s="184"/>
      <c r="AA132" s="317"/>
      <c r="AB132" s="306"/>
      <c r="AC132" s="342"/>
      <c r="AD132" s="342"/>
      <c r="AE132" s="184"/>
      <c r="AF132" s="342"/>
      <c r="AG132" s="184"/>
      <c r="AH132" s="317"/>
    </row>
    <row r="133" spans="1:34" ht="13.5" thickBot="1">
      <c r="A133" s="341"/>
      <c r="B133" s="342"/>
      <c r="C133" s="184"/>
      <c r="D133" s="342"/>
      <c r="E133" s="184"/>
      <c r="F133" s="317"/>
      <c r="G133" s="306"/>
      <c r="H133" s="342"/>
      <c r="I133" s="342"/>
      <c r="J133" s="184"/>
      <c r="K133" s="342"/>
      <c r="L133" s="184"/>
      <c r="M133" s="317"/>
      <c r="N133" s="306"/>
      <c r="O133" s="342"/>
      <c r="P133" s="342"/>
      <c r="Q133" s="184"/>
      <c r="R133" s="342"/>
      <c r="S133" s="184"/>
      <c r="T133" s="317"/>
      <c r="U133" s="306"/>
      <c r="V133" s="342"/>
      <c r="W133" s="342"/>
      <c r="X133" s="184"/>
      <c r="Y133" s="342"/>
      <c r="Z133" s="184"/>
      <c r="AA133" s="317"/>
      <c r="AB133" s="306"/>
      <c r="AC133" s="342"/>
      <c r="AD133" s="342"/>
      <c r="AE133" s="184"/>
      <c r="AF133" s="342"/>
      <c r="AG133" s="184"/>
      <c r="AH133" s="317"/>
    </row>
    <row r="134" spans="1:34" ht="13.5" thickBot="1">
      <c r="A134" s="895" t="s">
        <v>299</v>
      </c>
      <c r="B134" s="897"/>
      <c r="C134" s="175"/>
      <c r="D134" s="405"/>
      <c r="E134" s="175"/>
      <c r="F134" s="317"/>
      <c r="G134" s="306"/>
      <c r="H134" s="895" t="s">
        <v>299</v>
      </c>
      <c r="I134" s="897"/>
      <c r="J134" s="175"/>
      <c r="K134" s="405"/>
      <c r="L134" s="175"/>
      <c r="M134" s="317"/>
      <c r="N134" s="306"/>
      <c r="O134" s="895" t="s">
        <v>299</v>
      </c>
      <c r="P134" s="897"/>
      <c r="Q134" s="175"/>
      <c r="R134" s="405"/>
      <c r="S134" s="175"/>
      <c r="T134" s="317"/>
      <c r="U134" s="306"/>
      <c r="V134" s="895" t="s">
        <v>299</v>
      </c>
      <c r="W134" s="897"/>
      <c r="X134" s="175"/>
      <c r="Y134" s="405"/>
      <c r="Z134" s="175"/>
      <c r="AA134" s="317"/>
      <c r="AB134" s="306"/>
      <c r="AC134" s="895" t="s">
        <v>299</v>
      </c>
      <c r="AD134" s="897"/>
      <c r="AE134" s="175"/>
      <c r="AF134" s="405"/>
      <c r="AG134" s="175"/>
      <c r="AH134" s="317"/>
    </row>
    <row r="135" spans="1:34" ht="12.75">
      <c r="A135" s="642" t="s">
        <v>300</v>
      </c>
      <c r="B135" s="643">
        <f>E131</f>
        <v>60</v>
      </c>
      <c r="C135" s="175"/>
      <c r="D135" s="405"/>
      <c r="E135" s="175"/>
      <c r="F135" s="317"/>
      <c r="G135" s="306"/>
      <c r="H135" s="708" t="s">
        <v>300</v>
      </c>
      <c r="I135" s="643">
        <f>L131</f>
        <v>120</v>
      </c>
      <c r="J135" s="175"/>
      <c r="K135" s="405"/>
      <c r="L135" s="175"/>
      <c r="M135" s="317"/>
      <c r="N135" s="306"/>
      <c r="O135" s="708" t="s">
        <v>301</v>
      </c>
      <c r="P135" s="643">
        <f>S131</f>
        <v>180</v>
      </c>
      <c r="Q135" s="175"/>
      <c r="R135" s="405"/>
      <c r="S135" s="175"/>
      <c r="T135" s="317"/>
      <c r="U135" s="306"/>
      <c r="V135" s="708" t="s">
        <v>300</v>
      </c>
      <c r="W135" s="643">
        <f>Z131</f>
        <v>240</v>
      </c>
      <c r="X135" s="175"/>
      <c r="Y135" s="405"/>
      <c r="Z135" s="175"/>
      <c r="AA135" s="317"/>
      <c r="AB135" s="306"/>
      <c r="AC135" s="708" t="s">
        <v>300</v>
      </c>
      <c r="AD135" s="643">
        <f>AG131</f>
        <v>240</v>
      </c>
      <c r="AE135" s="175"/>
      <c r="AF135" s="405"/>
      <c r="AG135" s="175"/>
      <c r="AH135" s="317"/>
    </row>
    <row r="136" spans="1:34" ht="13.5" thickBot="1">
      <c r="A136" s="644" t="s">
        <v>162</v>
      </c>
      <c r="B136" s="645">
        <f>B17</f>
        <v>5868.88</v>
      </c>
      <c r="C136" s="175"/>
      <c r="D136" s="405"/>
      <c r="E136" s="175"/>
      <c r="F136" s="317"/>
      <c r="G136" s="306"/>
      <c r="H136" s="709" t="s">
        <v>162</v>
      </c>
      <c r="I136" s="645">
        <f>I17</f>
        <v>5868.88</v>
      </c>
      <c r="J136" s="175"/>
      <c r="K136" s="405"/>
      <c r="L136" s="175"/>
      <c r="M136" s="317"/>
      <c r="N136" s="306"/>
      <c r="O136" s="709" t="s">
        <v>162</v>
      </c>
      <c r="P136" s="645">
        <f>P15</f>
        <v>5868.88</v>
      </c>
      <c r="Q136" s="175"/>
      <c r="R136" s="405"/>
      <c r="S136" s="175"/>
      <c r="T136" s="317"/>
      <c r="U136" s="306"/>
      <c r="V136" s="709" t="s">
        <v>162</v>
      </c>
      <c r="W136" s="645">
        <f>W15</f>
        <v>5868.88</v>
      </c>
      <c r="X136" s="175"/>
      <c r="Y136" s="405"/>
      <c r="Z136" s="175"/>
      <c r="AA136" s="317"/>
      <c r="AB136" s="306"/>
      <c r="AC136" s="709" t="s">
        <v>162</v>
      </c>
      <c r="AD136" s="645">
        <f>AD15</f>
        <v>5868.88</v>
      </c>
      <c r="AE136" s="175"/>
      <c r="AF136" s="405"/>
      <c r="AG136" s="175"/>
      <c r="AH136" s="317"/>
    </row>
    <row r="137" spans="1:34" ht="15.75" thickBot="1">
      <c r="A137" s="631" t="s">
        <v>302</v>
      </c>
      <c r="B137" s="646">
        <f>B135*B136</f>
        <v>352132.8</v>
      </c>
      <c r="C137" s="175"/>
      <c r="D137" s="405"/>
      <c r="E137" s="175"/>
      <c r="F137" s="317"/>
      <c r="G137" s="306"/>
      <c r="H137" s="710" t="s">
        <v>302</v>
      </c>
      <c r="I137" s="646">
        <f>I135*I136</f>
        <v>704265.6</v>
      </c>
      <c r="J137" s="175"/>
      <c r="K137" s="405"/>
      <c r="L137" s="175"/>
      <c r="M137" s="317"/>
      <c r="N137" s="306"/>
      <c r="O137" s="710" t="s">
        <v>302</v>
      </c>
      <c r="P137" s="646">
        <f>P135*P136</f>
        <v>1056398.4</v>
      </c>
      <c r="Q137" s="175"/>
      <c r="R137" s="405"/>
      <c r="S137" s="175"/>
      <c r="T137" s="317"/>
      <c r="U137" s="306"/>
      <c r="V137" s="710" t="s">
        <v>302</v>
      </c>
      <c r="W137" s="646">
        <f>W135*W136</f>
        <v>1408531.2</v>
      </c>
      <c r="X137" s="175"/>
      <c r="Y137" s="405"/>
      <c r="Z137" s="175"/>
      <c r="AA137" s="317"/>
      <c r="AB137" s="306"/>
      <c r="AC137" s="710" t="s">
        <v>302</v>
      </c>
      <c r="AD137" s="646">
        <f>AD135*AD136</f>
        <v>1408531.2</v>
      </c>
      <c r="AE137" s="175"/>
      <c r="AF137" s="405"/>
      <c r="AG137" s="175"/>
      <c r="AH137" s="317"/>
    </row>
    <row r="138" spans="1:34" ht="15">
      <c r="A138" s="359"/>
      <c r="B138" s="360"/>
      <c r="C138" s="184"/>
      <c r="D138" s="184"/>
      <c r="E138" s="342"/>
      <c r="F138" s="317"/>
      <c r="G138" s="306"/>
      <c r="H138" s="362"/>
      <c r="I138" s="360"/>
      <c r="J138" s="184"/>
      <c r="K138" s="184"/>
      <c r="L138" s="342"/>
      <c r="M138" s="317"/>
      <c r="N138" s="306"/>
      <c r="O138" s="362"/>
      <c r="P138" s="360"/>
      <c r="Q138" s="184"/>
      <c r="R138" s="184"/>
      <c r="S138" s="342"/>
      <c r="T138" s="317"/>
      <c r="U138" s="306"/>
      <c r="V138" s="362"/>
      <c r="W138" s="360"/>
      <c r="X138" s="184"/>
      <c r="Y138" s="184"/>
      <c r="Z138" s="342"/>
      <c r="AA138" s="317"/>
      <c r="AB138" s="306"/>
      <c r="AC138" s="362"/>
      <c r="AD138" s="360"/>
      <c r="AE138" s="184"/>
      <c r="AF138" s="184"/>
      <c r="AG138" s="342"/>
      <c r="AH138" s="317"/>
    </row>
    <row r="139" spans="1:34" ht="15.75" thickBot="1">
      <c r="A139" s="359"/>
      <c r="B139" s="360"/>
      <c r="C139" s="184"/>
      <c r="D139" s="184"/>
      <c r="E139" s="342"/>
      <c r="F139" s="317"/>
      <c r="G139" s="306"/>
      <c r="H139" s="362"/>
      <c r="I139" s="360"/>
      <c r="J139" s="184"/>
      <c r="K139" s="184"/>
      <c r="L139" s="342"/>
      <c r="M139" s="317"/>
      <c r="N139" s="306"/>
      <c r="O139" s="362"/>
      <c r="P139" s="360"/>
      <c r="Q139" s="184"/>
      <c r="R139" s="184"/>
      <c r="S139" s="342"/>
      <c r="T139" s="317"/>
      <c r="U139" s="306"/>
      <c r="V139" s="362"/>
      <c r="W139" s="360"/>
      <c r="X139" s="184"/>
      <c r="Y139" s="184"/>
      <c r="Z139" s="342"/>
      <c r="AA139" s="317"/>
      <c r="AB139" s="306"/>
      <c r="AC139" s="362"/>
      <c r="AD139" s="360"/>
      <c r="AE139" s="184"/>
      <c r="AF139" s="184"/>
      <c r="AG139" s="342"/>
      <c r="AH139" s="317"/>
    </row>
    <row r="140" spans="1:34" ht="13.5" thickBot="1">
      <c r="A140" s="895" t="s">
        <v>303</v>
      </c>
      <c r="B140" s="897"/>
      <c r="C140" s="301"/>
      <c r="D140" s="301"/>
      <c r="E140" s="300"/>
      <c r="F140" s="317"/>
      <c r="G140" s="306"/>
      <c r="H140" s="895" t="s">
        <v>303</v>
      </c>
      <c r="I140" s="897"/>
      <c r="J140" s="301"/>
      <c r="K140" s="301"/>
      <c r="L140" s="300"/>
      <c r="M140" s="317"/>
      <c r="N140" s="306"/>
      <c r="O140" s="895" t="s">
        <v>303</v>
      </c>
      <c r="P140" s="897"/>
      <c r="Q140" s="301"/>
      <c r="R140" s="301"/>
      <c r="S140" s="300"/>
      <c r="T140" s="317"/>
      <c r="U140" s="306"/>
      <c r="V140" s="895" t="s">
        <v>303</v>
      </c>
      <c r="W140" s="897"/>
      <c r="X140" s="301"/>
      <c r="Y140" s="301"/>
      <c r="Z140" s="300"/>
      <c r="AA140" s="317"/>
      <c r="AB140" s="306"/>
      <c r="AC140" s="895" t="s">
        <v>303</v>
      </c>
      <c r="AD140" s="897"/>
      <c r="AE140" s="301"/>
      <c r="AF140" s="301"/>
      <c r="AG140" s="300"/>
      <c r="AH140" s="317"/>
    </row>
    <row r="141" spans="1:34" ht="12.75">
      <c r="A141" s="642" t="s">
        <v>304</v>
      </c>
      <c r="B141" s="643">
        <f>E129</f>
        <v>60</v>
      </c>
      <c r="C141" s="301"/>
      <c r="D141" s="301"/>
      <c r="E141" s="300"/>
      <c r="F141" s="317"/>
      <c r="G141" s="306"/>
      <c r="H141" s="708" t="s">
        <v>304</v>
      </c>
      <c r="I141" s="643">
        <f>L129</f>
        <v>120</v>
      </c>
      <c r="J141" s="301"/>
      <c r="K141" s="301"/>
      <c r="L141" s="300"/>
      <c r="M141" s="317"/>
      <c r="N141" s="306"/>
      <c r="O141" s="708" t="s">
        <v>304</v>
      </c>
      <c r="P141" s="643">
        <f>S129</f>
        <v>180</v>
      </c>
      <c r="Q141" s="301"/>
      <c r="R141" s="301"/>
      <c r="S141" s="300"/>
      <c r="T141" s="317"/>
      <c r="U141" s="306"/>
      <c r="V141" s="708" t="s">
        <v>304</v>
      </c>
      <c r="W141" s="643">
        <f>Z129</f>
        <v>240</v>
      </c>
      <c r="X141" s="301"/>
      <c r="Y141" s="301"/>
      <c r="Z141" s="300"/>
      <c r="AA141" s="317"/>
      <c r="AB141" s="306"/>
      <c r="AC141" s="708" t="s">
        <v>304</v>
      </c>
      <c r="AD141" s="643">
        <f>AG129</f>
        <v>240</v>
      </c>
      <c r="AE141" s="301"/>
      <c r="AF141" s="301"/>
      <c r="AG141" s="300"/>
      <c r="AH141" s="317"/>
    </row>
    <row r="142" spans="1:34" ht="16.5" thickBot="1">
      <c r="A142" s="644" t="s">
        <v>305</v>
      </c>
      <c r="B142" s="645">
        <f>B18</f>
        <v>2020.9</v>
      </c>
      <c r="C142" s="301"/>
      <c r="D142" s="301"/>
      <c r="E142" s="301"/>
      <c r="F142" s="406"/>
      <c r="G142" s="306"/>
      <c r="H142" s="709" t="s">
        <v>305</v>
      </c>
      <c r="I142" s="645">
        <f>I18</f>
        <v>2020.9</v>
      </c>
      <c r="J142" s="301"/>
      <c r="K142" s="301"/>
      <c r="L142" s="301"/>
      <c r="M142" s="406"/>
      <c r="N142" s="306"/>
      <c r="O142" s="709" t="s">
        <v>305</v>
      </c>
      <c r="P142" s="645">
        <f>P16</f>
        <v>2020.9</v>
      </c>
      <c r="Q142" s="301"/>
      <c r="R142" s="301"/>
      <c r="S142" s="301"/>
      <c r="T142" s="406"/>
      <c r="U142" s="306"/>
      <c r="V142" s="709" t="s">
        <v>305</v>
      </c>
      <c r="W142" s="645">
        <f>W16</f>
        <v>2020.9</v>
      </c>
      <c r="X142" s="301"/>
      <c r="Y142" s="301"/>
      <c r="Z142" s="301"/>
      <c r="AA142" s="406"/>
      <c r="AB142" s="306"/>
      <c r="AC142" s="709" t="s">
        <v>305</v>
      </c>
      <c r="AD142" s="645">
        <f>AD16</f>
        <v>2020.9</v>
      </c>
      <c r="AE142" s="301"/>
      <c r="AF142" s="301"/>
      <c r="AG142" s="301"/>
      <c r="AH142" s="406"/>
    </row>
    <row r="143" spans="1:34" ht="16.5" thickBot="1">
      <c r="A143" s="631" t="s">
        <v>306</v>
      </c>
      <c r="B143" s="646">
        <f>B141*B142</f>
        <v>121254</v>
      </c>
      <c r="C143" s="301"/>
      <c r="D143" s="301"/>
      <c r="E143" s="301"/>
      <c r="F143" s="406"/>
      <c r="G143" s="306"/>
      <c r="H143" s="710" t="s">
        <v>306</v>
      </c>
      <c r="I143" s="646">
        <f>I141*I142</f>
        <v>242508</v>
      </c>
      <c r="J143" s="301"/>
      <c r="K143" s="301"/>
      <c r="L143" s="301"/>
      <c r="M143" s="406"/>
      <c r="N143" s="306"/>
      <c r="O143" s="710" t="s">
        <v>306</v>
      </c>
      <c r="P143" s="646">
        <f>P141*P142</f>
        <v>363762</v>
      </c>
      <c r="Q143" s="301"/>
      <c r="R143" s="301"/>
      <c r="S143" s="301"/>
      <c r="T143" s="406"/>
      <c r="U143" s="306"/>
      <c r="V143" s="710" t="s">
        <v>306</v>
      </c>
      <c r="W143" s="646">
        <f>W141*W142</f>
        <v>485016</v>
      </c>
      <c r="X143" s="301"/>
      <c r="Y143" s="301"/>
      <c r="Z143" s="301"/>
      <c r="AA143" s="406"/>
      <c r="AB143" s="306"/>
      <c r="AC143" s="710" t="s">
        <v>306</v>
      </c>
      <c r="AD143" s="646">
        <f>AD141*AD142</f>
        <v>485016</v>
      </c>
      <c r="AE143" s="301"/>
      <c r="AF143" s="301"/>
      <c r="AG143" s="301"/>
      <c r="AH143" s="406"/>
    </row>
    <row r="144" spans="1:34" ht="15.75">
      <c r="A144" s="363"/>
      <c r="B144" s="348"/>
      <c r="C144" s="348"/>
      <c r="D144" s="349"/>
      <c r="E144" s="350"/>
      <c r="F144" s="407"/>
      <c r="G144" s="306"/>
      <c r="H144" s="348"/>
      <c r="I144" s="348"/>
      <c r="J144" s="348"/>
      <c r="K144" s="349"/>
      <c r="L144" s="350"/>
      <c r="M144" s="407"/>
      <c r="N144" s="306"/>
      <c r="O144" s="348"/>
      <c r="P144" s="348"/>
      <c r="Q144" s="348"/>
      <c r="R144" s="349"/>
      <c r="S144" s="350"/>
      <c r="T144" s="407"/>
      <c r="U144" s="306"/>
      <c r="V144" s="348"/>
      <c r="W144" s="348"/>
      <c r="X144" s="348"/>
      <c r="Y144" s="349"/>
      <c r="Z144" s="350"/>
      <c r="AA144" s="407"/>
      <c r="AB144" s="306"/>
      <c r="AC144" s="348"/>
      <c r="AD144" s="348"/>
      <c r="AE144" s="348"/>
      <c r="AF144" s="349"/>
      <c r="AG144" s="350"/>
      <c r="AH144" s="407"/>
    </row>
    <row r="145" spans="1:34" ht="16.5" thickBot="1">
      <c r="A145" s="363"/>
      <c r="B145" s="348"/>
      <c r="C145" s="348"/>
      <c r="D145" s="349"/>
      <c r="E145" s="350"/>
      <c r="F145" s="407"/>
      <c r="G145" s="306"/>
      <c r="H145" s="348"/>
      <c r="I145" s="348"/>
      <c r="J145" s="348"/>
      <c r="K145" s="349"/>
      <c r="L145" s="350"/>
      <c r="M145" s="407"/>
      <c r="N145" s="306"/>
      <c r="O145" s="348"/>
      <c r="P145" s="348"/>
      <c r="Q145" s="348"/>
      <c r="R145" s="349"/>
      <c r="S145" s="350"/>
      <c r="T145" s="407"/>
      <c r="U145" s="306"/>
      <c r="V145" s="348"/>
      <c r="W145" s="348"/>
      <c r="X145" s="348"/>
      <c r="Y145" s="349"/>
      <c r="Z145" s="350"/>
      <c r="AA145" s="407"/>
      <c r="AB145" s="306"/>
      <c r="AC145" s="348"/>
      <c r="AD145" s="348"/>
      <c r="AE145" s="348"/>
      <c r="AF145" s="349"/>
      <c r="AG145" s="350"/>
      <c r="AH145" s="407"/>
    </row>
    <row r="146" spans="1:34" ht="13.5" thickBot="1">
      <c r="A146" s="895" t="s">
        <v>307</v>
      </c>
      <c r="B146" s="897"/>
      <c r="C146" s="347"/>
      <c r="D146" s="408"/>
      <c r="E146" s="409"/>
      <c r="F146" s="410"/>
      <c r="G146" s="306"/>
      <c r="H146" s="895" t="s">
        <v>307</v>
      </c>
      <c r="I146" s="897"/>
      <c r="J146" s="347"/>
      <c r="K146" s="408"/>
      <c r="L146" s="409"/>
      <c r="M146" s="410"/>
      <c r="N146" s="306"/>
      <c r="O146" s="895" t="s">
        <v>307</v>
      </c>
      <c r="P146" s="897"/>
      <c r="Q146" s="347"/>
      <c r="R146" s="408"/>
      <c r="S146" s="409"/>
      <c r="T146" s="410"/>
      <c r="U146" s="306"/>
      <c r="V146" s="895" t="s">
        <v>307</v>
      </c>
      <c r="W146" s="897"/>
      <c r="X146" s="347"/>
      <c r="Y146" s="408"/>
      <c r="Z146" s="409"/>
      <c r="AA146" s="410"/>
      <c r="AB146" s="306"/>
      <c r="AC146" s="895" t="s">
        <v>307</v>
      </c>
      <c r="AD146" s="897"/>
      <c r="AE146" s="347"/>
      <c r="AF146" s="408"/>
      <c r="AG146" s="409"/>
      <c r="AH146" s="410"/>
    </row>
    <row r="147" spans="1:34" ht="12.75">
      <c r="A147" s="642" t="s">
        <v>302</v>
      </c>
      <c r="B147" s="650">
        <f>B137</f>
        <v>352132.8</v>
      </c>
      <c r="C147" s="347"/>
      <c r="D147" s="408"/>
      <c r="E147" s="409"/>
      <c r="F147" s="410"/>
      <c r="G147" s="306"/>
      <c r="H147" s="708" t="s">
        <v>302</v>
      </c>
      <c r="I147" s="650">
        <f>I137</f>
        <v>704265.6</v>
      </c>
      <c r="J147" s="347"/>
      <c r="K147" s="408"/>
      <c r="L147" s="409"/>
      <c r="M147" s="410"/>
      <c r="N147" s="306"/>
      <c r="O147" s="708" t="s">
        <v>302</v>
      </c>
      <c r="P147" s="650">
        <f>P137</f>
        <v>1056398.4</v>
      </c>
      <c r="Q147" s="347"/>
      <c r="R147" s="408"/>
      <c r="S147" s="409"/>
      <c r="T147" s="410"/>
      <c r="U147" s="306"/>
      <c r="V147" s="708" t="s">
        <v>302</v>
      </c>
      <c r="W147" s="650">
        <f>W137</f>
        <v>1408531.2</v>
      </c>
      <c r="X147" s="347"/>
      <c r="Y147" s="408"/>
      <c r="Z147" s="409"/>
      <c r="AA147" s="410"/>
      <c r="AB147" s="306"/>
      <c r="AC147" s="708" t="s">
        <v>302</v>
      </c>
      <c r="AD147" s="650">
        <f>AD137</f>
        <v>1408531.2</v>
      </c>
      <c r="AE147" s="347"/>
      <c r="AF147" s="408"/>
      <c r="AG147" s="409"/>
      <c r="AH147" s="410"/>
    </row>
    <row r="148" spans="1:34" ht="13.5" thickBot="1">
      <c r="A148" s="642" t="s">
        <v>306</v>
      </c>
      <c r="B148" s="645">
        <f>B143</f>
        <v>121254</v>
      </c>
      <c r="C148" s="347"/>
      <c r="D148" s="408"/>
      <c r="E148" s="409"/>
      <c r="F148" s="410"/>
      <c r="G148" s="306"/>
      <c r="H148" s="708" t="s">
        <v>306</v>
      </c>
      <c r="I148" s="645">
        <f>I143</f>
        <v>242508</v>
      </c>
      <c r="J148" s="347"/>
      <c r="K148" s="408"/>
      <c r="L148" s="409"/>
      <c r="M148" s="410"/>
      <c r="N148" s="306"/>
      <c r="O148" s="708" t="s">
        <v>306</v>
      </c>
      <c r="P148" s="645">
        <f>P143</f>
        <v>363762</v>
      </c>
      <c r="Q148" s="347"/>
      <c r="R148" s="408"/>
      <c r="S148" s="409"/>
      <c r="T148" s="410"/>
      <c r="U148" s="306"/>
      <c r="V148" s="708" t="s">
        <v>306</v>
      </c>
      <c r="W148" s="645">
        <f>W143</f>
        <v>485016</v>
      </c>
      <c r="X148" s="347"/>
      <c r="Y148" s="408"/>
      <c r="Z148" s="409"/>
      <c r="AA148" s="410"/>
      <c r="AB148" s="306"/>
      <c r="AC148" s="708" t="s">
        <v>306</v>
      </c>
      <c r="AD148" s="645">
        <f>AD143</f>
        <v>485016</v>
      </c>
      <c r="AE148" s="347"/>
      <c r="AF148" s="408"/>
      <c r="AG148" s="409"/>
      <c r="AH148" s="410"/>
    </row>
    <row r="149" spans="1:34" ht="15.75" thickBot="1">
      <c r="A149" s="631" t="s">
        <v>308</v>
      </c>
      <c r="B149" s="646">
        <f>B147+B148</f>
        <v>473386.8</v>
      </c>
      <c r="C149" s="347"/>
      <c r="D149" s="408"/>
      <c r="E149" s="409"/>
      <c r="F149" s="411"/>
      <c r="G149" s="306"/>
      <c r="H149" s="710" t="s">
        <v>308</v>
      </c>
      <c r="I149" s="646">
        <f>I147+I148</f>
        <v>946773.6</v>
      </c>
      <c r="J149" s="347"/>
      <c r="K149" s="408"/>
      <c r="L149" s="409"/>
      <c r="M149" s="411"/>
      <c r="N149" s="306"/>
      <c r="O149" s="710" t="s">
        <v>308</v>
      </c>
      <c r="P149" s="646">
        <f>P147+P148</f>
        <v>1420160.4</v>
      </c>
      <c r="Q149" s="347"/>
      <c r="R149" s="408"/>
      <c r="S149" s="409"/>
      <c r="T149" s="411"/>
      <c r="U149" s="306"/>
      <c r="V149" s="710" t="s">
        <v>308</v>
      </c>
      <c r="W149" s="646">
        <f>W147+W148</f>
        <v>1893547.2</v>
      </c>
      <c r="X149" s="347"/>
      <c r="Y149" s="408"/>
      <c r="Z149" s="409"/>
      <c r="AA149" s="411"/>
      <c r="AB149" s="306"/>
      <c r="AC149" s="710" t="s">
        <v>308</v>
      </c>
      <c r="AD149" s="646">
        <f>AD147+AD148</f>
        <v>1893547.2</v>
      </c>
      <c r="AE149" s="347"/>
      <c r="AF149" s="408"/>
      <c r="AG149" s="409"/>
      <c r="AH149" s="411"/>
    </row>
    <row r="150" spans="1:34" ht="15">
      <c r="A150" s="344"/>
      <c r="B150" s="345"/>
      <c r="C150" s="347"/>
      <c r="D150" s="408"/>
      <c r="E150" s="409"/>
      <c r="F150" s="411"/>
      <c r="G150" s="305"/>
      <c r="H150" s="344"/>
      <c r="I150" s="345"/>
      <c r="J150" s="347"/>
      <c r="K150" s="408"/>
      <c r="L150" s="409"/>
      <c r="M150" s="411"/>
      <c r="N150" s="306"/>
      <c r="O150" s="31"/>
      <c r="P150" s="345"/>
      <c r="Q150" s="347"/>
      <c r="R150" s="408"/>
      <c r="S150" s="409"/>
      <c r="T150" s="411"/>
      <c r="U150" s="306"/>
      <c r="V150" s="31"/>
      <c r="W150" s="345"/>
      <c r="X150" s="347"/>
      <c r="Y150" s="408"/>
      <c r="Z150" s="409"/>
      <c r="AA150" s="411"/>
      <c r="AB150" s="306"/>
      <c r="AC150" s="31"/>
      <c r="AD150" s="345"/>
      <c r="AE150" s="347"/>
      <c r="AF150" s="408"/>
      <c r="AG150" s="409"/>
      <c r="AH150" s="411"/>
    </row>
    <row r="151" spans="1:34" ht="15">
      <c r="A151" s="344"/>
      <c r="B151" s="345"/>
      <c r="C151" s="347"/>
      <c r="D151" s="408"/>
      <c r="E151" s="409"/>
      <c r="F151" s="411"/>
      <c r="G151" s="301"/>
      <c r="H151" s="344"/>
      <c r="I151" s="345"/>
      <c r="J151" s="347"/>
      <c r="K151" s="408"/>
      <c r="L151" s="409"/>
      <c r="M151" s="411"/>
      <c r="N151" s="306"/>
      <c r="O151" s="31"/>
      <c r="P151" s="345"/>
      <c r="Q151" s="347"/>
      <c r="R151" s="408"/>
      <c r="S151" s="409"/>
      <c r="T151" s="411"/>
      <c r="U151" s="306"/>
      <c r="V151" s="31"/>
      <c r="W151" s="345"/>
      <c r="X151" s="347"/>
      <c r="Y151" s="408"/>
      <c r="Z151" s="409"/>
      <c r="AA151" s="411"/>
      <c r="AB151" s="306"/>
      <c r="AC151" s="31"/>
      <c r="AD151" s="345"/>
      <c r="AE151" s="347"/>
      <c r="AF151" s="408"/>
      <c r="AG151" s="409"/>
      <c r="AH151" s="411"/>
    </row>
    <row r="152" spans="1:34" ht="15.75" thickBot="1">
      <c r="A152" s="344"/>
      <c r="B152" s="345"/>
      <c r="C152" s="347"/>
      <c r="D152" s="408"/>
      <c r="E152" s="409"/>
      <c r="F152" s="412"/>
      <c r="G152" s="301"/>
      <c r="H152" s="390"/>
      <c r="I152" s="413"/>
      <c r="J152" s="414"/>
      <c r="K152" s="352"/>
      <c r="L152" s="415"/>
      <c r="M152" s="412"/>
      <c r="N152" s="306"/>
      <c r="O152" s="416"/>
      <c r="P152" s="413"/>
      <c r="Q152" s="414"/>
      <c r="R152" s="352"/>
      <c r="S152" s="415"/>
      <c r="T152" s="412"/>
      <c r="U152" s="306"/>
      <c r="V152" s="416"/>
      <c r="W152" s="413"/>
      <c r="X152" s="414"/>
      <c r="Y152" s="352"/>
      <c r="Z152" s="415"/>
      <c r="AA152" s="412"/>
      <c r="AB152" s="306"/>
      <c r="AC152" s="416"/>
      <c r="AD152" s="413"/>
      <c r="AE152" s="414"/>
      <c r="AF152" s="352"/>
      <c r="AG152" s="415"/>
      <c r="AH152" s="412"/>
    </row>
    <row r="153" spans="1:34" ht="16.5" customHeight="1" thickBot="1">
      <c r="A153" s="928" t="s">
        <v>309</v>
      </c>
      <c r="B153" s="929"/>
      <c r="C153" s="929"/>
      <c r="D153" s="929"/>
      <c r="E153" s="929"/>
      <c r="F153" s="930"/>
      <c r="G153" s="301"/>
      <c r="H153" s="928" t="s">
        <v>309</v>
      </c>
      <c r="I153" s="929"/>
      <c r="J153" s="929"/>
      <c r="K153" s="929"/>
      <c r="L153" s="929"/>
      <c r="M153" s="930"/>
      <c r="N153" s="417"/>
      <c r="O153" s="928" t="s">
        <v>309</v>
      </c>
      <c r="P153" s="929"/>
      <c r="Q153" s="929"/>
      <c r="R153" s="929"/>
      <c r="S153" s="929"/>
      <c r="T153" s="930"/>
      <c r="U153" s="301"/>
      <c r="V153" s="931" t="s">
        <v>309</v>
      </c>
      <c r="W153" s="932"/>
      <c r="X153" s="932"/>
      <c r="Y153" s="932"/>
      <c r="Z153" s="932"/>
      <c r="AA153" s="933"/>
      <c r="AB153" s="301"/>
      <c r="AC153" s="928" t="s">
        <v>309</v>
      </c>
      <c r="AD153" s="929"/>
      <c r="AE153" s="929"/>
      <c r="AF153" s="929"/>
      <c r="AG153" s="929"/>
      <c r="AH153" s="930"/>
    </row>
    <row r="154" spans="1:34" ht="13.5" thickBot="1">
      <c r="A154" s="363"/>
      <c r="B154" s="348"/>
      <c r="C154" s="348"/>
      <c r="D154" s="349"/>
      <c r="E154" s="350"/>
      <c r="F154" s="418"/>
      <c r="G154" s="301"/>
      <c r="H154" s="363"/>
      <c r="I154" s="348"/>
      <c r="J154" s="348"/>
      <c r="K154" s="349"/>
      <c r="L154" s="350"/>
      <c r="M154" s="419"/>
      <c r="N154" s="306"/>
      <c r="O154" s="348"/>
      <c r="P154" s="348"/>
      <c r="Q154" s="348"/>
      <c r="R154" s="349"/>
      <c r="S154" s="350"/>
      <c r="T154" s="419"/>
      <c r="U154" s="323"/>
      <c r="V154" s="348"/>
      <c r="W154" s="348"/>
      <c r="X154" s="348"/>
      <c r="Y154" s="349"/>
      <c r="Z154" s="350"/>
      <c r="AA154" s="419"/>
      <c r="AB154" s="323"/>
      <c r="AC154" s="348"/>
      <c r="AD154" s="348"/>
      <c r="AE154" s="348"/>
      <c r="AF154" s="349"/>
      <c r="AG154" s="350"/>
      <c r="AH154" s="419"/>
    </row>
    <row r="155" spans="1:34" ht="15.75" thickBot="1">
      <c r="A155" s="669" t="s">
        <v>310</v>
      </c>
      <c r="B155" s="669">
        <f>D30+D66+E129+E98</f>
        <v>60</v>
      </c>
      <c r="C155" s="301"/>
      <c r="D155" s="301"/>
      <c r="E155" s="300"/>
      <c r="F155" s="316"/>
      <c r="G155" s="301"/>
      <c r="H155" s="669" t="s">
        <v>310</v>
      </c>
      <c r="I155" s="669">
        <f>K30+K66+L129+L98</f>
        <v>120</v>
      </c>
      <c r="J155" s="301"/>
      <c r="K155" s="301"/>
      <c r="L155" s="300"/>
      <c r="M155" s="317"/>
      <c r="N155" s="306"/>
      <c r="O155" s="730" t="s">
        <v>310</v>
      </c>
      <c r="P155" s="669">
        <f>R30+R66+S129</f>
        <v>180</v>
      </c>
      <c r="Q155" s="301"/>
      <c r="R155" s="301"/>
      <c r="S155" s="300"/>
      <c r="T155" s="317"/>
      <c r="U155" s="323"/>
      <c r="V155" s="730" t="s">
        <v>310</v>
      </c>
      <c r="W155" s="669">
        <f>Y30+Y66+Z129</f>
        <v>240</v>
      </c>
      <c r="X155" s="301"/>
      <c r="Y155" s="301"/>
      <c r="Z155" s="300"/>
      <c r="AA155" s="317"/>
      <c r="AB155" s="323"/>
      <c r="AC155" s="730" t="s">
        <v>310</v>
      </c>
      <c r="AD155" s="669">
        <f>AF30+AF66+AG129</f>
        <v>240</v>
      </c>
      <c r="AE155" s="301"/>
      <c r="AF155" s="301"/>
      <c r="AG155" s="300"/>
      <c r="AH155" s="317"/>
    </row>
    <row r="156" spans="1:34" ht="13.5" thickBot="1">
      <c r="A156" s="420"/>
      <c r="B156" s="184"/>
      <c r="C156" s="356"/>
      <c r="D156" s="356"/>
      <c r="E156" s="315"/>
      <c r="F156" s="316"/>
      <c r="G156" s="301"/>
      <c r="H156" s="420"/>
      <c r="I156" s="184"/>
      <c r="J156" s="356"/>
      <c r="K156" s="356"/>
      <c r="L156" s="315"/>
      <c r="M156" s="317"/>
      <c r="N156" s="306"/>
      <c r="O156" s="184"/>
      <c r="P156" s="184"/>
      <c r="Q156" s="356"/>
      <c r="R156" s="356"/>
      <c r="S156" s="315"/>
      <c r="T156" s="317"/>
      <c r="U156" s="323"/>
      <c r="V156" s="184"/>
      <c r="W156" s="184"/>
      <c r="X156" s="356"/>
      <c r="Y156" s="356"/>
      <c r="Z156" s="315"/>
      <c r="AA156" s="317"/>
      <c r="AB156" s="323"/>
      <c r="AC156" s="184"/>
      <c r="AD156" s="184"/>
      <c r="AE156" s="356"/>
      <c r="AF156" s="356"/>
      <c r="AG156" s="315"/>
      <c r="AH156" s="317"/>
    </row>
    <row r="157" spans="1:34" ht="13.5" customHeight="1" thickBot="1">
      <c r="A157" s="911" t="s">
        <v>432</v>
      </c>
      <c r="B157" s="912"/>
      <c r="C157" s="912"/>
      <c r="D157" s="912"/>
      <c r="E157" s="913"/>
      <c r="F157" s="377"/>
      <c r="G157" s="305"/>
      <c r="H157" s="911" t="s">
        <v>433</v>
      </c>
      <c r="I157" s="912"/>
      <c r="J157" s="912"/>
      <c r="K157" s="912"/>
      <c r="L157" s="913"/>
      <c r="M157" s="317"/>
      <c r="N157" s="306"/>
      <c r="O157" s="911" t="s">
        <v>434</v>
      </c>
      <c r="P157" s="912"/>
      <c r="Q157" s="912"/>
      <c r="R157" s="912"/>
      <c r="S157" s="913"/>
      <c r="T157" s="317"/>
      <c r="U157" s="323"/>
      <c r="V157" s="911" t="s">
        <v>435</v>
      </c>
      <c r="W157" s="912"/>
      <c r="X157" s="912"/>
      <c r="Y157" s="912"/>
      <c r="Z157" s="913"/>
      <c r="AA157" s="317"/>
      <c r="AB157" s="323"/>
      <c r="AC157" s="911" t="s">
        <v>436</v>
      </c>
      <c r="AD157" s="912"/>
      <c r="AE157" s="912"/>
      <c r="AF157" s="912"/>
      <c r="AG157" s="913"/>
      <c r="AH157" s="317"/>
    </row>
    <row r="158" spans="1:34" ht="13.5" thickBot="1">
      <c r="A158" s="631" t="s">
        <v>311</v>
      </c>
      <c r="B158" s="421"/>
      <c r="C158" s="184"/>
      <c r="D158" s="184"/>
      <c r="E158" s="342"/>
      <c r="F158" s="377"/>
      <c r="G158" s="305"/>
      <c r="H158" s="631" t="s">
        <v>311</v>
      </c>
      <c r="I158" s="421"/>
      <c r="J158" s="184"/>
      <c r="K158" s="184"/>
      <c r="L158" s="342"/>
      <c r="M158" s="317"/>
      <c r="N158" s="306"/>
      <c r="O158" s="710" t="s">
        <v>311</v>
      </c>
      <c r="P158" s="421"/>
      <c r="Q158" s="184"/>
      <c r="R158" s="184"/>
      <c r="S158" s="342"/>
      <c r="T158" s="317"/>
      <c r="U158" s="323"/>
      <c r="V158" s="343" t="s">
        <v>311</v>
      </c>
      <c r="W158" s="421"/>
      <c r="X158" s="184"/>
      <c r="Y158" s="184"/>
      <c r="Z158" s="342"/>
      <c r="AA158" s="317"/>
      <c r="AB158" s="323"/>
      <c r="AC158" s="710" t="s">
        <v>311</v>
      </c>
      <c r="AD158" s="421"/>
      <c r="AE158" s="184"/>
      <c r="AF158" s="184"/>
      <c r="AG158" s="342"/>
      <c r="AH158" s="317"/>
    </row>
    <row r="159" spans="1:34" ht="13.5" thickBot="1">
      <c r="A159" s="631" t="s">
        <v>312</v>
      </c>
      <c r="B159" s="421">
        <v>60</v>
      </c>
      <c r="C159" s="184"/>
      <c r="D159" s="184"/>
      <c r="E159" s="342"/>
      <c r="F159" s="377"/>
      <c r="G159" s="305"/>
      <c r="H159" s="631" t="s">
        <v>312</v>
      </c>
      <c r="I159" s="421">
        <v>120</v>
      </c>
      <c r="J159" s="184"/>
      <c r="K159" s="184"/>
      <c r="L159" s="342"/>
      <c r="M159" s="317"/>
      <c r="N159" s="323"/>
      <c r="O159" s="710" t="s">
        <v>312</v>
      </c>
      <c r="P159" s="421">
        <v>180</v>
      </c>
      <c r="Q159" s="184"/>
      <c r="R159" s="184"/>
      <c r="S159" s="342"/>
      <c r="T159" s="317"/>
      <c r="U159" s="323"/>
      <c r="V159" s="343" t="s">
        <v>312</v>
      </c>
      <c r="W159" s="421">
        <v>240</v>
      </c>
      <c r="X159" s="184"/>
      <c r="Y159" s="184"/>
      <c r="Z159" s="342"/>
      <c r="AA159" s="317"/>
      <c r="AB159" s="323"/>
      <c r="AC159" s="710" t="s">
        <v>312</v>
      </c>
      <c r="AD159" s="421">
        <v>240</v>
      </c>
      <c r="AE159" s="184"/>
      <c r="AF159" s="184"/>
      <c r="AG159" s="342"/>
      <c r="AH159" s="317"/>
    </row>
    <row r="160" spans="1:34" ht="15.75" customHeight="1" thickBot="1">
      <c r="A160" s="631" t="s">
        <v>426</v>
      </c>
      <c r="B160" s="670">
        <f>B158+B159</f>
        <v>60</v>
      </c>
      <c r="C160" s="184"/>
      <c r="D160" s="184"/>
      <c r="E160" s="342"/>
      <c r="F160" s="377"/>
      <c r="G160" s="323"/>
      <c r="H160" s="710" t="s">
        <v>427</v>
      </c>
      <c r="I160" s="670">
        <f>I158+I159</f>
        <v>120</v>
      </c>
      <c r="J160" s="184"/>
      <c r="K160" s="184"/>
      <c r="L160" s="342"/>
      <c r="M160" s="317"/>
      <c r="N160" s="323"/>
      <c r="O160" s="710" t="s">
        <v>428</v>
      </c>
      <c r="P160" s="670">
        <f>P158+P159</f>
        <v>180</v>
      </c>
      <c r="Q160" s="184"/>
      <c r="R160" s="184"/>
      <c r="S160" s="342"/>
      <c r="T160" s="317"/>
      <c r="U160" s="323"/>
      <c r="V160" s="710" t="s">
        <v>429</v>
      </c>
      <c r="W160" s="670">
        <f>W158+W159</f>
        <v>240</v>
      </c>
      <c r="X160" s="184"/>
      <c r="Y160" s="184"/>
      <c r="Z160" s="342"/>
      <c r="AA160" s="317"/>
      <c r="AB160" s="323"/>
      <c r="AC160" s="710" t="s">
        <v>430</v>
      </c>
      <c r="AD160" s="670">
        <f>AD158+AD159</f>
        <v>240</v>
      </c>
      <c r="AE160" s="184"/>
      <c r="AF160" s="184"/>
      <c r="AG160" s="342"/>
      <c r="AH160" s="317"/>
    </row>
    <row r="161" spans="1:34" ht="12.75">
      <c r="A161" s="420"/>
      <c r="B161" s="184"/>
      <c r="C161" s="184"/>
      <c r="D161" s="184"/>
      <c r="E161" s="342"/>
      <c r="F161" s="316"/>
      <c r="G161" s="323"/>
      <c r="H161" s="184"/>
      <c r="I161" s="184"/>
      <c r="J161" s="184"/>
      <c r="K161" s="184"/>
      <c r="L161" s="342"/>
      <c r="M161" s="317"/>
      <c r="N161" s="323"/>
      <c r="O161" s="184"/>
      <c r="P161" s="184"/>
      <c r="Q161" s="184"/>
      <c r="R161" s="184"/>
      <c r="S161" s="342"/>
      <c r="T161" s="317"/>
      <c r="U161" s="323"/>
      <c r="V161" s="184"/>
      <c r="W161" s="184"/>
      <c r="X161" s="184"/>
      <c r="Y161" s="184"/>
      <c r="Z161" s="342"/>
      <c r="AA161" s="317"/>
      <c r="AB161" s="323"/>
      <c r="AC161" s="184"/>
      <c r="AD161" s="184"/>
      <c r="AE161" s="184"/>
      <c r="AF161" s="184"/>
      <c r="AG161" s="342"/>
      <c r="AH161" s="317"/>
    </row>
    <row r="162" spans="1:34" ht="13.5" thickBot="1">
      <c r="A162" s="420"/>
      <c r="B162" s="184"/>
      <c r="C162" s="184"/>
      <c r="D162" s="184"/>
      <c r="E162" s="342"/>
      <c r="F162" s="316"/>
      <c r="G162" s="323"/>
      <c r="H162" s="184"/>
      <c r="I162" s="184"/>
      <c r="J162" s="184"/>
      <c r="K162" s="184"/>
      <c r="L162" s="342"/>
      <c r="M162" s="317"/>
      <c r="N162" s="323"/>
      <c r="O162" s="184"/>
      <c r="P162" s="184"/>
      <c r="Q162" s="184"/>
      <c r="R162" s="184"/>
      <c r="S162" s="342"/>
      <c r="T162" s="317"/>
      <c r="U162" s="323"/>
      <c r="V162" s="184"/>
      <c r="W162" s="184"/>
      <c r="X162" s="184"/>
      <c r="Y162" s="184"/>
      <c r="Z162" s="342"/>
      <c r="AA162" s="317"/>
      <c r="AB162" s="323"/>
      <c r="AC162" s="184"/>
      <c r="AD162" s="184"/>
      <c r="AE162" s="184"/>
      <c r="AF162" s="184"/>
      <c r="AG162" s="342"/>
      <c r="AH162" s="317"/>
    </row>
    <row r="163" spans="1:34" ht="15.75">
      <c r="A163" s="922" t="s">
        <v>313</v>
      </c>
      <c r="B163" s="923"/>
      <c r="C163" s="923"/>
      <c r="D163" s="923"/>
      <c r="E163" s="924"/>
      <c r="F163" s="422"/>
      <c r="G163" s="323"/>
      <c r="H163" s="922" t="s">
        <v>313</v>
      </c>
      <c r="I163" s="923"/>
      <c r="J163" s="923"/>
      <c r="K163" s="923"/>
      <c r="L163" s="924"/>
      <c r="M163" s="406"/>
      <c r="N163" s="323"/>
      <c r="O163" s="922" t="s">
        <v>313</v>
      </c>
      <c r="P163" s="923"/>
      <c r="Q163" s="923"/>
      <c r="R163" s="923"/>
      <c r="S163" s="924"/>
      <c r="T163" s="406"/>
      <c r="U163" s="323"/>
      <c r="V163" s="922" t="s">
        <v>313</v>
      </c>
      <c r="W163" s="923"/>
      <c r="X163" s="923"/>
      <c r="Y163" s="923"/>
      <c r="Z163" s="924"/>
      <c r="AA163" s="406"/>
      <c r="AB163" s="323"/>
      <c r="AC163" s="922" t="s">
        <v>313</v>
      </c>
      <c r="AD163" s="923"/>
      <c r="AE163" s="923"/>
      <c r="AF163" s="923"/>
      <c r="AG163" s="924"/>
      <c r="AH163" s="406"/>
    </row>
    <row r="164" spans="1:34" ht="16.5" thickBot="1">
      <c r="A164" s="925"/>
      <c r="B164" s="926"/>
      <c r="C164" s="926"/>
      <c r="D164" s="926"/>
      <c r="E164" s="927"/>
      <c r="F164" s="422"/>
      <c r="G164" s="323"/>
      <c r="H164" s="925"/>
      <c r="I164" s="926"/>
      <c r="J164" s="926"/>
      <c r="K164" s="926"/>
      <c r="L164" s="927"/>
      <c r="M164" s="406"/>
      <c r="N164" s="323"/>
      <c r="O164" s="925"/>
      <c r="P164" s="926"/>
      <c r="Q164" s="926"/>
      <c r="R164" s="926"/>
      <c r="S164" s="927"/>
      <c r="T164" s="406"/>
      <c r="U164" s="323"/>
      <c r="V164" s="925"/>
      <c r="W164" s="926"/>
      <c r="X164" s="926"/>
      <c r="Y164" s="926"/>
      <c r="Z164" s="927"/>
      <c r="AA164" s="406"/>
      <c r="AB164" s="323"/>
      <c r="AC164" s="925"/>
      <c r="AD164" s="926"/>
      <c r="AE164" s="926"/>
      <c r="AF164" s="926"/>
      <c r="AG164" s="927"/>
      <c r="AH164" s="406"/>
    </row>
    <row r="165" spans="1:34" ht="16.5" thickBot="1">
      <c r="A165" s="671" t="s">
        <v>314</v>
      </c>
      <c r="B165" s="711"/>
      <c r="C165" s="711"/>
      <c r="D165" s="711"/>
      <c r="E165" s="648"/>
      <c r="F165" s="423"/>
      <c r="G165" s="323"/>
      <c r="H165" s="716" t="s">
        <v>314</v>
      </c>
      <c r="I165" s="711"/>
      <c r="J165" s="711"/>
      <c r="K165" s="711"/>
      <c r="L165" s="711"/>
      <c r="M165" s="338"/>
      <c r="N165" s="323"/>
      <c r="O165" s="716" t="s">
        <v>314</v>
      </c>
      <c r="P165" s="711"/>
      <c r="Q165" s="711"/>
      <c r="R165" s="711"/>
      <c r="S165" s="711"/>
      <c r="T165" s="338"/>
      <c r="U165" s="323"/>
      <c r="V165" s="716" t="s">
        <v>314</v>
      </c>
      <c r="W165" s="711"/>
      <c r="X165" s="711"/>
      <c r="Y165" s="711"/>
      <c r="Z165" s="711"/>
      <c r="AA165" s="338"/>
      <c r="AB165" s="323"/>
      <c r="AC165" s="716" t="s">
        <v>314</v>
      </c>
      <c r="AD165" s="711"/>
      <c r="AE165" s="711"/>
      <c r="AF165" s="711"/>
      <c r="AG165" s="711"/>
      <c r="AH165" s="338"/>
    </row>
    <row r="166" spans="1:34" ht="12.75">
      <c r="A166" s="424"/>
      <c r="B166" s="175"/>
      <c r="C166" s="425"/>
      <c r="D166" s="425"/>
      <c r="E166" s="426"/>
      <c r="F166" s="316"/>
      <c r="G166" s="323"/>
      <c r="H166" s="175"/>
      <c r="I166" s="175"/>
      <c r="J166" s="425"/>
      <c r="K166" s="425"/>
      <c r="L166" s="427"/>
      <c r="M166" s="317"/>
      <c r="N166" s="323"/>
      <c r="O166" s="175"/>
      <c r="P166" s="175"/>
      <c r="Q166" s="425"/>
      <c r="R166" s="425"/>
      <c r="S166" s="427"/>
      <c r="T166" s="317"/>
      <c r="U166" s="323"/>
      <c r="V166" s="175"/>
      <c r="W166" s="175"/>
      <c r="X166" s="425"/>
      <c r="Y166" s="425"/>
      <c r="Z166" s="427"/>
      <c r="AA166" s="317"/>
      <c r="AB166" s="323"/>
      <c r="AC166" s="175"/>
      <c r="AD166" s="175"/>
      <c r="AE166" s="425"/>
      <c r="AF166" s="425"/>
      <c r="AG166" s="427"/>
      <c r="AH166" s="317"/>
    </row>
    <row r="167" spans="1:34" ht="12.75">
      <c r="A167" s="672" t="s">
        <v>431</v>
      </c>
      <c r="B167" s="673">
        <f>B159</f>
        <v>60</v>
      </c>
      <c r="C167" s="428"/>
      <c r="D167" s="428"/>
      <c r="E167" s="429"/>
      <c r="F167" s="316"/>
      <c r="G167" s="323"/>
      <c r="H167" s="717" t="s">
        <v>422</v>
      </c>
      <c r="I167" s="673">
        <f>I159</f>
        <v>120</v>
      </c>
      <c r="J167" s="428"/>
      <c r="K167" s="428"/>
      <c r="L167" s="430"/>
      <c r="M167" s="317"/>
      <c r="N167" s="323"/>
      <c r="O167" s="717" t="s">
        <v>423</v>
      </c>
      <c r="P167" s="673">
        <f>P159</f>
        <v>180</v>
      </c>
      <c r="Q167" s="428"/>
      <c r="R167" s="428"/>
      <c r="S167" s="430"/>
      <c r="T167" s="317"/>
      <c r="U167" s="323"/>
      <c r="V167" s="717" t="s">
        <v>424</v>
      </c>
      <c r="W167" s="673">
        <f>W159</f>
        <v>240</v>
      </c>
      <c r="X167" s="428"/>
      <c r="Y167" s="428"/>
      <c r="Z167" s="430"/>
      <c r="AA167" s="317"/>
      <c r="AB167" s="323"/>
      <c r="AC167" s="717" t="s">
        <v>425</v>
      </c>
      <c r="AD167" s="673">
        <f>AD159</f>
        <v>240</v>
      </c>
      <c r="AE167" s="428"/>
      <c r="AF167" s="428"/>
      <c r="AG167" s="430"/>
      <c r="AH167" s="317"/>
    </row>
    <row r="168" spans="1:34" ht="13.5" thickBot="1">
      <c r="A168" s="674" t="s">
        <v>315</v>
      </c>
      <c r="B168" s="675">
        <v>750</v>
      </c>
      <c r="C168" s="428"/>
      <c r="D168" s="428"/>
      <c r="E168" s="431"/>
      <c r="F168" s="316"/>
      <c r="G168" s="323"/>
      <c r="H168" s="718" t="s">
        <v>315</v>
      </c>
      <c r="I168" s="675">
        <v>750</v>
      </c>
      <c r="J168" s="428"/>
      <c r="K168" s="428"/>
      <c r="L168" s="432"/>
      <c r="M168" s="317"/>
      <c r="N168" s="323"/>
      <c r="O168" s="718" t="s">
        <v>315</v>
      </c>
      <c r="P168" s="675">
        <v>750</v>
      </c>
      <c r="Q168" s="428"/>
      <c r="R168" s="428"/>
      <c r="S168" s="432"/>
      <c r="T168" s="317"/>
      <c r="U168" s="323"/>
      <c r="V168" s="718" t="s">
        <v>315</v>
      </c>
      <c r="W168" s="675">
        <v>750</v>
      </c>
      <c r="X168" s="428"/>
      <c r="Y168" s="428"/>
      <c r="Z168" s="432"/>
      <c r="AA168" s="317"/>
      <c r="AB168" s="323"/>
      <c r="AC168" s="718" t="s">
        <v>315</v>
      </c>
      <c r="AD168" s="675">
        <v>750</v>
      </c>
      <c r="AE168" s="428"/>
      <c r="AF168" s="428"/>
      <c r="AG168" s="432"/>
      <c r="AH168" s="317"/>
    </row>
    <row r="169" spans="1:34" ht="13.5" thickBot="1">
      <c r="A169" s="668" t="s">
        <v>131</v>
      </c>
      <c r="B169" s="492">
        <f>B167*B168</f>
        <v>45000</v>
      </c>
      <c r="C169" s="30"/>
      <c r="D169" s="30"/>
      <c r="E169" s="433"/>
      <c r="F169" s="316"/>
      <c r="G169" s="323"/>
      <c r="H169" s="719" t="s">
        <v>131</v>
      </c>
      <c r="I169" s="492">
        <f>I167*I168</f>
        <v>90000</v>
      </c>
      <c r="J169" s="30"/>
      <c r="K169" s="30"/>
      <c r="L169" s="434"/>
      <c r="M169" s="317"/>
      <c r="N169" s="323"/>
      <c r="O169" s="719" t="s">
        <v>131</v>
      </c>
      <c r="P169" s="492">
        <f>P167*P168</f>
        <v>135000</v>
      </c>
      <c r="Q169" s="30"/>
      <c r="R169" s="30"/>
      <c r="S169" s="434"/>
      <c r="T169" s="317"/>
      <c r="U169" s="323"/>
      <c r="V169" s="719" t="s">
        <v>131</v>
      </c>
      <c r="W169" s="492">
        <f>W167*W168</f>
        <v>180000</v>
      </c>
      <c r="X169" s="30"/>
      <c r="Y169" s="30"/>
      <c r="Z169" s="434"/>
      <c r="AA169" s="317"/>
      <c r="AB169" s="323"/>
      <c r="AC169" s="719" t="s">
        <v>131</v>
      </c>
      <c r="AD169" s="492">
        <f>AD167*AD168</f>
        <v>180000</v>
      </c>
      <c r="AE169" s="30"/>
      <c r="AF169" s="30"/>
      <c r="AG169" s="434"/>
      <c r="AH169" s="317"/>
    </row>
    <row r="170" spans="1:34" ht="13.5" thickBot="1">
      <c r="A170" s="435"/>
      <c r="B170" s="436"/>
      <c r="C170" s="437"/>
      <c r="D170" s="437"/>
      <c r="E170" s="438"/>
      <c r="F170" s="316"/>
      <c r="G170" s="323"/>
      <c r="H170" s="436"/>
      <c r="I170" s="436"/>
      <c r="J170" s="437"/>
      <c r="K170" s="437"/>
      <c r="L170" s="439"/>
      <c r="M170" s="317"/>
      <c r="N170" s="323"/>
      <c r="O170" s="436"/>
      <c r="P170" s="436"/>
      <c r="Q170" s="437"/>
      <c r="R170" s="437"/>
      <c r="S170" s="439"/>
      <c r="T170" s="317"/>
      <c r="U170" s="323"/>
      <c r="V170" s="436"/>
      <c r="W170" s="436"/>
      <c r="X170" s="437"/>
      <c r="Y170" s="437"/>
      <c r="Z170" s="439"/>
      <c r="AA170" s="317"/>
      <c r="AB170" s="323"/>
      <c r="AC170" s="436"/>
      <c r="AD170" s="436"/>
      <c r="AE170" s="437"/>
      <c r="AF170" s="437"/>
      <c r="AG170" s="439"/>
      <c r="AH170" s="317"/>
    </row>
    <row r="171" spans="1:34" ht="13.5" thickBot="1">
      <c r="A171" s="440"/>
      <c r="B171" s="441"/>
      <c r="C171" s="441"/>
      <c r="D171" s="441"/>
      <c r="E171" s="442"/>
      <c r="F171" s="443"/>
      <c r="G171" s="323"/>
      <c r="H171" s="441"/>
      <c r="I171" s="441"/>
      <c r="J171" s="441"/>
      <c r="K171" s="441"/>
      <c r="L171" s="442"/>
      <c r="M171" s="444"/>
      <c r="N171" s="323"/>
      <c r="O171" s="441"/>
      <c r="P171" s="441"/>
      <c r="Q171" s="441"/>
      <c r="R171" s="441"/>
      <c r="S171" s="442"/>
      <c r="T171" s="444"/>
      <c r="U171" s="323"/>
      <c r="V171" s="441"/>
      <c r="W171" s="441"/>
      <c r="X171" s="441"/>
      <c r="Y171" s="441"/>
      <c r="Z171" s="442"/>
      <c r="AA171" s="444"/>
      <c r="AB171" s="323"/>
      <c r="AC171" s="441"/>
      <c r="AD171" s="441"/>
      <c r="AE171" s="441"/>
      <c r="AF171" s="441"/>
      <c r="AG171" s="442"/>
      <c r="AH171" s="444"/>
    </row>
    <row r="172" spans="1:34" ht="12.75">
      <c r="A172" s="420"/>
      <c r="B172" s="184"/>
      <c r="C172" s="184"/>
      <c r="D172" s="184"/>
      <c r="E172" s="342"/>
      <c r="F172" s="316"/>
      <c r="G172" s="323"/>
      <c r="H172" s="19"/>
      <c r="I172" s="19"/>
      <c r="J172" s="19"/>
      <c r="K172" s="19"/>
      <c r="L172" s="445"/>
      <c r="M172" s="317"/>
      <c r="N172" s="323"/>
      <c r="O172" s="19"/>
      <c r="P172" s="19"/>
      <c r="Q172" s="19"/>
      <c r="R172" s="19"/>
      <c r="S172" s="445"/>
      <c r="T172" s="317"/>
      <c r="U172" s="323"/>
      <c r="V172" s="19"/>
      <c r="W172" s="19"/>
      <c r="X172" s="19"/>
      <c r="Y172" s="19"/>
      <c r="Z172" s="445"/>
      <c r="AA172" s="317"/>
      <c r="AB172" s="323"/>
      <c r="AC172" s="19"/>
      <c r="AD172" s="19"/>
      <c r="AE172" s="19"/>
      <c r="AF172" s="19"/>
      <c r="AG172" s="445"/>
      <c r="AH172" s="317"/>
    </row>
    <row r="173" spans="1:34" ht="12.75">
      <c r="A173" s="420"/>
      <c r="B173" s="184"/>
      <c r="C173" s="184"/>
      <c r="D173" s="184"/>
      <c r="E173" s="342"/>
      <c r="F173" s="316"/>
      <c r="G173" s="323"/>
      <c r="H173" s="19"/>
      <c r="I173" s="19"/>
      <c r="J173" s="19"/>
      <c r="K173" s="19"/>
      <c r="L173" s="445"/>
      <c r="M173" s="317"/>
      <c r="N173" s="323"/>
      <c r="O173" s="19"/>
      <c r="P173" s="19"/>
      <c r="Q173" s="19"/>
      <c r="R173" s="19"/>
      <c r="S173" s="445"/>
      <c r="T173" s="317"/>
      <c r="U173" s="323"/>
      <c r="V173" s="19"/>
      <c r="W173" s="19"/>
      <c r="X173" s="19"/>
      <c r="Y173" s="19"/>
      <c r="Z173" s="445"/>
      <c r="AA173" s="317"/>
      <c r="AB173" s="323"/>
      <c r="AC173" s="19"/>
      <c r="AD173" s="19"/>
      <c r="AE173" s="19"/>
      <c r="AF173" s="19"/>
      <c r="AG173" s="445"/>
      <c r="AH173" s="317"/>
    </row>
    <row r="174" spans="1:34" ht="12.75">
      <c r="A174" s="420"/>
      <c r="B174" s="184"/>
      <c r="C174" s="184"/>
      <c r="D174" s="184"/>
      <c r="E174" s="342"/>
      <c r="F174" s="316"/>
      <c r="G174" s="323"/>
      <c r="H174" s="19"/>
      <c r="I174" s="19"/>
      <c r="J174" s="19"/>
      <c r="K174" s="19"/>
      <c r="L174" s="445"/>
      <c r="M174" s="317"/>
      <c r="N174" s="323"/>
      <c r="O174" s="19"/>
      <c r="P174" s="19"/>
      <c r="Q174" s="19"/>
      <c r="R174" s="19"/>
      <c r="S174" s="445"/>
      <c r="T174" s="317"/>
      <c r="U174" s="323"/>
      <c r="V174" s="19"/>
      <c r="W174" s="19"/>
      <c r="X174" s="19"/>
      <c r="Y174" s="19"/>
      <c r="Z174" s="445"/>
      <c r="AA174" s="317"/>
      <c r="AB174" s="323"/>
      <c r="AC174" s="19"/>
      <c r="AD174" s="19"/>
      <c r="AE174" s="19"/>
      <c r="AF174" s="19"/>
      <c r="AG174" s="445"/>
      <c r="AH174" s="317"/>
    </row>
    <row r="175" spans="1:34" ht="12.75">
      <c r="A175" s="420"/>
      <c r="B175" s="184"/>
      <c r="C175" s="184"/>
      <c r="D175" s="184"/>
      <c r="E175" s="342"/>
      <c r="F175" s="316"/>
      <c r="G175" s="323"/>
      <c r="H175" s="19"/>
      <c r="I175" s="19"/>
      <c r="J175" s="19"/>
      <c r="K175" s="19"/>
      <c r="L175" s="445"/>
      <c r="M175" s="317"/>
      <c r="N175" s="323"/>
      <c r="O175" s="19"/>
      <c r="P175" s="19"/>
      <c r="Q175" s="19"/>
      <c r="R175" s="19"/>
      <c r="S175" s="445"/>
      <c r="T175" s="317"/>
      <c r="U175" s="323"/>
      <c r="V175" s="19"/>
      <c r="W175" s="19"/>
      <c r="X175" s="19"/>
      <c r="Y175" s="19"/>
      <c r="Z175" s="445"/>
      <c r="AA175" s="317"/>
      <c r="AB175" s="323"/>
      <c r="AC175" s="19"/>
      <c r="AD175" s="19"/>
      <c r="AE175" s="19"/>
      <c r="AF175" s="19"/>
      <c r="AG175" s="445"/>
      <c r="AH175" s="317"/>
    </row>
    <row r="176" spans="1:34" ht="12.75">
      <c r="A176" s="420"/>
      <c r="B176" s="184"/>
      <c r="C176" s="184"/>
      <c r="D176" s="184"/>
      <c r="E176" s="342"/>
      <c r="F176" s="316"/>
      <c r="G176" s="323"/>
      <c r="H176" s="19"/>
      <c r="I176" s="19"/>
      <c r="J176" s="19"/>
      <c r="K176" s="19"/>
      <c r="L176" s="445"/>
      <c r="M176" s="317"/>
      <c r="N176" s="323"/>
      <c r="O176" s="19"/>
      <c r="P176" s="19"/>
      <c r="Q176" s="19"/>
      <c r="R176" s="19"/>
      <c r="S176" s="445"/>
      <c r="T176" s="317"/>
      <c r="U176" s="323"/>
      <c r="V176" s="19"/>
      <c r="W176" s="19"/>
      <c r="X176" s="19"/>
      <c r="Y176" s="19"/>
      <c r="Z176" s="445"/>
      <c r="AA176" s="317"/>
      <c r="AB176" s="323"/>
      <c r="AC176" s="19"/>
      <c r="AD176" s="19"/>
      <c r="AE176" s="19"/>
      <c r="AF176" s="19"/>
      <c r="AG176" s="445"/>
      <c r="AH176" s="317"/>
    </row>
    <row r="177" spans="1:34" ht="13.5" thickBot="1">
      <c r="A177" s="420"/>
      <c r="B177" s="184"/>
      <c r="C177" s="184"/>
      <c r="D177" s="184"/>
      <c r="E177" s="342"/>
      <c r="F177" s="316"/>
      <c r="G177" s="323"/>
      <c r="H177" s="19"/>
      <c r="I177" s="19"/>
      <c r="J177" s="19"/>
      <c r="K177" s="19"/>
      <c r="L177" s="445"/>
      <c r="M177" s="444"/>
      <c r="N177" s="323"/>
      <c r="O177" s="19"/>
      <c r="P177" s="19"/>
      <c r="Q177" s="19"/>
      <c r="R177" s="19"/>
      <c r="S177" s="445"/>
      <c r="T177" s="444"/>
      <c r="U177" s="323"/>
      <c r="V177" s="19"/>
      <c r="W177" s="19"/>
      <c r="X177" s="19"/>
      <c r="Y177" s="19"/>
      <c r="Z177" s="445"/>
      <c r="AA177" s="444"/>
      <c r="AB177" s="323"/>
      <c r="AC177" s="19"/>
      <c r="AD177" s="19"/>
      <c r="AE177" s="19"/>
      <c r="AF177" s="19"/>
      <c r="AG177" s="445"/>
      <c r="AH177" s="444"/>
    </row>
    <row r="178" spans="1:34" ht="12.75" customHeight="1">
      <c r="A178" s="922" t="s">
        <v>15</v>
      </c>
      <c r="B178" s="923"/>
      <c r="C178" s="923"/>
      <c r="D178" s="923"/>
      <c r="E178" s="923"/>
      <c r="F178" s="924"/>
      <c r="G178" s="323"/>
      <c r="H178" s="922" t="s">
        <v>15</v>
      </c>
      <c r="I178" s="923"/>
      <c r="J178" s="923"/>
      <c r="K178" s="923"/>
      <c r="L178" s="923"/>
      <c r="M178" s="924"/>
      <c r="N178" s="323"/>
      <c r="O178" s="922" t="s">
        <v>15</v>
      </c>
      <c r="P178" s="923"/>
      <c r="Q178" s="923"/>
      <c r="R178" s="923"/>
      <c r="S178" s="923"/>
      <c r="T178" s="924"/>
      <c r="U178" s="323"/>
      <c r="V178" s="922" t="s">
        <v>15</v>
      </c>
      <c r="W178" s="923"/>
      <c r="X178" s="923"/>
      <c r="Y178" s="923"/>
      <c r="Z178" s="923"/>
      <c r="AA178" s="924"/>
      <c r="AB178" s="323"/>
      <c r="AC178" s="922" t="s">
        <v>15</v>
      </c>
      <c r="AD178" s="923"/>
      <c r="AE178" s="923"/>
      <c r="AF178" s="923"/>
      <c r="AG178" s="923"/>
      <c r="AH178" s="924"/>
    </row>
    <row r="179" spans="1:34" ht="13.5" customHeight="1" thickBot="1">
      <c r="A179" s="925"/>
      <c r="B179" s="926"/>
      <c r="C179" s="926"/>
      <c r="D179" s="926"/>
      <c r="E179" s="926"/>
      <c r="F179" s="927"/>
      <c r="G179" s="323"/>
      <c r="H179" s="925"/>
      <c r="I179" s="926"/>
      <c r="J179" s="926"/>
      <c r="K179" s="926"/>
      <c r="L179" s="926"/>
      <c r="M179" s="927"/>
      <c r="N179" s="323"/>
      <c r="O179" s="925"/>
      <c r="P179" s="926"/>
      <c r="Q179" s="926"/>
      <c r="R179" s="926"/>
      <c r="S179" s="926"/>
      <c r="T179" s="927"/>
      <c r="U179" s="323"/>
      <c r="V179" s="925"/>
      <c r="W179" s="926"/>
      <c r="X179" s="926"/>
      <c r="Y179" s="926"/>
      <c r="Z179" s="926"/>
      <c r="AA179" s="927"/>
      <c r="AB179" s="323"/>
      <c r="AC179" s="925"/>
      <c r="AD179" s="926"/>
      <c r="AE179" s="926"/>
      <c r="AF179" s="926"/>
      <c r="AG179" s="926"/>
      <c r="AH179" s="927"/>
    </row>
    <row r="180" spans="1:34" ht="12.75" customHeight="1">
      <c r="A180" s="914" t="s">
        <v>316</v>
      </c>
      <c r="B180" s="915"/>
      <c r="C180" s="915"/>
      <c r="D180" s="915"/>
      <c r="E180" s="915"/>
      <c r="F180" s="916"/>
      <c r="G180" s="323"/>
      <c r="H180" s="914" t="s">
        <v>316</v>
      </c>
      <c r="I180" s="915"/>
      <c r="J180" s="915"/>
      <c r="K180" s="915"/>
      <c r="L180" s="915"/>
      <c r="M180" s="916"/>
      <c r="N180" s="323"/>
      <c r="O180" s="914" t="s">
        <v>316</v>
      </c>
      <c r="P180" s="915"/>
      <c r="Q180" s="915"/>
      <c r="R180" s="915"/>
      <c r="S180" s="915"/>
      <c r="T180" s="916"/>
      <c r="U180" s="323"/>
      <c r="V180" s="914" t="s">
        <v>316</v>
      </c>
      <c r="W180" s="915"/>
      <c r="X180" s="915"/>
      <c r="Y180" s="915"/>
      <c r="Z180" s="915"/>
      <c r="AA180" s="916"/>
      <c r="AB180" s="323"/>
      <c r="AC180" s="914" t="s">
        <v>316</v>
      </c>
      <c r="AD180" s="915"/>
      <c r="AE180" s="915"/>
      <c r="AF180" s="915"/>
      <c r="AG180" s="915"/>
      <c r="AH180" s="916"/>
    </row>
    <row r="181" spans="1:34" ht="13.5" thickBot="1">
      <c r="A181" s="917"/>
      <c r="B181" s="918"/>
      <c r="C181" s="918"/>
      <c r="D181" s="918"/>
      <c r="E181" s="918"/>
      <c r="F181" s="919"/>
      <c r="G181" s="323"/>
      <c r="H181" s="917"/>
      <c r="I181" s="918"/>
      <c r="J181" s="918"/>
      <c r="K181" s="918"/>
      <c r="L181" s="918"/>
      <c r="M181" s="919"/>
      <c r="N181" s="323"/>
      <c r="O181" s="917"/>
      <c r="P181" s="918"/>
      <c r="Q181" s="918"/>
      <c r="R181" s="918"/>
      <c r="S181" s="918"/>
      <c r="T181" s="919"/>
      <c r="U181" s="323"/>
      <c r="V181" s="917"/>
      <c r="W181" s="918"/>
      <c r="X181" s="918"/>
      <c r="Y181" s="918"/>
      <c r="Z181" s="918"/>
      <c r="AA181" s="919"/>
      <c r="AB181" s="323"/>
      <c r="AC181" s="917"/>
      <c r="AD181" s="918"/>
      <c r="AE181" s="918"/>
      <c r="AF181" s="918"/>
      <c r="AG181" s="918"/>
      <c r="AH181" s="919"/>
    </row>
    <row r="182" spans="1:33" ht="13.5" thickBot="1">
      <c r="A182" s="424"/>
      <c r="B182" s="175"/>
      <c r="C182" s="175"/>
      <c r="D182" s="175"/>
      <c r="E182" s="405"/>
      <c r="F182" s="369"/>
      <c r="G182" s="323"/>
      <c r="L182" s="446"/>
      <c r="N182" s="323"/>
      <c r="S182" s="446"/>
      <c r="U182" s="323"/>
      <c r="Z182" s="446"/>
      <c r="AB182" s="323"/>
      <c r="AG182" s="446"/>
    </row>
    <row r="183" spans="1:34" ht="15.75" customHeight="1" thickBot="1">
      <c r="A183" s="920" t="s">
        <v>437</v>
      </c>
      <c r="B183" s="921"/>
      <c r="C183" s="676">
        <v>0.15</v>
      </c>
      <c r="D183" s="447"/>
      <c r="E183" s="448"/>
      <c r="F183" s="449"/>
      <c r="G183" s="323"/>
      <c r="H183" s="920" t="s">
        <v>438</v>
      </c>
      <c r="I183" s="921"/>
      <c r="J183" s="676">
        <v>0.15</v>
      </c>
      <c r="K183" s="447"/>
      <c r="L183" s="448"/>
      <c r="M183" s="449"/>
      <c r="N183" s="323"/>
      <c r="O183" s="920" t="s">
        <v>439</v>
      </c>
      <c r="P183" s="921"/>
      <c r="Q183" s="676">
        <v>0.15</v>
      </c>
      <c r="R183" s="447"/>
      <c r="S183" s="448"/>
      <c r="T183" s="449"/>
      <c r="U183" s="323"/>
      <c r="V183" s="920" t="s">
        <v>440</v>
      </c>
      <c r="W183" s="921"/>
      <c r="X183" s="676">
        <v>0.15</v>
      </c>
      <c r="Y183" s="447"/>
      <c r="Z183" s="448"/>
      <c r="AA183" s="449"/>
      <c r="AB183" s="323"/>
      <c r="AC183" s="920" t="s">
        <v>441</v>
      </c>
      <c r="AD183" s="921"/>
      <c r="AE183" s="676">
        <v>0.15</v>
      </c>
      <c r="AF183" s="447"/>
      <c r="AG183" s="448"/>
      <c r="AH183" s="449"/>
    </row>
    <row r="184" spans="1:34" ht="33" customHeight="1" thickBot="1">
      <c r="A184" s="911" t="s">
        <v>317</v>
      </c>
      <c r="B184" s="912"/>
      <c r="C184" s="912"/>
      <c r="D184" s="912"/>
      <c r="E184" s="912"/>
      <c r="F184" s="913"/>
      <c r="G184" s="323"/>
      <c r="H184" s="911" t="s">
        <v>317</v>
      </c>
      <c r="I184" s="912"/>
      <c r="J184" s="912"/>
      <c r="K184" s="912"/>
      <c r="L184" s="912"/>
      <c r="M184" s="913"/>
      <c r="N184" s="323"/>
      <c r="O184" s="911" t="s">
        <v>317</v>
      </c>
      <c r="P184" s="912"/>
      <c r="Q184" s="912"/>
      <c r="R184" s="912"/>
      <c r="S184" s="912"/>
      <c r="T184" s="913"/>
      <c r="U184" s="323"/>
      <c r="V184" s="911" t="s">
        <v>317</v>
      </c>
      <c r="W184" s="912"/>
      <c r="X184" s="912"/>
      <c r="Y184" s="912"/>
      <c r="Z184" s="912"/>
      <c r="AA184" s="913"/>
      <c r="AB184" s="323"/>
      <c r="AC184" s="911" t="s">
        <v>317</v>
      </c>
      <c r="AD184" s="912"/>
      <c r="AE184" s="912"/>
      <c r="AF184" s="912"/>
      <c r="AG184" s="912"/>
      <c r="AH184" s="913"/>
    </row>
    <row r="185" spans="1:34" ht="12.75">
      <c r="A185" s="905" t="s">
        <v>318</v>
      </c>
      <c r="B185" s="906"/>
      <c r="C185" s="906"/>
      <c r="D185" s="906"/>
      <c r="E185" s="906"/>
      <c r="F185" s="907"/>
      <c r="G185" s="323"/>
      <c r="H185" s="905" t="s">
        <v>318</v>
      </c>
      <c r="I185" s="906"/>
      <c r="J185" s="906"/>
      <c r="K185" s="906"/>
      <c r="L185" s="906"/>
      <c r="M185" s="907"/>
      <c r="N185" s="323"/>
      <c r="O185" s="905" t="s">
        <v>318</v>
      </c>
      <c r="P185" s="906"/>
      <c r="Q185" s="906"/>
      <c r="R185" s="906"/>
      <c r="S185" s="906"/>
      <c r="T185" s="907"/>
      <c r="U185" s="323"/>
      <c r="V185" s="905" t="s">
        <v>318</v>
      </c>
      <c r="W185" s="906"/>
      <c r="X185" s="906"/>
      <c r="Y185" s="906"/>
      <c r="Z185" s="906"/>
      <c r="AA185" s="907"/>
      <c r="AB185" s="323"/>
      <c r="AC185" s="905" t="s">
        <v>318</v>
      </c>
      <c r="AD185" s="906"/>
      <c r="AE185" s="906"/>
      <c r="AF185" s="906"/>
      <c r="AG185" s="906"/>
      <c r="AH185" s="907"/>
    </row>
    <row r="186" spans="1:34" ht="13.5" thickBot="1">
      <c r="A186" s="908"/>
      <c r="B186" s="909"/>
      <c r="C186" s="909"/>
      <c r="D186" s="909"/>
      <c r="E186" s="909"/>
      <c r="F186" s="910"/>
      <c r="G186" s="323"/>
      <c r="H186" s="908"/>
      <c r="I186" s="909"/>
      <c r="J186" s="909"/>
      <c r="K186" s="909"/>
      <c r="L186" s="909"/>
      <c r="M186" s="910"/>
      <c r="N186" s="323"/>
      <c r="O186" s="908"/>
      <c r="P186" s="909"/>
      <c r="Q186" s="909"/>
      <c r="R186" s="909"/>
      <c r="S186" s="909"/>
      <c r="T186" s="910"/>
      <c r="U186" s="323"/>
      <c r="V186" s="908"/>
      <c r="W186" s="909"/>
      <c r="X186" s="909"/>
      <c r="Y186" s="909"/>
      <c r="Z186" s="909"/>
      <c r="AA186" s="910"/>
      <c r="AB186" s="323"/>
      <c r="AC186" s="908"/>
      <c r="AD186" s="909"/>
      <c r="AE186" s="909"/>
      <c r="AF186" s="909"/>
      <c r="AG186" s="909"/>
      <c r="AH186" s="910"/>
    </row>
    <row r="187" spans="1:34" ht="39" thickBot="1">
      <c r="A187" s="677" t="s">
        <v>319</v>
      </c>
      <c r="B187" s="637" t="s">
        <v>320</v>
      </c>
      <c r="C187" s="678" t="s">
        <v>442</v>
      </c>
      <c r="D187" s="637" t="s">
        <v>321</v>
      </c>
      <c r="E187" s="678" t="s">
        <v>322</v>
      </c>
      <c r="F187" s="450"/>
      <c r="G187" s="323"/>
      <c r="H187" s="720" t="s">
        <v>319</v>
      </c>
      <c r="I187" s="637" t="s">
        <v>320</v>
      </c>
      <c r="J187" s="678" t="s">
        <v>442</v>
      </c>
      <c r="K187" s="637" t="s">
        <v>321</v>
      </c>
      <c r="L187" s="678" t="s">
        <v>322</v>
      </c>
      <c r="M187" s="450"/>
      <c r="N187" s="323"/>
      <c r="O187" s="720" t="s">
        <v>319</v>
      </c>
      <c r="P187" s="637" t="s">
        <v>320</v>
      </c>
      <c r="Q187" s="678" t="s">
        <v>442</v>
      </c>
      <c r="R187" s="637" t="s">
        <v>321</v>
      </c>
      <c r="S187" s="678" t="s">
        <v>322</v>
      </c>
      <c r="T187" s="450"/>
      <c r="U187" s="323"/>
      <c r="V187" s="720" t="s">
        <v>319</v>
      </c>
      <c r="W187" s="637" t="s">
        <v>320</v>
      </c>
      <c r="X187" s="678" t="s">
        <v>442</v>
      </c>
      <c r="Y187" s="637" t="s">
        <v>321</v>
      </c>
      <c r="Z187" s="678" t="s">
        <v>322</v>
      </c>
      <c r="AA187" s="450"/>
      <c r="AB187" s="323"/>
      <c r="AC187" s="720" t="s">
        <v>319</v>
      </c>
      <c r="AD187" s="637" t="s">
        <v>320</v>
      </c>
      <c r="AE187" s="678" t="s">
        <v>442</v>
      </c>
      <c r="AF187" s="637" t="s">
        <v>321</v>
      </c>
      <c r="AG187" s="678" t="s">
        <v>322</v>
      </c>
      <c r="AH187" s="450"/>
    </row>
    <row r="188" spans="1:34" ht="12.75">
      <c r="A188" s="679" t="s">
        <v>323</v>
      </c>
      <c r="B188" s="680">
        <f>Personnel!E8</f>
        <v>0.5</v>
      </c>
      <c r="C188" s="681">
        <f>Personnel!E120</f>
        <v>25000</v>
      </c>
      <c r="D188" s="686">
        <f>100%+$C$183</f>
        <v>1.15</v>
      </c>
      <c r="E188" s="695">
        <f>C188*D188</f>
        <v>28749.999999999996</v>
      </c>
      <c r="F188" s="304"/>
      <c r="G188" s="323"/>
      <c r="H188" s="721" t="s">
        <v>323</v>
      </c>
      <c r="I188" s="680">
        <f>Personnel!G8</f>
        <v>1</v>
      </c>
      <c r="J188" s="681">
        <f>Personnel!G120</f>
        <v>51500</v>
      </c>
      <c r="K188" s="686">
        <f>100%+$J$183</f>
        <v>1.15</v>
      </c>
      <c r="L188" s="695">
        <f>J188*K188</f>
        <v>59224.99999999999</v>
      </c>
      <c r="M188" s="304"/>
      <c r="N188" s="323"/>
      <c r="O188" s="721" t="s">
        <v>323</v>
      </c>
      <c r="P188" s="680">
        <f>Personnel!I8</f>
        <v>1</v>
      </c>
      <c r="Q188" s="681">
        <f>Personnel!I120</f>
        <v>53045</v>
      </c>
      <c r="R188" s="686">
        <f>100%+$Q$183</f>
        <v>1.15</v>
      </c>
      <c r="S188" s="695">
        <f>Q188*R188</f>
        <v>61001.74999999999</v>
      </c>
      <c r="T188" s="304"/>
      <c r="U188" s="323"/>
      <c r="V188" s="721" t="s">
        <v>323</v>
      </c>
      <c r="W188" s="680">
        <f>Personnel!K8</f>
        <v>1</v>
      </c>
      <c r="X188" s="681">
        <f>Personnel!K120</f>
        <v>54636.35</v>
      </c>
      <c r="Y188" s="686">
        <f>100%+$X$183</f>
        <v>1.15</v>
      </c>
      <c r="Z188" s="695">
        <f>X188*Y188</f>
        <v>62831.80249999999</v>
      </c>
      <c r="AA188" s="304"/>
      <c r="AB188" s="323"/>
      <c r="AC188" s="721" t="s">
        <v>323</v>
      </c>
      <c r="AD188" s="680">
        <f>Personnel!M8</f>
        <v>1</v>
      </c>
      <c r="AE188" s="681">
        <f>Personnel!M120</f>
        <v>56275.4405</v>
      </c>
      <c r="AF188" s="686">
        <f>100%+$AE$183</f>
        <v>1.15</v>
      </c>
      <c r="AG188" s="695">
        <f>AE188*AF188</f>
        <v>64716.75657499999</v>
      </c>
      <c r="AH188" s="304"/>
    </row>
    <row r="189" spans="1:34" ht="12.75">
      <c r="A189" s="682" t="s">
        <v>324</v>
      </c>
      <c r="B189" s="680">
        <f>Personnel!E32</f>
        <v>0</v>
      </c>
      <c r="C189" s="681">
        <f>Personnel!E151</f>
        <v>0</v>
      </c>
      <c r="D189" s="686">
        <f>100%+$C$183</f>
        <v>1.15</v>
      </c>
      <c r="E189" s="695">
        <f>C189*D189</f>
        <v>0</v>
      </c>
      <c r="F189" s="304"/>
      <c r="G189" s="323"/>
      <c r="H189" s="722" t="s">
        <v>324</v>
      </c>
      <c r="I189" s="680">
        <f>Personnel!G32</f>
        <v>0</v>
      </c>
      <c r="J189" s="681">
        <f>Personnel!G151</f>
        <v>0</v>
      </c>
      <c r="K189" s="686">
        <f>100%+$J$183</f>
        <v>1.15</v>
      </c>
      <c r="L189" s="695">
        <f>J189*K189</f>
        <v>0</v>
      </c>
      <c r="M189" s="304"/>
      <c r="N189" s="323"/>
      <c r="O189" s="722" t="s">
        <v>324</v>
      </c>
      <c r="P189" s="680">
        <f>Personnel!I32</f>
        <v>0</v>
      </c>
      <c r="Q189" s="681">
        <f>Personnel!I151</f>
        <v>0</v>
      </c>
      <c r="R189" s="686">
        <f>100%+$Q$183</f>
        <v>1.15</v>
      </c>
      <c r="S189" s="695">
        <f>Q189*R189</f>
        <v>0</v>
      </c>
      <c r="T189" s="304"/>
      <c r="U189" s="323"/>
      <c r="V189" s="722" t="s">
        <v>324</v>
      </c>
      <c r="W189" s="680">
        <f>Personnel!K32</f>
        <v>0</v>
      </c>
      <c r="X189" s="681">
        <f>Personnel!K151</f>
        <v>0</v>
      </c>
      <c r="Y189" s="686">
        <f>100%+$X$183</f>
        <v>1.15</v>
      </c>
      <c r="Z189" s="695">
        <f>X189*Y189</f>
        <v>0</v>
      </c>
      <c r="AA189" s="304"/>
      <c r="AB189" s="323"/>
      <c r="AC189" s="722" t="s">
        <v>324</v>
      </c>
      <c r="AD189" s="680">
        <f>Personnel!M32</f>
        <v>0</v>
      </c>
      <c r="AE189" s="681">
        <f>Personnel!M151</f>
        <v>0</v>
      </c>
      <c r="AF189" s="686">
        <f>100%+$AE$183</f>
        <v>1.15</v>
      </c>
      <c r="AG189" s="695">
        <f>AE189*AF189</f>
        <v>0</v>
      </c>
      <c r="AH189" s="304"/>
    </row>
    <row r="190" spans="1:34" ht="12.75">
      <c r="A190" s="682" t="s">
        <v>325</v>
      </c>
      <c r="B190" s="680">
        <f>SUM(Personnel!E10:E15)</f>
        <v>0</v>
      </c>
      <c r="C190" s="681">
        <f>SUM(Personnel!E122:E127)</f>
        <v>0</v>
      </c>
      <c r="D190" s="686">
        <f>100%+$C$183</f>
        <v>1.15</v>
      </c>
      <c r="E190" s="695">
        <f>C190*D190</f>
        <v>0</v>
      </c>
      <c r="F190" s="304"/>
      <c r="G190" s="323"/>
      <c r="H190" s="722" t="s">
        <v>325</v>
      </c>
      <c r="I190" s="680">
        <f>SUM(Personnel!G10:G15)</f>
        <v>0</v>
      </c>
      <c r="J190" s="681">
        <f>SUM(Personnel!G122:G127)</f>
        <v>0</v>
      </c>
      <c r="K190" s="686">
        <f>100%+$J$183</f>
        <v>1.15</v>
      </c>
      <c r="L190" s="695">
        <f>J190*K190</f>
        <v>0</v>
      </c>
      <c r="M190" s="304"/>
      <c r="N190" s="323"/>
      <c r="O190" s="722" t="s">
        <v>325</v>
      </c>
      <c r="P190" s="680">
        <f>SUM(Personnel!I10:I15)</f>
        <v>0</v>
      </c>
      <c r="Q190" s="681">
        <f>SUM(Personnel!I122:I127)</f>
        <v>0</v>
      </c>
      <c r="R190" s="686">
        <f>100%+$Q$183</f>
        <v>1.15</v>
      </c>
      <c r="S190" s="695">
        <f>Q190*R190</f>
        <v>0</v>
      </c>
      <c r="T190" s="304"/>
      <c r="U190" s="323"/>
      <c r="V190" s="722" t="s">
        <v>325</v>
      </c>
      <c r="W190" s="680">
        <f>SUM(Personnel!K10:K15)</f>
        <v>0</v>
      </c>
      <c r="X190" s="681">
        <f>SUM(Personnel!K122:K127)</f>
        <v>0</v>
      </c>
      <c r="Y190" s="686">
        <f>100%+$X$183</f>
        <v>1.15</v>
      </c>
      <c r="Z190" s="695">
        <f>X190*Y190</f>
        <v>0</v>
      </c>
      <c r="AA190" s="304"/>
      <c r="AB190" s="323"/>
      <c r="AC190" s="722" t="s">
        <v>325</v>
      </c>
      <c r="AD190" s="680">
        <f>SUM(Personnel!M10:M15)</f>
        <v>0</v>
      </c>
      <c r="AE190" s="681">
        <f>SUM(Personnel!M122:M127)</f>
        <v>0</v>
      </c>
      <c r="AF190" s="686">
        <f>100%+$AE$183</f>
        <v>1.15</v>
      </c>
      <c r="AG190" s="695">
        <f>AE190*AF190</f>
        <v>0</v>
      </c>
      <c r="AH190" s="304"/>
    </row>
    <row r="191" spans="1:34" ht="13.5" thickBot="1">
      <c r="A191" s="644" t="s">
        <v>326</v>
      </c>
      <c r="B191" s="680">
        <f>SUM(Personnel!E34:E39)</f>
        <v>0</v>
      </c>
      <c r="C191" s="681">
        <f>SUM(Personnel!E153:E158)</f>
        <v>0</v>
      </c>
      <c r="D191" s="686">
        <f>100%+$C$183</f>
        <v>1.15</v>
      </c>
      <c r="E191" s="695">
        <f>C191*D191</f>
        <v>0</v>
      </c>
      <c r="F191" s="304"/>
      <c r="G191" s="323"/>
      <c r="H191" s="709" t="s">
        <v>326</v>
      </c>
      <c r="I191" s="680">
        <f>SUM(Personnel!G34:G39)</f>
        <v>0</v>
      </c>
      <c r="J191" s="681">
        <f>SUM(Personnel!G153:G158)</f>
        <v>0</v>
      </c>
      <c r="K191" s="686">
        <f>100%+$J$183</f>
        <v>1.15</v>
      </c>
      <c r="L191" s="695">
        <f>J191*K191</f>
        <v>0</v>
      </c>
      <c r="M191" s="304"/>
      <c r="N191" s="323"/>
      <c r="O191" s="709" t="s">
        <v>326</v>
      </c>
      <c r="P191" s="680">
        <f>SUM(Personnel!I34:I39)</f>
        <v>0</v>
      </c>
      <c r="Q191" s="681">
        <f>SUM(Personnel!I153:I158)</f>
        <v>0</v>
      </c>
      <c r="R191" s="686">
        <f>100%+$Q$183</f>
        <v>1.15</v>
      </c>
      <c r="S191" s="695">
        <f>Q191*R191</f>
        <v>0</v>
      </c>
      <c r="T191" s="304"/>
      <c r="U191" s="323"/>
      <c r="V191" s="709" t="s">
        <v>326</v>
      </c>
      <c r="W191" s="680">
        <f>SUM(Personnel!K34:K39)</f>
        <v>0</v>
      </c>
      <c r="X191" s="681">
        <f>SUM(Personnel!K153:K158)</f>
        <v>0</v>
      </c>
      <c r="Y191" s="686">
        <f>100%+$X$183</f>
        <v>1.15</v>
      </c>
      <c r="Z191" s="695">
        <f>X191*Y191</f>
        <v>0</v>
      </c>
      <c r="AA191" s="304"/>
      <c r="AB191" s="323"/>
      <c r="AC191" s="709" t="s">
        <v>326</v>
      </c>
      <c r="AD191" s="680">
        <f>SUM(Personnel!M34:M39)</f>
        <v>0</v>
      </c>
      <c r="AE191" s="681">
        <f>SUM(Personnel!M153:M158)</f>
        <v>0</v>
      </c>
      <c r="AF191" s="686">
        <f>100%+$AE$183</f>
        <v>1.15</v>
      </c>
      <c r="AG191" s="695">
        <f>AE191*AF191</f>
        <v>0</v>
      </c>
      <c r="AH191" s="304"/>
    </row>
    <row r="192" spans="1:34" ht="13.5" thickBot="1">
      <c r="A192" s="683" t="s">
        <v>327</v>
      </c>
      <c r="B192" s="684">
        <f>SUM(B188:B191)</f>
        <v>0.5</v>
      </c>
      <c r="C192" s="685">
        <f>SUM(C188:C191)</f>
        <v>25000</v>
      </c>
      <c r="D192" s="175"/>
      <c r="E192" s="492">
        <f>SUM(E188:E191)</f>
        <v>28749.999999999996</v>
      </c>
      <c r="F192" s="304"/>
      <c r="G192" s="323"/>
      <c r="H192" s="723" t="s">
        <v>327</v>
      </c>
      <c r="I192" s="684">
        <f>SUM(I188:I191)</f>
        <v>1</v>
      </c>
      <c r="J192" s="685">
        <f>SUM(J188:J191)</f>
        <v>51500</v>
      </c>
      <c r="K192" s="175"/>
      <c r="L192" s="492">
        <f>SUM(L188:L191)</f>
        <v>59224.99999999999</v>
      </c>
      <c r="M192" s="304"/>
      <c r="N192" s="323"/>
      <c r="O192" s="723" t="s">
        <v>327</v>
      </c>
      <c r="P192" s="684">
        <f>SUM(P188:P191)</f>
        <v>1</v>
      </c>
      <c r="Q192" s="685">
        <f>SUM(Q188:Q191)</f>
        <v>53045</v>
      </c>
      <c r="R192" s="175"/>
      <c r="S192" s="492">
        <f>SUM(S188:S191)</f>
        <v>61001.74999999999</v>
      </c>
      <c r="T192" s="304"/>
      <c r="U192" s="323"/>
      <c r="V192" s="723" t="s">
        <v>327</v>
      </c>
      <c r="W192" s="684">
        <f>SUM(W188:W191)</f>
        <v>1</v>
      </c>
      <c r="X192" s="685">
        <f>SUM(X188:X191)</f>
        <v>54636.35</v>
      </c>
      <c r="Y192" s="175"/>
      <c r="Z192" s="492">
        <f>SUM(Z188:Z191)</f>
        <v>62831.80249999999</v>
      </c>
      <c r="AA192" s="304"/>
      <c r="AB192" s="323"/>
      <c r="AC192" s="723" t="s">
        <v>327</v>
      </c>
      <c r="AD192" s="684">
        <f>SUM(AD188:AD191)</f>
        <v>1</v>
      </c>
      <c r="AE192" s="685">
        <f>SUM(AE188:AE191)</f>
        <v>56275.4405</v>
      </c>
      <c r="AF192" s="175"/>
      <c r="AG192" s="492">
        <f>SUM(AG188:AG191)</f>
        <v>64716.75657499999</v>
      </c>
      <c r="AH192" s="304"/>
    </row>
    <row r="193" spans="1:34" ht="12.75">
      <c r="A193" s="424"/>
      <c r="B193" s="175"/>
      <c r="C193" s="175"/>
      <c r="D193" s="175"/>
      <c r="E193" s="405"/>
      <c r="F193" s="369"/>
      <c r="G193" s="323"/>
      <c r="H193" s="175"/>
      <c r="I193" s="175"/>
      <c r="J193" s="175"/>
      <c r="K193" s="175"/>
      <c r="L193" s="405"/>
      <c r="M193" s="369"/>
      <c r="N193" s="323"/>
      <c r="O193" s="175"/>
      <c r="P193" s="175"/>
      <c r="Q193" s="175"/>
      <c r="R193" s="175"/>
      <c r="S193" s="405"/>
      <c r="T193" s="369"/>
      <c r="U193" s="323"/>
      <c r="V193" s="175"/>
      <c r="W193" s="175"/>
      <c r="X193" s="175"/>
      <c r="Y193" s="175"/>
      <c r="Z193" s="405"/>
      <c r="AA193" s="369"/>
      <c r="AB193" s="323"/>
      <c r="AC193" s="175"/>
      <c r="AD193" s="175"/>
      <c r="AE193" s="175"/>
      <c r="AF193" s="175"/>
      <c r="AG193" s="405"/>
      <c r="AH193" s="369"/>
    </row>
    <row r="194" spans="1:34" ht="12.75">
      <c r="A194" s="424"/>
      <c r="B194" s="175"/>
      <c r="C194" s="175"/>
      <c r="D194" s="175"/>
      <c r="E194" s="405"/>
      <c r="F194" s="369"/>
      <c r="G194" s="323"/>
      <c r="H194" s="175"/>
      <c r="I194" s="175"/>
      <c r="J194" s="175"/>
      <c r="K194" s="175"/>
      <c r="L194" s="405"/>
      <c r="M194" s="369"/>
      <c r="N194" s="323"/>
      <c r="O194" s="175"/>
      <c r="P194" s="175"/>
      <c r="Q194" s="175"/>
      <c r="R194" s="175"/>
      <c r="S194" s="405"/>
      <c r="T194" s="369"/>
      <c r="U194" s="323"/>
      <c r="V194" s="175"/>
      <c r="W194" s="175"/>
      <c r="X194" s="175"/>
      <c r="Y194" s="175"/>
      <c r="Z194" s="405"/>
      <c r="AA194" s="369"/>
      <c r="AB194" s="323"/>
      <c r="AC194" s="175"/>
      <c r="AD194" s="175"/>
      <c r="AE194" s="175"/>
      <c r="AF194" s="175"/>
      <c r="AG194" s="405"/>
      <c r="AH194" s="369"/>
    </row>
    <row r="195" spans="1:34" ht="12.75">
      <c r="A195" s="424"/>
      <c r="B195" s="175"/>
      <c r="C195" s="175"/>
      <c r="D195" s="175"/>
      <c r="E195" s="405"/>
      <c r="F195" s="369"/>
      <c r="G195" s="323"/>
      <c r="H195" s="175"/>
      <c r="I195" s="175"/>
      <c r="J195" s="175"/>
      <c r="K195" s="175"/>
      <c r="L195" s="405"/>
      <c r="M195" s="369"/>
      <c r="N195" s="323"/>
      <c r="O195" s="175"/>
      <c r="P195" s="175"/>
      <c r="Q195" s="175"/>
      <c r="R195" s="175"/>
      <c r="S195" s="405"/>
      <c r="T195" s="369"/>
      <c r="U195" s="323"/>
      <c r="V195" s="175"/>
      <c r="W195" s="175"/>
      <c r="X195" s="175"/>
      <c r="Y195" s="175"/>
      <c r="Z195" s="405"/>
      <c r="AA195" s="369"/>
      <c r="AB195" s="323"/>
      <c r="AC195" s="175"/>
      <c r="AD195" s="175"/>
      <c r="AE195" s="175"/>
      <c r="AF195" s="175"/>
      <c r="AG195" s="405"/>
      <c r="AH195" s="369"/>
    </row>
    <row r="196" spans="1:34" ht="15.75" thickBot="1">
      <c r="A196" s="451"/>
      <c r="B196" s="452"/>
      <c r="C196" s="174"/>
      <c r="D196" s="174"/>
      <c r="E196" s="405"/>
      <c r="F196" s="453"/>
      <c r="G196" s="323"/>
      <c r="H196" s="454"/>
      <c r="I196" s="452"/>
      <c r="J196" s="174"/>
      <c r="K196" s="174"/>
      <c r="L196" s="405"/>
      <c r="M196" s="453"/>
      <c r="N196" s="323"/>
      <c r="O196" s="454"/>
      <c r="P196" s="452"/>
      <c r="Q196" s="174"/>
      <c r="R196" s="174"/>
      <c r="S196" s="405"/>
      <c r="T196" s="453"/>
      <c r="U196" s="323"/>
      <c r="V196" s="454"/>
      <c r="W196" s="452"/>
      <c r="X196" s="174"/>
      <c r="Y196" s="174"/>
      <c r="Z196" s="405"/>
      <c r="AA196" s="453"/>
      <c r="AB196" s="323"/>
      <c r="AC196" s="454"/>
      <c r="AD196" s="452"/>
      <c r="AE196" s="174"/>
      <c r="AF196" s="174"/>
      <c r="AG196" s="405"/>
      <c r="AH196" s="453"/>
    </row>
    <row r="197" spans="1:34" ht="39" thickBot="1">
      <c r="A197" s="631" t="s">
        <v>231</v>
      </c>
      <c r="B197" s="637" t="s">
        <v>328</v>
      </c>
      <c r="C197" s="175"/>
      <c r="D197" s="678" t="s">
        <v>329</v>
      </c>
      <c r="E197" s="678" t="s">
        <v>330</v>
      </c>
      <c r="F197" s="369"/>
      <c r="G197" s="323"/>
      <c r="H197" s="710" t="s">
        <v>231</v>
      </c>
      <c r="I197" s="637" t="s">
        <v>328</v>
      </c>
      <c r="J197" s="175"/>
      <c r="K197" s="678" t="s">
        <v>329</v>
      </c>
      <c r="L197" s="678" t="s">
        <v>330</v>
      </c>
      <c r="M197" s="369"/>
      <c r="N197" s="323"/>
      <c r="O197" s="710" t="s">
        <v>231</v>
      </c>
      <c r="P197" s="637" t="s">
        <v>328</v>
      </c>
      <c r="Q197" s="175"/>
      <c r="R197" s="678" t="s">
        <v>329</v>
      </c>
      <c r="S197" s="678" t="s">
        <v>330</v>
      </c>
      <c r="T197" s="369"/>
      <c r="U197" s="323"/>
      <c r="V197" s="710" t="s">
        <v>231</v>
      </c>
      <c r="W197" s="637" t="s">
        <v>328</v>
      </c>
      <c r="X197" s="175"/>
      <c r="Y197" s="678" t="s">
        <v>329</v>
      </c>
      <c r="Z197" s="678" t="s">
        <v>330</v>
      </c>
      <c r="AA197" s="369"/>
      <c r="AB197" s="323"/>
      <c r="AC197" s="710" t="s">
        <v>231</v>
      </c>
      <c r="AD197" s="637" t="s">
        <v>328</v>
      </c>
      <c r="AE197" s="175"/>
      <c r="AF197" s="678" t="s">
        <v>329</v>
      </c>
      <c r="AG197" s="678" t="s">
        <v>330</v>
      </c>
      <c r="AH197" s="369"/>
    </row>
    <row r="198" spans="1:34" ht="30.75" thickBot="1">
      <c r="A198" s="687" t="s">
        <v>331</v>
      </c>
      <c r="B198" s="688">
        <f>E192/(B192+0.000000001)</f>
        <v>57499.999885</v>
      </c>
      <c r="C198" s="175"/>
      <c r="D198" s="690">
        <v>0</v>
      </c>
      <c r="E198" s="690">
        <f>E192</f>
        <v>28749.999999999996</v>
      </c>
      <c r="F198" s="369"/>
      <c r="G198" s="323"/>
      <c r="H198" s="724" t="s">
        <v>331</v>
      </c>
      <c r="I198" s="688">
        <f>L192/(I192+0.000000001)</f>
        <v>59224.999940774986</v>
      </c>
      <c r="J198" s="175"/>
      <c r="K198" s="690">
        <v>0</v>
      </c>
      <c r="L198" s="690">
        <f>L192</f>
        <v>59224.99999999999</v>
      </c>
      <c r="M198" s="369"/>
      <c r="N198" s="323"/>
      <c r="O198" s="724" t="s">
        <v>331</v>
      </c>
      <c r="P198" s="688">
        <f>S192/(P192+0.000000001)</f>
        <v>61001.74993899824</v>
      </c>
      <c r="Q198" s="175"/>
      <c r="R198" s="690">
        <v>0</v>
      </c>
      <c r="S198" s="690">
        <f>S192</f>
        <v>61001.74999999999</v>
      </c>
      <c r="T198" s="369"/>
      <c r="U198" s="323"/>
      <c r="V198" s="724" t="s">
        <v>331</v>
      </c>
      <c r="W198" s="688">
        <f>Z192/(W192+0.000000001)</f>
        <v>62831.80243716818</v>
      </c>
      <c r="X198" s="175"/>
      <c r="Y198" s="690">
        <v>0</v>
      </c>
      <c r="Z198" s="690">
        <f>Z192</f>
        <v>62831.80249999999</v>
      </c>
      <c r="AA198" s="369"/>
      <c r="AB198" s="323"/>
      <c r="AC198" s="724" t="s">
        <v>331</v>
      </c>
      <c r="AD198" s="688">
        <f>AG192/(AD192+0.000000001)</f>
        <v>64716.75651028323</v>
      </c>
      <c r="AE198" s="175"/>
      <c r="AF198" s="690">
        <v>0</v>
      </c>
      <c r="AG198" s="690">
        <f>AG192</f>
        <v>64716.75657499999</v>
      </c>
      <c r="AH198" s="369"/>
    </row>
    <row r="199" spans="1:34" ht="15.75" thickBot="1">
      <c r="A199" s="687" t="s">
        <v>332</v>
      </c>
      <c r="B199" s="689">
        <f>VLOOKUP(B198,D198:E199,2,TRUE)</f>
        <v>28749.999999999996</v>
      </c>
      <c r="C199" s="175"/>
      <c r="D199" s="690">
        <v>90000</v>
      </c>
      <c r="E199" s="690">
        <f>B192*D199</f>
        <v>45000</v>
      </c>
      <c r="F199" s="369"/>
      <c r="G199" s="323"/>
      <c r="H199" s="724" t="s">
        <v>332</v>
      </c>
      <c r="I199" s="689">
        <f>VLOOKUP(I198,K198:L199,2,TRUE)</f>
        <v>59224.99999999999</v>
      </c>
      <c r="J199" s="175"/>
      <c r="K199" s="690">
        <v>90000</v>
      </c>
      <c r="L199" s="690">
        <f>I192*K199</f>
        <v>90000</v>
      </c>
      <c r="M199" s="369"/>
      <c r="N199" s="323"/>
      <c r="O199" s="724" t="s">
        <v>332</v>
      </c>
      <c r="P199" s="689">
        <f>VLOOKUP(P198,R198:S199,2,TRUE)</f>
        <v>61001.74999999999</v>
      </c>
      <c r="Q199" s="175"/>
      <c r="R199" s="690">
        <v>90000</v>
      </c>
      <c r="S199" s="690">
        <f>P192*R199</f>
        <v>90000</v>
      </c>
      <c r="T199" s="369"/>
      <c r="U199" s="323"/>
      <c r="V199" s="724" t="s">
        <v>332</v>
      </c>
      <c r="W199" s="689">
        <f>VLOOKUP(W198,Y198:Z199,2,TRUE)</f>
        <v>62831.80249999999</v>
      </c>
      <c r="X199" s="175"/>
      <c r="Y199" s="690">
        <v>90000</v>
      </c>
      <c r="Z199" s="690">
        <f>W192*Y199</f>
        <v>90000</v>
      </c>
      <c r="AA199" s="369"/>
      <c r="AB199" s="323"/>
      <c r="AC199" s="724" t="s">
        <v>332</v>
      </c>
      <c r="AD199" s="689">
        <f>VLOOKUP(AD198,AF198:AG199,2,TRUE)</f>
        <v>64716.75657499999</v>
      </c>
      <c r="AE199" s="175"/>
      <c r="AF199" s="690">
        <v>90000</v>
      </c>
      <c r="AG199" s="690">
        <f>AD192*AF199</f>
        <v>90000</v>
      </c>
      <c r="AH199" s="369"/>
    </row>
    <row r="200" spans="1:34" ht="15.75" thickBot="1">
      <c r="A200" s="455"/>
      <c r="B200" s="456"/>
      <c r="C200" s="457"/>
      <c r="D200" s="457"/>
      <c r="E200" s="458"/>
      <c r="F200" s="459"/>
      <c r="G200" s="323"/>
      <c r="H200" s="460"/>
      <c r="I200" s="456"/>
      <c r="J200" s="457"/>
      <c r="K200" s="457"/>
      <c r="L200" s="458"/>
      <c r="M200" s="459"/>
      <c r="N200" s="323"/>
      <c r="O200" s="460"/>
      <c r="P200" s="456"/>
      <c r="Q200" s="457"/>
      <c r="R200" s="457"/>
      <c r="S200" s="458"/>
      <c r="T200" s="459"/>
      <c r="U200" s="323"/>
      <c r="V200" s="460"/>
      <c r="W200" s="456"/>
      <c r="X200" s="457"/>
      <c r="Y200" s="457"/>
      <c r="Z200" s="458"/>
      <c r="AA200" s="459"/>
      <c r="AB200" s="323"/>
      <c r="AC200" s="460"/>
      <c r="AD200" s="456"/>
      <c r="AE200" s="457"/>
      <c r="AF200" s="457"/>
      <c r="AG200" s="458"/>
      <c r="AH200" s="459"/>
    </row>
    <row r="201" spans="1:34" ht="15">
      <c r="A201" s="451"/>
      <c r="B201" s="461"/>
      <c r="C201" s="462"/>
      <c r="D201" s="462"/>
      <c r="E201" s="405"/>
      <c r="F201" s="369"/>
      <c r="G201" s="323"/>
      <c r="H201" s="454"/>
      <c r="I201" s="461"/>
      <c r="J201" s="462"/>
      <c r="K201" s="462"/>
      <c r="L201" s="405"/>
      <c r="M201" s="175"/>
      <c r="N201" s="323"/>
      <c r="O201" s="454"/>
      <c r="P201" s="461"/>
      <c r="Q201" s="462"/>
      <c r="R201" s="462"/>
      <c r="S201" s="405"/>
      <c r="T201" s="175"/>
      <c r="U201" s="323"/>
      <c r="V201" s="454"/>
      <c r="W201" s="461"/>
      <c r="X201" s="462"/>
      <c r="Y201" s="462"/>
      <c r="Z201" s="405"/>
      <c r="AA201" s="175"/>
      <c r="AB201" s="323"/>
      <c r="AC201" s="454"/>
      <c r="AD201" s="461"/>
      <c r="AE201" s="462"/>
      <c r="AF201" s="462"/>
      <c r="AG201" s="405"/>
      <c r="AH201" s="175"/>
    </row>
    <row r="202" spans="1:34" ht="15">
      <c r="A202" s="451"/>
      <c r="B202" s="461"/>
      <c r="C202" s="462"/>
      <c r="D202" s="462"/>
      <c r="E202" s="405"/>
      <c r="F202" s="369"/>
      <c r="G202" s="323"/>
      <c r="H202" s="454"/>
      <c r="I202" s="461"/>
      <c r="J202" s="462"/>
      <c r="K202" s="462"/>
      <c r="L202" s="405"/>
      <c r="M202" s="175"/>
      <c r="N202" s="323"/>
      <c r="O202" s="454"/>
      <c r="P202" s="461"/>
      <c r="Q202" s="462"/>
      <c r="R202" s="462"/>
      <c r="S202" s="405"/>
      <c r="T202" s="175"/>
      <c r="U202" s="323"/>
      <c r="V202" s="454"/>
      <c r="W202" s="461"/>
      <c r="X202" s="462"/>
      <c r="Y202" s="462"/>
      <c r="Z202" s="405"/>
      <c r="AA202" s="175"/>
      <c r="AB202" s="323"/>
      <c r="AC202" s="454"/>
      <c r="AD202" s="461"/>
      <c r="AE202" s="462"/>
      <c r="AF202" s="462"/>
      <c r="AG202" s="405"/>
      <c r="AH202" s="175"/>
    </row>
    <row r="203" spans="1:34" ht="15.75" thickBot="1">
      <c r="A203" s="451"/>
      <c r="B203" s="461"/>
      <c r="C203" s="462"/>
      <c r="D203" s="462"/>
      <c r="E203" s="405"/>
      <c r="F203" s="369"/>
      <c r="G203" s="323"/>
      <c r="H203" s="454"/>
      <c r="I203" s="461"/>
      <c r="J203" s="462"/>
      <c r="K203" s="462"/>
      <c r="L203" s="446"/>
      <c r="M203" s="175"/>
      <c r="N203" s="323"/>
      <c r="O203" s="454"/>
      <c r="P203" s="461"/>
      <c r="Q203" s="462"/>
      <c r="R203" s="462"/>
      <c r="S203" s="446"/>
      <c r="T203" s="175"/>
      <c r="U203" s="323"/>
      <c r="V203" s="454"/>
      <c r="W203" s="461"/>
      <c r="X203" s="462"/>
      <c r="Y203" s="462"/>
      <c r="Z203" s="446"/>
      <c r="AA203" s="175"/>
      <c r="AB203" s="323"/>
      <c r="AC203" s="454"/>
      <c r="AD203" s="461"/>
      <c r="AE203" s="462"/>
      <c r="AF203" s="462"/>
      <c r="AG203" s="446"/>
      <c r="AH203" s="175"/>
    </row>
    <row r="204" spans="1:34" ht="12.75">
      <c r="A204" s="905" t="s">
        <v>333</v>
      </c>
      <c r="B204" s="906"/>
      <c r="C204" s="906"/>
      <c r="D204" s="906"/>
      <c r="E204" s="906"/>
      <c r="F204" s="907"/>
      <c r="G204" s="323"/>
      <c r="H204" s="905" t="s">
        <v>333</v>
      </c>
      <c r="I204" s="906"/>
      <c r="J204" s="906"/>
      <c r="K204" s="906"/>
      <c r="L204" s="906"/>
      <c r="M204" s="907"/>
      <c r="N204" s="323"/>
      <c r="O204" s="905" t="s">
        <v>333</v>
      </c>
      <c r="P204" s="906"/>
      <c r="Q204" s="906"/>
      <c r="R204" s="906"/>
      <c r="S204" s="906"/>
      <c r="T204" s="907"/>
      <c r="U204" s="323"/>
      <c r="V204" s="905" t="s">
        <v>333</v>
      </c>
      <c r="W204" s="906"/>
      <c r="X204" s="906"/>
      <c r="Y204" s="906"/>
      <c r="Z204" s="906"/>
      <c r="AA204" s="907"/>
      <c r="AB204" s="323"/>
      <c r="AC204" s="905" t="s">
        <v>333</v>
      </c>
      <c r="AD204" s="906"/>
      <c r="AE204" s="906"/>
      <c r="AF204" s="906"/>
      <c r="AG204" s="906"/>
      <c r="AH204" s="907"/>
    </row>
    <row r="205" spans="1:34" ht="13.5" thickBot="1">
      <c r="A205" s="908"/>
      <c r="B205" s="909"/>
      <c r="C205" s="909"/>
      <c r="D205" s="909"/>
      <c r="E205" s="909"/>
      <c r="F205" s="910"/>
      <c r="G205" s="323"/>
      <c r="H205" s="908"/>
      <c r="I205" s="909"/>
      <c r="J205" s="909"/>
      <c r="K205" s="909"/>
      <c r="L205" s="909"/>
      <c r="M205" s="910"/>
      <c r="N205" s="323"/>
      <c r="O205" s="908"/>
      <c r="P205" s="909"/>
      <c r="Q205" s="909"/>
      <c r="R205" s="909"/>
      <c r="S205" s="909"/>
      <c r="T205" s="910"/>
      <c r="U205" s="323"/>
      <c r="V205" s="908"/>
      <c r="W205" s="909"/>
      <c r="X205" s="909"/>
      <c r="Y205" s="909"/>
      <c r="Z205" s="909"/>
      <c r="AA205" s="910"/>
      <c r="AB205" s="323"/>
      <c r="AC205" s="908"/>
      <c r="AD205" s="909"/>
      <c r="AE205" s="909"/>
      <c r="AF205" s="909"/>
      <c r="AG205" s="909"/>
      <c r="AH205" s="910"/>
    </row>
    <row r="206" spans="1:34" ht="12.75" customHeight="1">
      <c r="A206" s="901" t="s">
        <v>231</v>
      </c>
      <c r="B206" s="901" t="s">
        <v>320</v>
      </c>
      <c r="C206" s="903" t="s">
        <v>442</v>
      </c>
      <c r="D206" s="901" t="s">
        <v>321</v>
      </c>
      <c r="E206" s="903" t="s">
        <v>322</v>
      </c>
      <c r="F206" s="463"/>
      <c r="G206" s="323"/>
      <c r="H206" s="901" t="s">
        <v>231</v>
      </c>
      <c r="I206" s="901" t="s">
        <v>320</v>
      </c>
      <c r="J206" s="903" t="s">
        <v>442</v>
      </c>
      <c r="K206" s="901" t="s">
        <v>321</v>
      </c>
      <c r="L206" s="903" t="s">
        <v>322</v>
      </c>
      <c r="M206" s="463"/>
      <c r="N206" s="323"/>
      <c r="O206" s="901" t="s">
        <v>231</v>
      </c>
      <c r="P206" s="901" t="s">
        <v>320</v>
      </c>
      <c r="Q206" s="903" t="s">
        <v>442</v>
      </c>
      <c r="R206" s="901" t="s">
        <v>321</v>
      </c>
      <c r="S206" s="903" t="s">
        <v>322</v>
      </c>
      <c r="T206" s="463"/>
      <c r="U206" s="323"/>
      <c r="V206" s="901" t="s">
        <v>231</v>
      </c>
      <c r="W206" s="901" t="s">
        <v>320</v>
      </c>
      <c r="X206" s="903" t="s">
        <v>442</v>
      </c>
      <c r="Y206" s="901" t="s">
        <v>321</v>
      </c>
      <c r="Z206" s="903" t="s">
        <v>322</v>
      </c>
      <c r="AA206" s="463"/>
      <c r="AB206" s="323"/>
      <c r="AC206" s="901" t="s">
        <v>231</v>
      </c>
      <c r="AD206" s="901" t="s">
        <v>320</v>
      </c>
      <c r="AE206" s="903" t="s">
        <v>442</v>
      </c>
      <c r="AF206" s="901" t="s">
        <v>321</v>
      </c>
      <c r="AG206" s="903" t="s">
        <v>322</v>
      </c>
      <c r="AH206" s="463"/>
    </row>
    <row r="207" spans="1:34" ht="31.5" customHeight="1" thickBot="1">
      <c r="A207" s="902"/>
      <c r="B207" s="902"/>
      <c r="C207" s="904"/>
      <c r="D207" s="902"/>
      <c r="E207" s="904"/>
      <c r="F207" s="369"/>
      <c r="G207" s="323"/>
      <c r="H207" s="902"/>
      <c r="I207" s="902"/>
      <c r="J207" s="904"/>
      <c r="K207" s="902"/>
      <c r="L207" s="904"/>
      <c r="M207" s="369"/>
      <c r="N207" s="323"/>
      <c r="O207" s="902"/>
      <c r="P207" s="902"/>
      <c r="Q207" s="904"/>
      <c r="R207" s="902"/>
      <c r="S207" s="904"/>
      <c r="T207" s="369"/>
      <c r="U207" s="323"/>
      <c r="V207" s="902"/>
      <c r="W207" s="902"/>
      <c r="X207" s="904"/>
      <c r="Y207" s="902"/>
      <c r="Z207" s="904"/>
      <c r="AA207" s="369"/>
      <c r="AB207" s="323"/>
      <c r="AC207" s="902"/>
      <c r="AD207" s="902"/>
      <c r="AE207" s="904"/>
      <c r="AF207" s="902"/>
      <c r="AG207" s="904"/>
      <c r="AH207" s="369"/>
    </row>
    <row r="208" spans="1:34" ht="12.75">
      <c r="A208" s="691" t="s">
        <v>334</v>
      </c>
      <c r="B208" s="680">
        <f>Personnel!E9</f>
        <v>0</v>
      </c>
      <c r="C208" s="681">
        <f>Personnel!E121</f>
        <v>0</v>
      </c>
      <c r="D208" s="686">
        <f>100%+$C$183</f>
        <v>1.15</v>
      </c>
      <c r="E208" s="695">
        <f>C208*D208</f>
        <v>0</v>
      </c>
      <c r="F208" s="369"/>
      <c r="G208" s="323"/>
      <c r="H208" s="725" t="s">
        <v>334</v>
      </c>
      <c r="I208" s="680">
        <f>Personnel!G9</f>
        <v>0</v>
      </c>
      <c r="J208" s="681">
        <f>Personnel!G121</f>
        <v>0</v>
      </c>
      <c r="K208" s="686">
        <f>100%+$J$183</f>
        <v>1.15</v>
      </c>
      <c r="L208" s="695">
        <f>J208*K208</f>
        <v>0</v>
      </c>
      <c r="M208" s="369"/>
      <c r="N208" s="323"/>
      <c r="O208" s="725" t="s">
        <v>334</v>
      </c>
      <c r="P208" s="680">
        <f>Personnel!I9</f>
        <v>0</v>
      </c>
      <c r="Q208" s="681">
        <f>Personnel!I121</f>
        <v>0</v>
      </c>
      <c r="R208" s="686">
        <f>100%+$Q$183</f>
        <v>1.15</v>
      </c>
      <c r="S208" s="695">
        <f>Q208*R208</f>
        <v>0</v>
      </c>
      <c r="T208" s="369"/>
      <c r="U208" s="323"/>
      <c r="V208" s="725" t="s">
        <v>334</v>
      </c>
      <c r="W208" s="680">
        <f>Personnel!K9</f>
        <v>0</v>
      </c>
      <c r="X208" s="681">
        <f>Personnel!K121</f>
        <v>0</v>
      </c>
      <c r="Y208" s="686">
        <f>100%+$X$183</f>
        <v>1.15</v>
      </c>
      <c r="Z208" s="695">
        <f>X208*Y208</f>
        <v>0</v>
      </c>
      <c r="AA208" s="369"/>
      <c r="AB208" s="323"/>
      <c r="AC208" s="725" t="s">
        <v>334</v>
      </c>
      <c r="AD208" s="680">
        <f>Personnel!M9</f>
        <v>0</v>
      </c>
      <c r="AE208" s="681">
        <f>Personnel!M121</f>
        <v>0</v>
      </c>
      <c r="AF208" s="686">
        <f>100%+$AE$183</f>
        <v>1.15</v>
      </c>
      <c r="AG208" s="695">
        <f>AE208*AF208</f>
        <v>0</v>
      </c>
      <c r="AH208" s="369"/>
    </row>
    <row r="209" spans="1:34" ht="13.5" thickBot="1">
      <c r="A209" s="682" t="s">
        <v>335</v>
      </c>
      <c r="B209" s="692">
        <f>Personnel!E33</f>
        <v>0</v>
      </c>
      <c r="C209" s="693">
        <f>Personnel!E152</f>
        <v>0</v>
      </c>
      <c r="D209" s="694">
        <f>100%+$C$183</f>
        <v>1.15</v>
      </c>
      <c r="E209" s="695">
        <f>C209*D209</f>
        <v>0</v>
      </c>
      <c r="F209" s="369"/>
      <c r="G209" s="323"/>
      <c r="H209" s="722" t="s">
        <v>335</v>
      </c>
      <c r="I209" s="692">
        <f>Personnel!G33</f>
        <v>0</v>
      </c>
      <c r="J209" s="693">
        <f>Personnel!G152</f>
        <v>0</v>
      </c>
      <c r="K209" s="694">
        <f>100%+$J$183</f>
        <v>1.15</v>
      </c>
      <c r="L209" s="695">
        <f>J209*K209</f>
        <v>0</v>
      </c>
      <c r="M209" s="369"/>
      <c r="N209" s="323"/>
      <c r="O209" s="722" t="s">
        <v>335</v>
      </c>
      <c r="P209" s="692">
        <f>Personnel!I33</f>
        <v>0</v>
      </c>
      <c r="Q209" s="693">
        <f>Personnel!I152</f>
        <v>0</v>
      </c>
      <c r="R209" s="694">
        <f>100%+$Q$183</f>
        <v>1.15</v>
      </c>
      <c r="S209" s="695">
        <f>Q209*R209</f>
        <v>0</v>
      </c>
      <c r="T209" s="369"/>
      <c r="U209" s="323"/>
      <c r="V209" s="722" t="s">
        <v>335</v>
      </c>
      <c r="W209" s="692">
        <f>Personnel!K33</f>
        <v>0</v>
      </c>
      <c r="X209" s="693">
        <f>Personnel!K152</f>
        <v>0</v>
      </c>
      <c r="Y209" s="694">
        <f>100%+$X$183</f>
        <v>1.15</v>
      </c>
      <c r="Z209" s="695">
        <f>X209*Y209</f>
        <v>0</v>
      </c>
      <c r="AA209" s="369"/>
      <c r="AB209" s="323"/>
      <c r="AC209" s="722" t="s">
        <v>335</v>
      </c>
      <c r="AD209" s="692">
        <f>Personnel!M33</f>
        <v>0</v>
      </c>
      <c r="AE209" s="693">
        <f>Personnel!M152</f>
        <v>0</v>
      </c>
      <c r="AF209" s="694">
        <f>100%+$AE$183</f>
        <v>1.15</v>
      </c>
      <c r="AG209" s="695">
        <f>AE209*AF209</f>
        <v>0</v>
      </c>
      <c r="AH209" s="369"/>
    </row>
    <row r="210" spans="1:34" ht="13.5" thickBot="1">
      <c r="A210" s="683" t="s">
        <v>327</v>
      </c>
      <c r="B210" s="684">
        <f>SUM(B208:B209)</f>
        <v>0</v>
      </c>
      <c r="C210" s="685">
        <f>SUM(C208:C209)</f>
        <v>0</v>
      </c>
      <c r="D210" s="175"/>
      <c r="E210" s="492">
        <f>SUM(E208:E209)</f>
        <v>0</v>
      </c>
      <c r="F210" s="369"/>
      <c r="G210" s="323"/>
      <c r="H210" s="723" t="s">
        <v>327</v>
      </c>
      <c r="I210" s="684">
        <f>SUM(I208:I209)</f>
        <v>0</v>
      </c>
      <c r="J210" s="685">
        <f>SUM(J208:J209)</f>
        <v>0</v>
      </c>
      <c r="K210" s="175"/>
      <c r="L210" s="492">
        <f>SUM(L208:L209)</f>
        <v>0</v>
      </c>
      <c r="M210" s="369"/>
      <c r="N210" s="323"/>
      <c r="O210" s="723" t="s">
        <v>327</v>
      </c>
      <c r="P210" s="684">
        <f>SUM(P208:P209)</f>
        <v>0</v>
      </c>
      <c r="Q210" s="685">
        <f>SUM(Q208:Q209)</f>
        <v>0</v>
      </c>
      <c r="R210" s="175"/>
      <c r="S210" s="492">
        <f>SUM(S208:S209)</f>
        <v>0</v>
      </c>
      <c r="T210" s="369"/>
      <c r="U210" s="323"/>
      <c r="V210" s="723" t="s">
        <v>327</v>
      </c>
      <c r="W210" s="684">
        <f>SUM(W208:W209)</f>
        <v>0</v>
      </c>
      <c r="X210" s="685">
        <f>SUM(X208:X209)</f>
        <v>0</v>
      </c>
      <c r="Y210" s="175"/>
      <c r="Z210" s="492">
        <f>SUM(Z208:Z209)</f>
        <v>0</v>
      </c>
      <c r="AA210" s="369"/>
      <c r="AB210" s="323"/>
      <c r="AC210" s="723" t="s">
        <v>327</v>
      </c>
      <c r="AD210" s="684">
        <f>SUM(AD208:AD209)</f>
        <v>0</v>
      </c>
      <c r="AE210" s="685">
        <f>SUM(AE208:AE209)</f>
        <v>0</v>
      </c>
      <c r="AF210" s="175"/>
      <c r="AG210" s="492">
        <f>SUM(AG208:AG209)</f>
        <v>0</v>
      </c>
      <c r="AH210" s="369"/>
    </row>
    <row r="211" spans="1:34" ht="12.75">
      <c r="A211" s="424"/>
      <c r="B211" s="175"/>
      <c r="C211" s="175"/>
      <c r="D211" s="175"/>
      <c r="E211" s="405"/>
      <c r="F211" s="369"/>
      <c r="G211" s="323"/>
      <c r="H211" s="175"/>
      <c r="I211" s="175"/>
      <c r="J211" s="175"/>
      <c r="K211" s="175"/>
      <c r="L211" s="405"/>
      <c r="M211" s="369"/>
      <c r="N211" s="323"/>
      <c r="O211" s="175"/>
      <c r="P211" s="175"/>
      <c r="Q211" s="175"/>
      <c r="R211" s="175"/>
      <c r="S211" s="405"/>
      <c r="T211" s="369"/>
      <c r="U211" s="323"/>
      <c r="V211" s="175"/>
      <c r="W211" s="175"/>
      <c r="X211" s="175"/>
      <c r="Y211" s="175"/>
      <c r="Z211" s="405"/>
      <c r="AA211" s="369"/>
      <c r="AB211" s="323"/>
      <c r="AC211" s="175"/>
      <c r="AD211" s="175"/>
      <c r="AE211" s="175"/>
      <c r="AF211" s="175"/>
      <c r="AG211" s="405"/>
      <c r="AH211" s="369"/>
    </row>
    <row r="212" spans="1:34" ht="13.5" thickBot="1">
      <c r="A212" s="424"/>
      <c r="B212" s="175"/>
      <c r="C212" s="175"/>
      <c r="D212" s="175"/>
      <c r="E212" s="405"/>
      <c r="F212" s="369"/>
      <c r="G212" s="323"/>
      <c r="H212" s="175"/>
      <c r="I212" s="175"/>
      <c r="J212" s="175"/>
      <c r="K212" s="175"/>
      <c r="L212" s="405"/>
      <c r="M212" s="369"/>
      <c r="N212" s="323"/>
      <c r="O212" s="175"/>
      <c r="P212" s="175"/>
      <c r="Q212" s="175"/>
      <c r="R212" s="175"/>
      <c r="S212" s="405"/>
      <c r="T212" s="369"/>
      <c r="U212" s="323"/>
      <c r="V212" s="175"/>
      <c r="W212" s="175"/>
      <c r="X212" s="175"/>
      <c r="Y212" s="175"/>
      <c r="Z212" s="405"/>
      <c r="AA212" s="369"/>
      <c r="AB212" s="323"/>
      <c r="AC212" s="175"/>
      <c r="AD212" s="175"/>
      <c r="AE212" s="175"/>
      <c r="AF212" s="175"/>
      <c r="AG212" s="405"/>
      <c r="AH212" s="369"/>
    </row>
    <row r="213" spans="1:34" ht="39" thickBot="1">
      <c r="A213" s="631" t="s">
        <v>231</v>
      </c>
      <c r="B213" s="637" t="s">
        <v>328</v>
      </c>
      <c r="C213" s="175"/>
      <c r="D213" s="678" t="s">
        <v>329</v>
      </c>
      <c r="E213" s="678" t="s">
        <v>330</v>
      </c>
      <c r="F213" s="369"/>
      <c r="G213" s="323"/>
      <c r="H213" s="710" t="s">
        <v>231</v>
      </c>
      <c r="I213" s="637" t="s">
        <v>328</v>
      </c>
      <c r="J213" s="175"/>
      <c r="K213" s="678" t="s">
        <v>329</v>
      </c>
      <c r="L213" s="678" t="s">
        <v>330</v>
      </c>
      <c r="M213" s="369"/>
      <c r="N213" s="323"/>
      <c r="O213" s="710" t="s">
        <v>231</v>
      </c>
      <c r="P213" s="637" t="s">
        <v>328</v>
      </c>
      <c r="Q213" s="175"/>
      <c r="R213" s="678" t="s">
        <v>329</v>
      </c>
      <c r="S213" s="678" t="s">
        <v>330</v>
      </c>
      <c r="T213" s="369"/>
      <c r="U213" s="323"/>
      <c r="V213" s="710" t="s">
        <v>231</v>
      </c>
      <c r="W213" s="637" t="s">
        <v>328</v>
      </c>
      <c r="X213" s="175"/>
      <c r="Y213" s="678" t="s">
        <v>329</v>
      </c>
      <c r="Z213" s="678" t="s">
        <v>330</v>
      </c>
      <c r="AA213" s="369"/>
      <c r="AB213" s="323"/>
      <c r="AC213" s="710" t="s">
        <v>231</v>
      </c>
      <c r="AD213" s="637" t="s">
        <v>328</v>
      </c>
      <c r="AE213" s="175"/>
      <c r="AF213" s="678" t="s">
        <v>329</v>
      </c>
      <c r="AG213" s="678" t="s">
        <v>330</v>
      </c>
      <c r="AH213" s="369"/>
    </row>
    <row r="214" spans="1:34" ht="15.75" thickBot="1">
      <c r="A214" s="696" t="s">
        <v>336</v>
      </c>
      <c r="B214" s="688">
        <f>E210/(B210+0.00000000001)</f>
        <v>0</v>
      </c>
      <c r="C214" s="175"/>
      <c r="D214" s="690">
        <v>0</v>
      </c>
      <c r="E214" s="690">
        <f>E210</f>
        <v>0</v>
      </c>
      <c r="F214" s="369"/>
      <c r="G214" s="323"/>
      <c r="H214" s="726" t="s">
        <v>336</v>
      </c>
      <c r="I214" s="688">
        <f>L210/(I210+0.00000000001)</f>
        <v>0</v>
      </c>
      <c r="J214" s="175"/>
      <c r="K214" s="690">
        <v>0</v>
      </c>
      <c r="L214" s="690">
        <f>L210</f>
        <v>0</v>
      </c>
      <c r="M214" s="369"/>
      <c r="N214" s="323"/>
      <c r="O214" s="726" t="s">
        <v>336</v>
      </c>
      <c r="P214" s="688">
        <f>S210/(P210+0.00000000001)</f>
        <v>0</v>
      </c>
      <c r="Q214" s="175"/>
      <c r="R214" s="690">
        <v>0</v>
      </c>
      <c r="S214" s="690">
        <f>S210</f>
        <v>0</v>
      </c>
      <c r="T214" s="369"/>
      <c r="U214" s="323"/>
      <c r="V214" s="726" t="s">
        <v>336</v>
      </c>
      <c r="W214" s="688">
        <f>Z210/(W210+0.00000000001)</f>
        <v>0</v>
      </c>
      <c r="X214" s="175"/>
      <c r="Y214" s="690">
        <v>0</v>
      </c>
      <c r="Z214" s="690">
        <f>Z210</f>
        <v>0</v>
      </c>
      <c r="AA214" s="369"/>
      <c r="AB214" s="323"/>
      <c r="AC214" s="726" t="s">
        <v>336</v>
      </c>
      <c r="AD214" s="688">
        <f>AG210/(AD210+0.00000000001)</f>
        <v>0</v>
      </c>
      <c r="AE214" s="175"/>
      <c r="AF214" s="690">
        <v>0</v>
      </c>
      <c r="AG214" s="690">
        <f>AG210</f>
        <v>0</v>
      </c>
      <c r="AH214" s="369"/>
    </row>
    <row r="215" spans="1:34" ht="15.75" thickBot="1">
      <c r="A215" s="697" t="s">
        <v>332</v>
      </c>
      <c r="B215" s="689">
        <f>VLOOKUP(B214,D214:E215,2,TRUE)</f>
        <v>0</v>
      </c>
      <c r="C215" s="175"/>
      <c r="D215" s="690">
        <v>40000</v>
      </c>
      <c r="E215" s="690">
        <f>B210*D215</f>
        <v>0</v>
      </c>
      <c r="F215" s="369"/>
      <c r="G215" s="323"/>
      <c r="H215" s="727" t="s">
        <v>332</v>
      </c>
      <c r="I215" s="689">
        <f>VLOOKUP(I214,K214:L215,2,TRUE)</f>
        <v>0</v>
      </c>
      <c r="J215" s="175"/>
      <c r="K215" s="690">
        <v>40000</v>
      </c>
      <c r="L215" s="690">
        <f>I210*K215</f>
        <v>0</v>
      </c>
      <c r="M215" s="369"/>
      <c r="N215" s="323"/>
      <c r="O215" s="727" t="s">
        <v>332</v>
      </c>
      <c r="P215" s="689">
        <f>VLOOKUP(P214,R214:S215,2,TRUE)</f>
        <v>0</v>
      </c>
      <c r="Q215" s="175"/>
      <c r="R215" s="690">
        <v>40000</v>
      </c>
      <c r="S215" s="690">
        <f>P210*R215</f>
        <v>0</v>
      </c>
      <c r="T215" s="369"/>
      <c r="U215" s="323"/>
      <c r="V215" s="727" t="s">
        <v>332</v>
      </c>
      <c r="W215" s="689">
        <f>VLOOKUP(W214,Y214:Z215,2,TRUE)</f>
        <v>0</v>
      </c>
      <c r="X215" s="175"/>
      <c r="Y215" s="690">
        <v>40000</v>
      </c>
      <c r="Z215" s="690">
        <f>W210*Y215</f>
        <v>0</v>
      </c>
      <c r="AA215" s="369"/>
      <c r="AB215" s="323"/>
      <c r="AC215" s="727" t="s">
        <v>332</v>
      </c>
      <c r="AD215" s="689">
        <f>VLOOKUP(AD214,AF214:AG215,2,TRUE)</f>
        <v>0</v>
      </c>
      <c r="AE215" s="175"/>
      <c r="AF215" s="690">
        <v>40000</v>
      </c>
      <c r="AG215" s="690">
        <f>AD210*AF215</f>
        <v>0</v>
      </c>
      <c r="AH215" s="369"/>
    </row>
    <row r="216" spans="1:34" ht="12.75">
      <c r="A216" s="424"/>
      <c r="B216" s="175"/>
      <c r="C216" s="175"/>
      <c r="D216" s="175"/>
      <c r="E216" s="405"/>
      <c r="F216" s="369"/>
      <c r="G216" s="323"/>
      <c r="H216" s="175"/>
      <c r="I216" s="175"/>
      <c r="J216" s="175"/>
      <c r="K216" s="175"/>
      <c r="L216" s="405"/>
      <c r="M216" s="369"/>
      <c r="N216" s="323"/>
      <c r="O216" s="175"/>
      <c r="P216" s="175"/>
      <c r="Q216" s="175"/>
      <c r="R216" s="175"/>
      <c r="S216" s="405"/>
      <c r="T216" s="369"/>
      <c r="U216" s="323"/>
      <c r="V216" s="175"/>
      <c r="W216" s="175"/>
      <c r="X216" s="175"/>
      <c r="Y216" s="175"/>
      <c r="Z216" s="405"/>
      <c r="AA216" s="369"/>
      <c r="AB216" s="323"/>
      <c r="AC216" s="175"/>
      <c r="AD216" s="175"/>
      <c r="AE216" s="175"/>
      <c r="AF216" s="175"/>
      <c r="AG216" s="405"/>
      <c r="AH216" s="369"/>
    </row>
    <row r="217" spans="1:34" ht="12.75">
      <c r="A217" s="424"/>
      <c r="B217" s="175"/>
      <c r="C217" s="175"/>
      <c r="D217" s="175"/>
      <c r="E217" s="405"/>
      <c r="F217" s="369"/>
      <c r="G217" s="323"/>
      <c r="H217" s="175"/>
      <c r="I217" s="175"/>
      <c r="J217" s="175"/>
      <c r="K217" s="175"/>
      <c r="L217" s="405"/>
      <c r="M217" s="369"/>
      <c r="N217" s="323"/>
      <c r="O217" s="175"/>
      <c r="P217" s="175"/>
      <c r="Q217" s="175"/>
      <c r="R217" s="175"/>
      <c r="S217" s="405"/>
      <c r="T217" s="369"/>
      <c r="U217" s="323"/>
      <c r="V217" s="175"/>
      <c r="W217" s="175"/>
      <c r="X217" s="175"/>
      <c r="Y217" s="175"/>
      <c r="Z217" s="405"/>
      <c r="AA217" s="369"/>
      <c r="AB217" s="323"/>
      <c r="AC217" s="175"/>
      <c r="AD217" s="175"/>
      <c r="AE217" s="175"/>
      <c r="AF217" s="175"/>
      <c r="AG217" s="405"/>
      <c r="AH217" s="369"/>
    </row>
    <row r="218" spans="1:34" ht="13.5" thickBot="1">
      <c r="A218" s="435"/>
      <c r="B218" s="436"/>
      <c r="C218" s="436"/>
      <c r="D218" s="436"/>
      <c r="E218" s="458"/>
      <c r="F218" s="459"/>
      <c r="G218" s="323"/>
      <c r="H218" s="436"/>
      <c r="I218" s="436"/>
      <c r="J218" s="436"/>
      <c r="K218" s="436"/>
      <c r="L218" s="458"/>
      <c r="M218" s="459"/>
      <c r="N218" s="323"/>
      <c r="O218" s="436"/>
      <c r="P218" s="436"/>
      <c r="Q218" s="436"/>
      <c r="R218" s="436"/>
      <c r="S218" s="458"/>
      <c r="T218" s="459"/>
      <c r="U218" s="323"/>
      <c r="V218" s="436"/>
      <c r="W218" s="436"/>
      <c r="X218" s="436"/>
      <c r="Y218" s="436"/>
      <c r="Z218" s="458"/>
      <c r="AA218" s="459"/>
      <c r="AB218" s="323"/>
      <c r="AC218" s="436"/>
      <c r="AD218" s="436"/>
      <c r="AE218" s="436"/>
      <c r="AF218" s="436"/>
      <c r="AG218" s="458"/>
      <c r="AH218" s="459"/>
    </row>
    <row r="219" spans="1:33" ht="12.75">
      <c r="A219" s="424"/>
      <c r="B219" s="175"/>
      <c r="C219" s="175"/>
      <c r="D219" s="175"/>
      <c r="E219" s="405"/>
      <c r="F219" s="369"/>
      <c r="G219" s="323"/>
      <c r="L219" s="446"/>
      <c r="N219" s="323"/>
      <c r="S219" s="446"/>
      <c r="U219" s="323"/>
      <c r="Z219" s="446"/>
      <c r="AB219" s="323"/>
      <c r="AG219" s="446"/>
    </row>
    <row r="220" spans="1:33" ht="13.5" thickBot="1">
      <c r="A220" s="424"/>
      <c r="B220" s="175"/>
      <c r="C220" s="175"/>
      <c r="D220" s="175"/>
      <c r="E220" s="405"/>
      <c r="F220" s="369"/>
      <c r="G220" s="323"/>
      <c r="L220" s="446"/>
      <c r="N220" s="323"/>
      <c r="S220" s="446"/>
      <c r="U220" s="323"/>
      <c r="Z220" s="446"/>
      <c r="AB220" s="323"/>
      <c r="AG220" s="446"/>
    </row>
    <row r="221" spans="1:34" ht="13.5" thickBot="1">
      <c r="A221" s="892" t="s">
        <v>337</v>
      </c>
      <c r="B221" s="893"/>
      <c r="C221" s="893"/>
      <c r="D221" s="893"/>
      <c r="E221" s="893"/>
      <c r="F221" s="894"/>
      <c r="G221" s="323"/>
      <c r="H221" s="892" t="s">
        <v>337</v>
      </c>
      <c r="I221" s="893"/>
      <c r="J221" s="893"/>
      <c r="K221" s="893"/>
      <c r="L221" s="893"/>
      <c r="M221" s="894"/>
      <c r="N221" s="323"/>
      <c r="O221" s="892" t="s">
        <v>337</v>
      </c>
      <c r="P221" s="893"/>
      <c r="Q221" s="893"/>
      <c r="R221" s="893"/>
      <c r="S221" s="893"/>
      <c r="T221" s="894"/>
      <c r="U221" s="323"/>
      <c r="V221" s="895" t="s">
        <v>337</v>
      </c>
      <c r="W221" s="896"/>
      <c r="X221" s="896"/>
      <c r="Y221" s="896"/>
      <c r="Z221" s="896"/>
      <c r="AA221" s="897"/>
      <c r="AB221" s="323"/>
      <c r="AC221" s="892" t="s">
        <v>337</v>
      </c>
      <c r="AD221" s="893"/>
      <c r="AE221" s="893"/>
      <c r="AF221" s="893"/>
      <c r="AG221" s="893"/>
      <c r="AH221" s="894"/>
    </row>
    <row r="222" spans="1:34" ht="29.25" customHeight="1" thickBot="1">
      <c r="A222" s="890" t="s">
        <v>396</v>
      </c>
      <c r="B222" s="898"/>
      <c r="C222" s="898"/>
      <c r="D222" s="898"/>
      <c r="E222" s="898"/>
      <c r="F222" s="891"/>
      <c r="G222" s="323"/>
      <c r="H222" s="890" t="s">
        <v>397</v>
      </c>
      <c r="I222" s="898"/>
      <c r="J222" s="898"/>
      <c r="K222" s="898"/>
      <c r="L222" s="898"/>
      <c r="M222" s="891"/>
      <c r="N222" s="323"/>
      <c r="O222" s="890" t="s">
        <v>396</v>
      </c>
      <c r="P222" s="898"/>
      <c r="Q222" s="898"/>
      <c r="R222" s="898"/>
      <c r="S222" s="898"/>
      <c r="T222" s="891"/>
      <c r="U222" s="323"/>
      <c r="V222" s="890" t="s">
        <v>396</v>
      </c>
      <c r="W222" s="898"/>
      <c r="X222" s="898"/>
      <c r="Y222" s="898"/>
      <c r="Z222" s="898"/>
      <c r="AA222" s="891"/>
      <c r="AB222" s="323"/>
      <c r="AC222" s="890" t="s">
        <v>396</v>
      </c>
      <c r="AD222" s="898"/>
      <c r="AE222" s="898"/>
      <c r="AF222" s="898"/>
      <c r="AG222" s="898"/>
      <c r="AH222" s="891"/>
    </row>
    <row r="223" spans="1:34" ht="12.75">
      <c r="A223" s="424"/>
      <c r="B223" s="175"/>
      <c r="C223" s="175"/>
      <c r="D223" s="175"/>
      <c r="E223" s="405"/>
      <c r="F223" s="369"/>
      <c r="G223" s="323"/>
      <c r="H223" s="175"/>
      <c r="I223" s="175"/>
      <c r="J223" s="175"/>
      <c r="K223" s="175"/>
      <c r="L223" s="405"/>
      <c r="M223" s="369"/>
      <c r="N223" s="323"/>
      <c r="O223" s="175"/>
      <c r="P223" s="175"/>
      <c r="Q223" s="175"/>
      <c r="R223" s="175"/>
      <c r="S223" s="405"/>
      <c r="T223" s="369"/>
      <c r="U223" s="323"/>
      <c r="V223" s="175"/>
      <c r="W223" s="175"/>
      <c r="X223" s="175"/>
      <c r="Y223" s="175"/>
      <c r="Z223" s="405"/>
      <c r="AA223" s="369"/>
      <c r="AB223" s="323"/>
      <c r="AC223" s="175"/>
      <c r="AD223" s="175"/>
      <c r="AE223" s="175"/>
      <c r="AF223" s="175"/>
      <c r="AG223" s="405"/>
      <c r="AH223" s="369"/>
    </row>
    <row r="224" spans="1:34" ht="13.5" thickBot="1">
      <c r="A224" s="424"/>
      <c r="B224" s="175"/>
      <c r="C224" s="175"/>
      <c r="D224" s="175"/>
      <c r="E224" s="405"/>
      <c r="F224" s="369"/>
      <c r="G224" s="323"/>
      <c r="H224" s="175"/>
      <c r="I224" s="175"/>
      <c r="J224" s="175"/>
      <c r="K224" s="175"/>
      <c r="L224" s="405"/>
      <c r="M224" s="369"/>
      <c r="N224" s="323"/>
      <c r="O224" s="175"/>
      <c r="P224" s="175"/>
      <c r="Q224" s="175"/>
      <c r="R224" s="175"/>
      <c r="S224" s="405"/>
      <c r="T224" s="369"/>
      <c r="U224" s="323"/>
      <c r="V224" s="175"/>
      <c r="W224" s="175"/>
      <c r="X224" s="175"/>
      <c r="Y224" s="175"/>
      <c r="Z224" s="405"/>
      <c r="AA224" s="369"/>
      <c r="AB224" s="323"/>
      <c r="AC224" s="175"/>
      <c r="AD224" s="175"/>
      <c r="AE224" s="175"/>
      <c r="AF224" s="175"/>
      <c r="AG224" s="405"/>
      <c r="AH224" s="369"/>
    </row>
    <row r="225" spans="1:34" ht="13.5" customHeight="1" thickBot="1">
      <c r="A225" s="899" t="s">
        <v>398</v>
      </c>
      <c r="B225" s="900"/>
      <c r="C225" s="698">
        <f>'Detailed Budget'!F44</f>
        <v>0</v>
      </c>
      <c r="D225" s="175"/>
      <c r="E225" s="405"/>
      <c r="F225" s="369"/>
      <c r="G225" s="323"/>
      <c r="H225" s="899" t="s">
        <v>399</v>
      </c>
      <c r="I225" s="900"/>
      <c r="J225" s="698">
        <f>'Detailed Budget'!H44</f>
        <v>0</v>
      </c>
      <c r="K225" s="175"/>
      <c r="L225" s="405"/>
      <c r="M225" s="369"/>
      <c r="N225" s="323"/>
      <c r="O225" s="899" t="s">
        <v>400</v>
      </c>
      <c r="P225" s="900"/>
      <c r="Q225" s="698">
        <f>'Detailed Budget'!J44</f>
        <v>0</v>
      </c>
      <c r="R225" s="175"/>
      <c r="S225" s="405"/>
      <c r="T225" s="369"/>
      <c r="U225" s="323"/>
      <c r="V225" s="899" t="s">
        <v>401</v>
      </c>
      <c r="W225" s="900"/>
      <c r="X225" s="698">
        <f>'Detailed Budget'!L44</f>
        <v>0</v>
      </c>
      <c r="Y225" s="175"/>
      <c r="Z225" s="405"/>
      <c r="AA225" s="369"/>
      <c r="AB225" s="323"/>
      <c r="AC225" s="899" t="s">
        <v>402</v>
      </c>
      <c r="AD225" s="900"/>
      <c r="AE225" s="698">
        <f>'Detailed Budget'!N44</f>
        <v>0</v>
      </c>
      <c r="AF225" s="175"/>
      <c r="AG225" s="405"/>
      <c r="AH225" s="369"/>
    </row>
    <row r="226" spans="1:34" ht="13.5" thickBot="1">
      <c r="A226" s="464"/>
      <c r="B226" s="465"/>
      <c r="C226" s="416"/>
      <c r="D226" s="436"/>
      <c r="E226" s="458"/>
      <c r="F226" s="459"/>
      <c r="G226" s="323"/>
      <c r="H226" s="465"/>
      <c r="I226" s="465"/>
      <c r="J226" s="416"/>
      <c r="K226" s="436"/>
      <c r="L226" s="458"/>
      <c r="M226" s="459"/>
      <c r="N226" s="323"/>
      <c r="O226" s="465"/>
      <c r="P226" s="465"/>
      <c r="Q226" s="416"/>
      <c r="R226" s="436"/>
      <c r="S226" s="458"/>
      <c r="T226" s="459"/>
      <c r="U226" s="323"/>
      <c r="V226" s="465"/>
      <c r="W226" s="465"/>
      <c r="X226" s="416"/>
      <c r="Y226" s="436"/>
      <c r="Z226" s="458"/>
      <c r="AA226" s="459"/>
      <c r="AB226" s="323"/>
      <c r="AC226" s="465"/>
      <c r="AD226" s="465"/>
      <c r="AE226" s="416"/>
      <c r="AF226" s="436"/>
      <c r="AG226" s="458"/>
      <c r="AH226" s="459"/>
    </row>
    <row r="227" spans="1:33" ht="12.75">
      <c r="A227" s="466"/>
      <c r="B227" s="467"/>
      <c r="C227" s="31"/>
      <c r="D227" s="175"/>
      <c r="E227" s="405"/>
      <c r="F227" s="369"/>
      <c r="G227" s="323"/>
      <c r="H227" s="467"/>
      <c r="I227" s="467"/>
      <c r="J227" s="31"/>
      <c r="L227" s="446"/>
      <c r="N227" s="323"/>
      <c r="O227" s="467"/>
      <c r="P227" s="467"/>
      <c r="Q227" s="31"/>
      <c r="S227" s="446"/>
      <c r="U227" s="323"/>
      <c r="V227" s="467"/>
      <c r="W227" s="467"/>
      <c r="X227" s="31"/>
      <c r="Z227" s="446"/>
      <c r="AB227" s="323"/>
      <c r="AC227" s="467"/>
      <c r="AD227" s="467"/>
      <c r="AE227" s="31"/>
      <c r="AG227" s="446"/>
    </row>
    <row r="228" spans="1:33" ht="12.75">
      <c r="A228" s="424"/>
      <c r="B228" s="175"/>
      <c r="C228" s="175"/>
      <c r="D228" s="175"/>
      <c r="E228" s="405"/>
      <c r="F228" s="369"/>
      <c r="G228" s="323"/>
      <c r="L228" s="446"/>
      <c r="N228" s="323"/>
      <c r="S228" s="446"/>
      <c r="U228" s="323"/>
      <c r="Z228" s="446"/>
      <c r="AB228" s="323"/>
      <c r="AG228" s="446"/>
    </row>
    <row r="229" spans="1:33" ht="13.5" thickBot="1">
      <c r="A229" s="424"/>
      <c r="B229" s="175"/>
      <c r="C229" s="175"/>
      <c r="D229" s="175"/>
      <c r="E229" s="405"/>
      <c r="F229" s="369"/>
      <c r="G229" s="323"/>
      <c r="L229" s="446"/>
      <c r="N229" s="323"/>
      <c r="S229" s="446"/>
      <c r="U229" s="323"/>
      <c r="Z229" s="446"/>
      <c r="AB229" s="323"/>
      <c r="AG229" s="446"/>
    </row>
    <row r="230" spans="1:34" ht="13.5" thickBot="1">
      <c r="A230" s="892" t="s">
        <v>338</v>
      </c>
      <c r="B230" s="893"/>
      <c r="C230" s="893"/>
      <c r="D230" s="893"/>
      <c r="E230" s="893"/>
      <c r="F230" s="894"/>
      <c r="G230" s="323"/>
      <c r="H230" s="892" t="s">
        <v>338</v>
      </c>
      <c r="I230" s="893"/>
      <c r="J230" s="893"/>
      <c r="K230" s="893"/>
      <c r="L230" s="893"/>
      <c r="M230" s="894"/>
      <c r="N230" s="323"/>
      <c r="O230" s="895" t="s">
        <v>338</v>
      </c>
      <c r="P230" s="896"/>
      <c r="Q230" s="896"/>
      <c r="R230" s="896"/>
      <c r="S230" s="896"/>
      <c r="T230" s="897"/>
      <c r="U230" s="323"/>
      <c r="V230" s="892" t="s">
        <v>338</v>
      </c>
      <c r="W230" s="893"/>
      <c r="X230" s="893"/>
      <c r="Y230" s="893"/>
      <c r="Z230" s="893"/>
      <c r="AA230" s="894"/>
      <c r="AB230" s="323"/>
      <c r="AC230" s="895" t="s">
        <v>338</v>
      </c>
      <c r="AD230" s="896"/>
      <c r="AE230" s="896"/>
      <c r="AF230" s="896"/>
      <c r="AG230" s="896"/>
      <c r="AH230" s="897"/>
    </row>
    <row r="231" spans="1:34" ht="13.5" thickBot="1">
      <c r="A231" s="699"/>
      <c r="B231" s="700"/>
      <c r="C231" s="700"/>
      <c r="D231" s="175"/>
      <c r="E231" s="405"/>
      <c r="F231" s="369"/>
      <c r="G231" s="323"/>
      <c r="H231" s="175"/>
      <c r="I231" s="175"/>
      <c r="J231" s="175"/>
      <c r="K231" s="175"/>
      <c r="L231" s="405"/>
      <c r="M231" s="369"/>
      <c r="N231" s="323"/>
      <c r="O231" s="175"/>
      <c r="P231" s="175"/>
      <c r="Q231" s="175"/>
      <c r="R231" s="175"/>
      <c r="S231" s="405"/>
      <c r="T231" s="369"/>
      <c r="U231" s="323"/>
      <c r="V231" s="175"/>
      <c r="W231" s="175"/>
      <c r="X231" s="175"/>
      <c r="Y231" s="175"/>
      <c r="Z231" s="405"/>
      <c r="AA231" s="369"/>
      <c r="AB231" s="323"/>
      <c r="AC231" s="175"/>
      <c r="AD231" s="175"/>
      <c r="AE231" s="175"/>
      <c r="AF231" s="175"/>
      <c r="AG231" s="405"/>
      <c r="AH231" s="369"/>
    </row>
    <row r="232" spans="1:34" ht="13.5" thickBot="1">
      <c r="A232" s="888" t="s">
        <v>339</v>
      </c>
      <c r="B232" s="889"/>
      <c r="C232" s="701">
        <f>B199</f>
        <v>28749.999999999996</v>
      </c>
      <c r="D232" s="175"/>
      <c r="E232" s="405"/>
      <c r="F232" s="369"/>
      <c r="G232" s="323"/>
      <c r="H232" s="888" t="s">
        <v>339</v>
      </c>
      <c r="I232" s="889"/>
      <c r="J232" s="701">
        <f>I199</f>
        <v>59224.99999999999</v>
      </c>
      <c r="K232" s="175"/>
      <c r="L232" s="405"/>
      <c r="M232" s="369"/>
      <c r="N232" s="323"/>
      <c r="O232" s="888" t="s">
        <v>339</v>
      </c>
      <c r="P232" s="889"/>
      <c r="Q232" s="701">
        <f>P199</f>
        <v>61001.74999999999</v>
      </c>
      <c r="R232" s="175"/>
      <c r="S232" s="405"/>
      <c r="T232" s="369"/>
      <c r="U232" s="323"/>
      <c r="V232" s="888" t="s">
        <v>339</v>
      </c>
      <c r="W232" s="889"/>
      <c r="X232" s="701">
        <f>W199</f>
        <v>62831.80249999999</v>
      </c>
      <c r="Y232" s="175"/>
      <c r="Z232" s="405"/>
      <c r="AA232" s="369"/>
      <c r="AB232" s="323"/>
      <c r="AC232" s="888" t="s">
        <v>339</v>
      </c>
      <c r="AD232" s="889"/>
      <c r="AE232" s="701">
        <f>AD199</f>
        <v>64716.75657499999</v>
      </c>
      <c r="AF232" s="175"/>
      <c r="AG232" s="405"/>
      <c r="AH232" s="369"/>
    </row>
    <row r="233" spans="1:34" ht="13.5" thickBot="1">
      <c r="A233" s="888" t="s">
        <v>340</v>
      </c>
      <c r="B233" s="889"/>
      <c r="C233" s="701">
        <f>B215</f>
        <v>0</v>
      </c>
      <c r="D233" s="175"/>
      <c r="E233" s="405"/>
      <c r="F233" s="369"/>
      <c r="G233" s="323"/>
      <c r="H233" s="888" t="s">
        <v>340</v>
      </c>
      <c r="I233" s="889"/>
      <c r="J233" s="701">
        <f>I215</f>
        <v>0</v>
      </c>
      <c r="K233" s="175"/>
      <c r="L233" s="405"/>
      <c r="M233" s="369"/>
      <c r="N233" s="323"/>
      <c r="O233" s="888" t="s">
        <v>340</v>
      </c>
      <c r="P233" s="889"/>
      <c r="Q233" s="701">
        <f>P215</f>
        <v>0</v>
      </c>
      <c r="R233" s="175"/>
      <c r="S233" s="405"/>
      <c r="T233" s="369"/>
      <c r="U233" s="323"/>
      <c r="V233" s="888" t="s">
        <v>340</v>
      </c>
      <c r="W233" s="889"/>
      <c r="X233" s="701">
        <f>W215</f>
        <v>0</v>
      </c>
      <c r="Y233" s="175"/>
      <c r="Z233" s="405"/>
      <c r="AA233" s="369"/>
      <c r="AB233" s="323"/>
      <c r="AC233" s="888" t="s">
        <v>340</v>
      </c>
      <c r="AD233" s="889"/>
      <c r="AE233" s="701">
        <f>AD215</f>
        <v>0</v>
      </c>
      <c r="AF233" s="175"/>
      <c r="AG233" s="405"/>
      <c r="AH233" s="369"/>
    </row>
    <row r="234" spans="1:34" ht="13.5" customHeight="1" thickBot="1">
      <c r="A234" s="890" t="s">
        <v>341</v>
      </c>
      <c r="B234" s="891"/>
      <c r="C234" s="492">
        <f>C225</f>
        <v>0</v>
      </c>
      <c r="D234" s="175"/>
      <c r="E234" s="405"/>
      <c r="F234" s="369"/>
      <c r="G234" s="323"/>
      <c r="H234" s="890" t="s">
        <v>341</v>
      </c>
      <c r="I234" s="891"/>
      <c r="J234" s="492">
        <f>J225</f>
        <v>0</v>
      </c>
      <c r="K234" s="175"/>
      <c r="L234" s="405"/>
      <c r="M234" s="369"/>
      <c r="N234" s="323"/>
      <c r="O234" s="890" t="s">
        <v>341</v>
      </c>
      <c r="P234" s="891"/>
      <c r="Q234" s="492">
        <f>Q225</f>
        <v>0</v>
      </c>
      <c r="R234" s="175"/>
      <c r="S234" s="405"/>
      <c r="T234" s="369"/>
      <c r="U234" s="323"/>
      <c r="V234" s="890" t="s">
        <v>341</v>
      </c>
      <c r="W234" s="891"/>
      <c r="X234" s="492">
        <f>X225</f>
        <v>0</v>
      </c>
      <c r="Y234" s="175"/>
      <c r="Z234" s="405"/>
      <c r="AA234" s="369"/>
      <c r="AB234" s="323"/>
      <c r="AC234" s="890" t="s">
        <v>341</v>
      </c>
      <c r="AD234" s="891"/>
      <c r="AE234" s="492">
        <f>AE225</f>
        <v>0</v>
      </c>
      <c r="AF234" s="175"/>
      <c r="AG234" s="405"/>
      <c r="AH234" s="369"/>
    </row>
    <row r="235" spans="1:34" ht="13.5" thickBot="1">
      <c r="A235" s="668" t="s">
        <v>342</v>
      </c>
      <c r="B235" s="702"/>
      <c r="C235" s="701">
        <f>SUM(C232:C234)</f>
        <v>28749.999999999996</v>
      </c>
      <c r="D235" s="175"/>
      <c r="E235" s="405"/>
      <c r="F235" s="369"/>
      <c r="G235" s="323"/>
      <c r="H235" s="719" t="s">
        <v>342</v>
      </c>
      <c r="I235" s="702"/>
      <c r="J235" s="701">
        <f>SUM(J232:J234)</f>
        <v>59224.99999999999</v>
      </c>
      <c r="K235" s="175"/>
      <c r="L235" s="405"/>
      <c r="M235" s="369"/>
      <c r="N235" s="323"/>
      <c r="O235" s="719" t="s">
        <v>342</v>
      </c>
      <c r="P235" s="702"/>
      <c r="Q235" s="701">
        <f>SUM(Q232:Q234)</f>
        <v>61001.74999999999</v>
      </c>
      <c r="R235" s="175"/>
      <c r="S235" s="405"/>
      <c r="T235" s="369"/>
      <c r="U235" s="323"/>
      <c r="V235" s="719" t="s">
        <v>342</v>
      </c>
      <c r="W235" s="702"/>
      <c r="X235" s="701">
        <f>SUM(X232:X234)</f>
        <v>62831.80249999999</v>
      </c>
      <c r="Y235" s="175"/>
      <c r="Z235" s="405"/>
      <c r="AA235" s="369"/>
      <c r="AB235" s="323"/>
      <c r="AC235" s="719" t="s">
        <v>342</v>
      </c>
      <c r="AD235" s="702"/>
      <c r="AE235" s="701">
        <f>SUM(AE232:AE234)</f>
        <v>64716.75657499999</v>
      </c>
      <c r="AF235" s="175"/>
      <c r="AG235" s="405"/>
      <c r="AH235" s="369"/>
    </row>
    <row r="236" spans="1:34" ht="12.75">
      <c r="A236" s="424"/>
      <c r="B236" s="175"/>
      <c r="C236" s="175"/>
      <c r="D236" s="175"/>
      <c r="E236" s="405"/>
      <c r="F236" s="369"/>
      <c r="G236" s="323"/>
      <c r="H236" s="175"/>
      <c r="I236" s="175"/>
      <c r="J236" s="175"/>
      <c r="K236" s="175"/>
      <c r="L236" s="405"/>
      <c r="M236" s="369"/>
      <c r="N236" s="323"/>
      <c r="O236" s="175"/>
      <c r="P236" s="175"/>
      <c r="Q236" s="175"/>
      <c r="R236" s="175"/>
      <c r="S236" s="405"/>
      <c r="T236" s="369"/>
      <c r="U236" s="323"/>
      <c r="V236" s="175"/>
      <c r="W236" s="175"/>
      <c r="X236" s="175"/>
      <c r="Y236" s="175"/>
      <c r="Z236" s="405"/>
      <c r="AA236" s="369"/>
      <c r="AB236" s="323"/>
      <c r="AC236" s="175"/>
      <c r="AD236" s="175"/>
      <c r="AE236" s="175"/>
      <c r="AF236" s="175"/>
      <c r="AG236" s="405"/>
      <c r="AH236" s="369"/>
    </row>
    <row r="237" spans="1:34" ht="12.75">
      <c r="A237" s="424"/>
      <c r="B237" s="175"/>
      <c r="C237" s="175"/>
      <c r="D237" s="175"/>
      <c r="E237" s="405"/>
      <c r="F237" s="369"/>
      <c r="G237" s="323"/>
      <c r="H237" s="175"/>
      <c r="I237" s="175"/>
      <c r="J237" s="175"/>
      <c r="K237" s="175"/>
      <c r="L237" s="405"/>
      <c r="M237" s="369"/>
      <c r="N237" s="323"/>
      <c r="O237" s="175"/>
      <c r="P237" s="175"/>
      <c r="Q237" s="175"/>
      <c r="R237" s="175"/>
      <c r="S237" s="405"/>
      <c r="T237" s="369"/>
      <c r="U237" s="323"/>
      <c r="V237" s="175"/>
      <c r="W237" s="175"/>
      <c r="X237" s="175"/>
      <c r="Y237" s="175"/>
      <c r="Z237" s="405"/>
      <c r="AA237" s="369"/>
      <c r="AB237" s="323"/>
      <c r="AC237" s="175"/>
      <c r="AD237" s="175"/>
      <c r="AE237" s="175"/>
      <c r="AF237" s="175"/>
      <c r="AG237" s="405"/>
      <c r="AH237" s="369"/>
    </row>
    <row r="238" spans="1:34" ht="13.5" thickBot="1">
      <c r="A238" s="435"/>
      <c r="B238" s="436"/>
      <c r="C238" s="436"/>
      <c r="D238" s="436"/>
      <c r="E238" s="458"/>
      <c r="F238" s="459"/>
      <c r="G238" s="468"/>
      <c r="H238" s="436"/>
      <c r="I238" s="436"/>
      <c r="J238" s="436"/>
      <c r="K238" s="436"/>
      <c r="L238" s="458"/>
      <c r="M238" s="459"/>
      <c r="N238" s="468"/>
      <c r="O238" s="436"/>
      <c r="P238" s="436"/>
      <c r="Q238" s="436"/>
      <c r="R238" s="436"/>
      <c r="S238" s="458"/>
      <c r="T238" s="459"/>
      <c r="U238" s="468"/>
      <c r="V238" s="436"/>
      <c r="W238" s="436"/>
      <c r="X238" s="436"/>
      <c r="Y238" s="436"/>
      <c r="Z238" s="458"/>
      <c r="AA238" s="459"/>
      <c r="AB238" s="468"/>
      <c r="AC238" s="436"/>
      <c r="AD238" s="436"/>
      <c r="AE238" s="436"/>
      <c r="AF238" s="436"/>
      <c r="AG238" s="458"/>
      <c r="AH238" s="459"/>
    </row>
  </sheetData>
  <sheetProtection password="C9A0" sheet="1"/>
  <mergeCells count="214">
    <mergeCell ref="A1:B1"/>
    <mergeCell ref="A6:F6"/>
    <mergeCell ref="H6:M6"/>
    <mergeCell ref="O6:T6"/>
    <mergeCell ref="V6:AA6"/>
    <mergeCell ref="AC6:AH6"/>
    <mergeCell ref="A7:F7"/>
    <mergeCell ref="H7:M7"/>
    <mergeCell ref="O7:T7"/>
    <mergeCell ref="V7:AA7"/>
    <mergeCell ref="AC7:AH7"/>
    <mergeCell ref="A9:B9"/>
    <mergeCell ref="H9:I9"/>
    <mergeCell ref="O9:P9"/>
    <mergeCell ref="V9:W9"/>
    <mergeCell ref="AC9:AD9"/>
    <mergeCell ref="A21:E22"/>
    <mergeCell ref="H21:L22"/>
    <mergeCell ref="O21:S22"/>
    <mergeCell ref="V21:Z22"/>
    <mergeCell ref="AC21:AG22"/>
    <mergeCell ref="A23:E23"/>
    <mergeCell ref="H23:L23"/>
    <mergeCell ref="O23:S23"/>
    <mergeCell ref="V23:Z23"/>
    <mergeCell ref="AC23:AG23"/>
    <mergeCell ref="A35:B35"/>
    <mergeCell ref="H35:I35"/>
    <mergeCell ref="O35:P35"/>
    <mergeCell ref="V35:W35"/>
    <mergeCell ref="AC35:AD35"/>
    <mergeCell ref="A41:B41"/>
    <mergeCell ref="H41:I41"/>
    <mergeCell ref="O41:P41"/>
    <mergeCell ref="V41:W41"/>
    <mergeCell ref="AC41:AD41"/>
    <mergeCell ref="A57:E57"/>
    <mergeCell ref="H57:L57"/>
    <mergeCell ref="O57:S57"/>
    <mergeCell ref="V57:Z57"/>
    <mergeCell ref="AC57:AG57"/>
    <mergeCell ref="A58:E58"/>
    <mergeCell ref="H58:L58"/>
    <mergeCell ref="O58:S58"/>
    <mergeCell ref="V58:Z58"/>
    <mergeCell ref="AC58:AG58"/>
    <mergeCell ref="A71:B71"/>
    <mergeCell ref="H71:I71"/>
    <mergeCell ref="O71:P71"/>
    <mergeCell ref="V71:W71"/>
    <mergeCell ref="AC71:AD71"/>
    <mergeCell ref="A77:B77"/>
    <mergeCell ref="H77:I77"/>
    <mergeCell ref="O77:P77"/>
    <mergeCell ref="V77:W77"/>
    <mergeCell ref="AC77:AD77"/>
    <mergeCell ref="A83:B83"/>
    <mergeCell ref="H83:I83"/>
    <mergeCell ref="O83:P83"/>
    <mergeCell ref="V83:W83"/>
    <mergeCell ref="AC83:AD83"/>
    <mergeCell ref="A91:E91"/>
    <mergeCell ref="H91:L91"/>
    <mergeCell ref="O91:S91"/>
    <mergeCell ref="V91:Z91"/>
    <mergeCell ref="AC91:AG91"/>
    <mergeCell ref="A92:E92"/>
    <mergeCell ref="H92:L92"/>
    <mergeCell ref="O92:S92"/>
    <mergeCell ref="V92:Z92"/>
    <mergeCell ref="AC92:AG92"/>
    <mergeCell ref="A102:B102"/>
    <mergeCell ref="F102:G102"/>
    <mergeCell ref="H102:I102"/>
    <mergeCell ref="O102:P102"/>
    <mergeCell ref="V102:W102"/>
    <mergeCell ref="AC102:AD102"/>
    <mergeCell ref="A108:B108"/>
    <mergeCell ref="F108:G108"/>
    <mergeCell ref="H108:I108"/>
    <mergeCell ref="O108:P108"/>
    <mergeCell ref="V108:W108"/>
    <mergeCell ref="AC108:AD108"/>
    <mergeCell ref="A114:B114"/>
    <mergeCell ref="F114:G114"/>
    <mergeCell ref="H114:I114"/>
    <mergeCell ref="O114:P114"/>
    <mergeCell ref="V114:W114"/>
    <mergeCell ref="AC114:AD114"/>
    <mergeCell ref="A122:E122"/>
    <mergeCell ref="H122:L122"/>
    <mergeCell ref="O122:S122"/>
    <mergeCell ref="V122:Z122"/>
    <mergeCell ref="AC122:AG122"/>
    <mergeCell ref="A134:B134"/>
    <mergeCell ref="H134:I134"/>
    <mergeCell ref="O134:P134"/>
    <mergeCell ref="V134:W134"/>
    <mergeCell ref="AC134:AD134"/>
    <mergeCell ref="A140:B140"/>
    <mergeCell ref="H140:I140"/>
    <mergeCell ref="O140:P140"/>
    <mergeCell ref="V140:W140"/>
    <mergeCell ref="AC140:AD140"/>
    <mergeCell ref="A146:B146"/>
    <mergeCell ref="H146:I146"/>
    <mergeCell ref="O146:P146"/>
    <mergeCell ref="V146:W146"/>
    <mergeCell ref="AC146:AD146"/>
    <mergeCell ref="A153:F153"/>
    <mergeCell ref="H153:M153"/>
    <mergeCell ref="O153:T153"/>
    <mergeCell ref="V153:AA153"/>
    <mergeCell ref="AC153:AH153"/>
    <mergeCell ref="A157:E157"/>
    <mergeCell ref="H157:L157"/>
    <mergeCell ref="O157:S157"/>
    <mergeCell ref="V157:Z157"/>
    <mergeCell ref="AC157:AG157"/>
    <mergeCell ref="A163:E164"/>
    <mergeCell ref="H163:L164"/>
    <mergeCell ref="O163:S164"/>
    <mergeCell ref="V163:Z164"/>
    <mergeCell ref="AC163:AG164"/>
    <mergeCell ref="A178:F179"/>
    <mergeCell ref="H178:M179"/>
    <mergeCell ref="O178:T179"/>
    <mergeCell ref="V178:AA179"/>
    <mergeCell ref="AC178:AH179"/>
    <mergeCell ref="A180:F181"/>
    <mergeCell ref="H180:M181"/>
    <mergeCell ref="O180:T181"/>
    <mergeCell ref="V180:AA181"/>
    <mergeCell ref="AC180:AH181"/>
    <mergeCell ref="A183:B183"/>
    <mergeCell ref="H183:I183"/>
    <mergeCell ref="O183:P183"/>
    <mergeCell ref="V183:W183"/>
    <mergeCell ref="AC183:AD183"/>
    <mergeCell ref="A184:F184"/>
    <mergeCell ref="H184:M184"/>
    <mergeCell ref="O184:T184"/>
    <mergeCell ref="V184:AA184"/>
    <mergeCell ref="AC184:AH184"/>
    <mergeCell ref="A185:F186"/>
    <mergeCell ref="H185:M186"/>
    <mergeCell ref="O185:T186"/>
    <mergeCell ref="V185:AA186"/>
    <mergeCell ref="AC185:AH186"/>
    <mergeCell ref="A204:F205"/>
    <mergeCell ref="H204:M205"/>
    <mergeCell ref="O204:T205"/>
    <mergeCell ref="V204:AA205"/>
    <mergeCell ref="AC204:AH205"/>
    <mergeCell ref="A206:A207"/>
    <mergeCell ref="B206:B207"/>
    <mergeCell ref="C206:C207"/>
    <mergeCell ref="D206:D207"/>
    <mergeCell ref="E206:E207"/>
    <mergeCell ref="H206:H207"/>
    <mergeCell ref="I206:I207"/>
    <mergeCell ref="J206:J207"/>
    <mergeCell ref="K206:K207"/>
    <mergeCell ref="L206:L207"/>
    <mergeCell ref="O206:O207"/>
    <mergeCell ref="AC206:AC207"/>
    <mergeCell ref="AD206:AD207"/>
    <mergeCell ref="AE206:AE207"/>
    <mergeCell ref="P206:P207"/>
    <mergeCell ref="Q206:Q207"/>
    <mergeCell ref="R206:R207"/>
    <mergeCell ref="S206:S207"/>
    <mergeCell ref="V206:V207"/>
    <mergeCell ref="W206:W207"/>
    <mergeCell ref="AF206:AF207"/>
    <mergeCell ref="AG206:AG207"/>
    <mergeCell ref="A221:F221"/>
    <mergeCell ref="H221:M221"/>
    <mergeCell ref="O221:T221"/>
    <mergeCell ref="V221:AA221"/>
    <mergeCell ref="AC221:AH221"/>
    <mergeCell ref="X206:X207"/>
    <mergeCell ref="Y206:Y207"/>
    <mergeCell ref="Z206:Z207"/>
    <mergeCell ref="A222:F222"/>
    <mergeCell ref="H222:M222"/>
    <mergeCell ref="O222:T222"/>
    <mergeCell ref="V222:AA222"/>
    <mergeCell ref="AC222:AH222"/>
    <mergeCell ref="A225:B225"/>
    <mergeCell ref="H225:I225"/>
    <mergeCell ref="O225:P225"/>
    <mergeCell ref="V225:W225"/>
    <mergeCell ref="AC225:AD225"/>
    <mergeCell ref="A230:F230"/>
    <mergeCell ref="H230:M230"/>
    <mergeCell ref="O230:T230"/>
    <mergeCell ref="V230:AA230"/>
    <mergeCell ref="AC230:AH230"/>
    <mergeCell ref="A232:B232"/>
    <mergeCell ref="H232:I232"/>
    <mergeCell ref="O232:P232"/>
    <mergeCell ref="V232:W232"/>
    <mergeCell ref="AC232:AD232"/>
    <mergeCell ref="A233:B233"/>
    <mergeCell ref="H233:I233"/>
    <mergeCell ref="O233:P233"/>
    <mergeCell ref="V233:W233"/>
    <mergeCell ref="AC233:AD233"/>
    <mergeCell ref="A234:B234"/>
    <mergeCell ref="H234:I234"/>
    <mergeCell ref="O234:P234"/>
    <mergeCell ref="V234:W234"/>
    <mergeCell ref="AC234:AD234"/>
  </mergeCells>
  <printOptions/>
  <pageMargins left="0.7" right="0.7" top="0.75" bottom="0.75" header="0.3" footer="0.3"/>
  <pageSetup horizontalDpi="600" verticalDpi="600" orientation="landscape" r:id="rId1"/>
  <headerFooter>
    <oddHeader>&amp;CSection 4.1a
Attachment 28
</oddHeader>
  </headerFooter>
</worksheet>
</file>

<file path=xl/worksheets/sheet7.xml><?xml version="1.0" encoding="utf-8"?>
<worksheet xmlns="http://schemas.openxmlformats.org/spreadsheetml/2006/main" xmlns:r="http://schemas.openxmlformats.org/officeDocument/2006/relationships">
  <dimension ref="A1:N61"/>
  <sheetViews>
    <sheetView view="pageLayout" workbookViewId="0" topLeftCell="A1">
      <selection activeCell="F2" sqref="F2"/>
    </sheetView>
  </sheetViews>
  <sheetFormatPr defaultColWidth="9.140625" defaultRowHeight="12.75"/>
  <cols>
    <col min="2" max="2" width="59.140625" style="0" customWidth="1"/>
    <col min="3" max="8" width="15.7109375" style="0" customWidth="1"/>
  </cols>
  <sheetData>
    <row r="1" spans="2:3" ht="18.75" customHeight="1" thickBot="1">
      <c r="B1" s="970" t="str">
        <f>'Budget Assumptions'!C1</f>
        <v>Passages Charter School - High School Campus</v>
      </c>
      <c r="C1" s="971"/>
    </row>
    <row r="2" spans="2:3" ht="18.75" customHeight="1" thickBot="1">
      <c r="B2" s="825" t="s">
        <v>495</v>
      </c>
      <c r="C2" s="5"/>
    </row>
    <row r="5" ht="13.5" thickBot="1"/>
    <row r="6" spans="1:14" ht="24" customHeight="1" thickBot="1">
      <c r="A6" s="19"/>
      <c r="B6" s="875" t="s">
        <v>483</v>
      </c>
      <c r="C6" s="877"/>
      <c r="D6" s="319">
        <f>'Detailed Budget'!F8</f>
        <v>2015</v>
      </c>
      <c r="E6" s="319">
        <f>'Detailed Budget'!H8</f>
        <v>2016</v>
      </c>
      <c r="F6" s="319">
        <f>'Detailed Budget'!J8</f>
        <v>2017</v>
      </c>
      <c r="G6" s="319">
        <f>'Detailed Budget'!L8</f>
        <v>2018</v>
      </c>
      <c r="H6" s="319">
        <f>'Detailed Budget'!N8</f>
        <v>2019</v>
      </c>
      <c r="I6" s="19"/>
      <c r="J6" s="19"/>
      <c r="K6" s="19"/>
      <c r="L6" s="19"/>
      <c r="M6" s="19"/>
      <c r="N6" s="19"/>
    </row>
    <row r="7" spans="1:14" ht="15" customHeight="1" thickBot="1">
      <c r="A7" s="19"/>
      <c r="B7" s="972" t="s">
        <v>484</v>
      </c>
      <c r="C7" s="973"/>
      <c r="D7" s="800">
        <f>IF(D32="Yes",IF((D31-C31)&lt;0,0,D31-C31),0)</f>
        <v>0</v>
      </c>
      <c r="E7" s="800">
        <f>IF(E32="Yes",IF((E31-D31)&lt;0,0,E31-D31),0)</f>
        <v>0</v>
      </c>
      <c r="F7" s="800">
        <f>IF(F32="Yes",IF((F31-E31)&lt;0,0,F31-E31),0)</f>
        <v>0</v>
      </c>
      <c r="G7" s="800">
        <f>IF(G32="Yes",IF((G31-F31)&lt;0,0,G31-F31),0)</f>
        <v>0</v>
      </c>
      <c r="H7" s="800">
        <f>IF(H32="Yes",IF((H31-G31)&lt;0,0,H31-G31),0)</f>
        <v>0</v>
      </c>
      <c r="I7" s="19"/>
      <c r="J7" s="19"/>
      <c r="K7" s="19"/>
      <c r="L7" s="19"/>
      <c r="M7" s="19"/>
      <c r="N7" s="19"/>
    </row>
    <row r="8" spans="1:14" ht="15" customHeight="1" thickBot="1">
      <c r="A8" s="19"/>
      <c r="B8" s="972" t="s">
        <v>485</v>
      </c>
      <c r="C8" s="973"/>
      <c r="D8" s="801">
        <v>800</v>
      </c>
      <c r="E8" s="796">
        <f>$D$8</f>
        <v>800</v>
      </c>
      <c r="F8" s="796">
        <f>$D$8</f>
        <v>800</v>
      </c>
      <c r="G8" s="796">
        <f>$D$8</f>
        <v>800</v>
      </c>
      <c r="H8" s="796">
        <f>$D$8</f>
        <v>800</v>
      </c>
      <c r="I8" s="19"/>
      <c r="J8" s="19"/>
      <c r="K8" s="19"/>
      <c r="L8" s="19"/>
      <c r="M8" s="19"/>
      <c r="N8" s="19"/>
    </row>
    <row r="9" spans="1:14" ht="15" customHeight="1" thickBot="1">
      <c r="A9" s="19"/>
      <c r="B9" s="967" t="s">
        <v>486</v>
      </c>
      <c r="C9" s="968"/>
      <c r="D9" s="797">
        <f>D7*D8</f>
        <v>0</v>
      </c>
      <c r="E9" s="797">
        <f>E7*E8</f>
        <v>0</v>
      </c>
      <c r="F9" s="797">
        <f>F7*F8</f>
        <v>0</v>
      </c>
      <c r="G9" s="797">
        <f>G7*G8</f>
        <v>0</v>
      </c>
      <c r="H9" s="797">
        <f>H7*H8</f>
        <v>0</v>
      </c>
      <c r="I9" s="19"/>
      <c r="J9" s="19"/>
      <c r="K9" s="19"/>
      <c r="L9" s="19"/>
      <c r="M9" s="19"/>
      <c r="N9" s="19"/>
    </row>
    <row r="10" spans="1:14" ht="13.5" thickBot="1">
      <c r="A10" s="19"/>
      <c r="B10" s="798"/>
      <c r="D10" s="799"/>
      <c r="E10" s="799"/>
      <c r="F10" s="799"/>
      <c r="G10" s="799"/>
      <c r="H10" s="799"/>
      <c r="I10" s="19"/>
      <c r="J10" s="19"/>
      <c r="K10" s="19"/>
      <c r="L10" s="19"/>
      <c r="M10" s="19"/>
      <c r="N10" s="19"/>
    </row>
    <row r="11" spans="1:14" ht="16.5" thickBot="1">
      <c r="A11" s="19"/>
      <c r="B11" s="875" t="s">
        <v>487</v>
      </c>
      <c r="C11" s="877"/>
      <c r="D11" s="799"/>
      <c r="E11" s="799"/>
      <c r="F11" s="799"/>
      <c r="G11" s="799"/>
      <c r="H11" s="799"/>
      <c r="I11" s="19"/>
      <c r="J11" s="19"/>
      <c r="K11" s="19"/>
      <c r="L11" s="19"/>
      <c r="M11" s="19"/>
      <c r="N11" s="19"/>
    </row>
    <row r="12" spans="1:14" ht="15" customHeight="1" thickBot="1">
      <c r="A12" s="19"/>
      <c r="B12" s="972" t="s">
        <v>484</v>
      </c>
      <c r="C12" s="974"/>
      <c r="D12" s="795">
        <f>IF(D41="Yes",IF((D40-C40)&lt;0,0,D40-C40),0)</f>
        <v>60</v>
      </c>
      <c r="E12" s="795">
        <f>IF(E41="Yes",IF((E40-D40)&lt;0,0,E40-D40),0)</f>
        <v>60</v>
      </c>
      <c r="F12" s="795">
        <f>IF(F41="Yes",IF((F40-E40)&lt;0,0,F40-E40),0)</f>
        <v>60</v>
      </c>
      <c r="G12" s="795">
        <f>IF(G41="Yes",IF((G40-F40)&lt;0,0,G40-F40),0)</f>
        <v>60</v>
      </c>
      <c r="H12" s="795">
        <f>IF(H41="Yes",IF((H40-G40)&lt;0,0,H40-G40),0)</f>
        <v>0</v>
      </c>
      <c r="I12" s="19"/>
      <c r="J12" s="19"/>
      <c r="K12" s="19"/>
      <c r="L12" s="19"/>
      <c r="M12" s="19"/>
      <c r="N12" s="19"/>
    </row>
    <row r="13" spans="1:14" ht="15" customHeight="1" thickBot="1">
      <c r="A13" s="19"/>
      <c r="B13" s="972" t="s">
        <v>485</v>
      </c>
      <c r="C13" s="973"/>
      <c r="D13" s="801">
        <v>1000</v>
      </c>
      <c r="E13" s="796">
        <f>$D$13</f>
        <v>1000</v>
      </c>
      <c r="F13" s="796">
        <f>$D$13</f>
        <v>1000</v>
      </c>
      <c r="G13" s="796">
        <f>$D$13</f>
        <v>1000</v>
      </c>
      <c r="H13" s="796">
        <f>$D$13</f>
        <v>1000</v>
      </c>
      <c r="I13" s="19"/>
      <c r="J13" s="19"/>
      <c r="K13" s="19"/>
      <c r="L13" s="19"/>
      <c r="M13" s="19"/>
      <c r="N13" s="19"/>
    </row>
    <row r="14" spans="1:14" ht="15" customHeight="1" thickBot="1">
      <c r="A14" s="19"/>
      <c r="B14" s="967" t="s">
        <v>488</v>
      </c>
      <c r="C14" s="968"/>
      <c r="D14" s="797">
        <f>D12*D13</f>
        <v>60000</v>
      </c>
      <c r="E14" s="797">
        <f>E12*E13</f>
        <v>60000</v>
      </c>
      <c r="F14" s="797">
        <f>F12*F13</f>
        <v>60000</v>
      </c>
      <c r="G14" s="797">
        <f>G12*G13</f>
        <v>60000</v>
      </c>
      <c r="H14" s="797">
        <f>H12*H13</f>
        <v>0</v>
      </c>
      <c r="I14" s="19"/>
      <c r="J14" s="19"/>
      <c r="K14" s="19"/>
      <c r="L14" s="19"/>
      <c r="M14" s="19"/>
      <c r="N14" s="19"/>
    </row>
    <row r="15" spans="1:14" ht="13.5" thickBot="1">
      <c r="A15" s="19"/>
      <c r="B15" s="969"/>
      <c r="C15" s="969"/>
      <c r="D15" s="445"/>
      <c r="E15" s="445"/>
      <c r="F15" s="445"/>
      <c r="G15" s="445"/>
      <c r="H15" s="445"/>
      <c r="I15" s="19"/>
      <c r="J15" s="19"/>
      <c r="K15" s="19"/>
      <c r="L15" s="19"/>
      <c r="M15" s="19"/>
      <c r="N15" s="19"/>
    </row>
    <row r="16" spans="1:14" ht="16.5" thickBot="1">
      <c r="A16" s="19"/>
      <c r="B16" s="875" t="s">
        <v>489</v>
      </c>
      <c r="C16" s="877"/>
      <c r="D16" s="797">
        <f>D9+D14</f>
        <v>60000</v>
      </c>
      <c r="E16" s="797">
        <f>E9+E14</f>
        <v>60000</v>
      </c>
      <c r="F16" s="797">
        <f>F9+F14</f>
        <v>60000</v>
      </c>
      <c r="G16" s="797">
        <f>G9+G14</f>
        <v>60000</v>
      </c>
      <c r="H16" s="797">
        <f>H9+H14</f>
        <v>0</v>
      </c>
      <c r="I16" s="19"/>
      <c r="J16" s="19"/>
      <c r="K16" s="19"/>
      <c r="L16" s="19"/>
      <c r="M16" s="19"/>
      <c r="N16" s="19"/>
    </row>
    <row r="17" spans="1:14" ht="12.75">
      <c r="A17" s="19"/>
      <c r="D17" s="514"/>
      <c r="E17" s="514"/>
      <c r="F17" s="514"/>
      <c r="G17" s="514"/>
      <c r="H17" s="514"/>
      <c r="I17" s="19"/>
      <c r="J17" s="19"/>
      <c r="K17" s="19"/>
      <c r="L17" s="19"/>
      <c r="M17" s="19"/>
      <c r="N17" s="19"/>
    </row>
    <row r="18" spans="1:14" ht="12.75">
      <c r="A18" s="19"/>
      <c r="B18" s="19"/>
      <c r="C18" s="19"/>
      <c r="D18" s="19"/>
      <c r="E18" s="19"/>
      <c r="F18" s="19"/>
      <c r="G18" s="19"/>
      <c r="H18" s="19"/>
      <c r="I18" s="19"/>
      <c r="J18" s="19"/>
      <c r="K18" s="19"/>
      <c r="L18" s="19"/>
      <c r="M18" s="19"/>
      <c r="N18" s="19"/>
    </row>
    <row r="19" spans="1:8" ht="13.5" thickBot="1">
      <c r="A19" s="19"/>
      <c r="B19" s="19"/>
      <c r="C19" s="19"/>
      <c r="D19" s="19"/>
      <c r="E19" s="19"/>
      <c r="F19" s="19"/>
      <c r="G19" s="19"/>
      <c r="H19" s="19"/>
    </row>
    <row r="20" spans="1:8" ht="24" customHeight="1" thickBot="1">
      <c r="A20" s="19"/>
      <c r="B20" s="880" t="s">
        <v>462</v>
      </c>
      <c r="C20" s="881"/>
      <c r="D20" s="881"/>
      <c r="E20" s="881"/>
      <c r="F20" s="881"/>
      <c r="G20" s="881"/>
      <c r="H20" s="882"/>
    </row>
    <row r="21" spans="1:8" ht="17.25" customHeight="1" thickBot="1">
      <c r="A21" s="19"/>
      <c r="B21" s="506" t="s">
        <v>463</v>
      </c>
      <c r="C21" s="506" t="s">
        <v>490</v>
      </c>
      <c r="D21" s="506">
        <f>D6</f>
        <v>2015</v>
      </c>
      <c r="E21" s="506">
        <f>E6</f>
        <v>2016</v>
      </c>
      <c r="F21" s="506">
        <f>F6</f>
        <v>2017</v>
      </c>
      <c r="G21" s="506">
        <f>G6</f>
        <v>2018</v>
      </c>
      <c r="H21" s="506">
        <f>H6</f>
        <v>2019</v>
      </c>
    </row>
    <row r="22" spans="1:8" ht="15" customHeight="1" thickBot="1">
      <c r="A22" s="19"/>
      <c r="B22" s="780" t="s">
        <v>464</v>
      </c>
      <c r="C22" s="283"/>
      <c r="D22" s="781">
        <f>'Revenues-Per Capita &amp; SPED'!D26</f>
        <v>0</v>
      </c>
      <c r="E22" s="782">
        <f>'Revenues-Per Capita &amp; SPED'!K26</f>
        <v>0</v>
      </c>
      <c r="F22" s="781">
        <f>'Revenues-Per Capita &amp; SPED'!R26</f>
        <v>0</v>
      </c>
      <c r="G22" s="781">
        <f>'Revenues-Per Capita &amp; SPED'!Y26</f>
        <v>0</v>
      </c>
      <c r="H22" s="781">
        <f>'Revenues-Per Capita &amp; SPED'!AF26</f>
        <v>0</v>
      </c>
    </row>
    <row r="23" spans="1:8" ht="15" customHeight="1" thickBot="1">
      <c r="A23" s="19"/>
      <c r="B23" s="783" t="s">
        <v>465</v>
      </c>
      <c r="C23" s="283"/>
      <c r="D23" s="781">
        <f>'Revenues-Per Capita &amp; SPED'!D27</f>
        <v>0</v>
      </c>
      <c r="E23" s="782">
        <f>'Revenues-Per Capita &amp; SPED'!K27</f>
        <v>0</v>
      </c>
      <c r="F23" s="781">
        <f>'Revenues-Per Capita &amp; SPED'!R27</f>
        <v>0</v>
      </c>
      <c r="G23" s="781">
        <f>'Revenues-Per Capita &amp; SPED'!Y27</f>
        <v>0</v>
      </c>
      <c r="H23" s="781">
        <f>'Revenues-Per Capita &amp; SPED'!AF27</f>
        <v>0</v>
      </c>
    </row>
    <row r="24" spans="1:8" ht="15" customHeight="1" thickBot="1">
      <c r="A24" s="19"/>
      <c r="B24" s="783" t="s">
        <v>466</v>
      </c>
      <c r="C24" s="283"/>
      <c r="D24" s="781">
        <f>'Revenues-Per Capita &amp; SPED'!D28</f>
        <v>0</v>
      </c>
      <c r="E24" s="782">
        <f>'Revenues-Per Capita &amp; SPED'!K28</f>
        <v>0</v>
      </c>
      <c r="F24" s="781">
        <f>'Revenues-Per Capita &amp; SPED'!R28</f>
        <v>0</v>
      </c>
      <c r="G24" s="781">
        <f>'Revenues-Per Capita &amp; SPED'!Y28</f>
        <v>0</v>
      </c>
      <c r="H24" s="781">
        <f>'Revenues-Per Capita &amp; SPED'!AF28</f>
        <v>0</v>
      </c>
    </row>
    <row r="25" spans="1:8" ht="15" customHeight="1" thickBot="1">
      <c r="A25" s="19"/>
      <c r="B25" s="783" t="s">
        <v>467</v>
      </c>
      <c r="C25" s="283"/>
      <c r="D25" s="781">
        <f>'Revenues-Per Capita &amp; SPED'!D29</f>
        <v>0</v>
      </c>
      <c r="E25" s="782">
        <f>'Revenues-Per Capita &amp; SPED'!K29</f>
        <v>0</v>
      </c>
      <c r="F25" s="781">
        <f>'Revenues-Per Capita &amp; SPED'!R29</f>
        <v>0</v>
      </c>
      <c r="G25" s="781">
        <f>'Revenues-Per Capita &amp; SPED'!Y29</f>
        <v>0</v>
      </c>
      <c r="H25" s="781">
        <f>'Revenues-Per Capita &amp; SPED'!AF29</f>
        <v>0</v>
      </c>
    </row>
    <row r="26" spans="1:8" ht="15" customHeight="1" thickBot="1">
      <c r="A26" s="19"/>
      <c r="B26" s="783" t="s">
        <v>468</v>
      </c>
      <c r="C26" s="283"/>
      <c r="D26" s="782">
        <f>'Revenues-Per Capita &amp; SPED'!D61</f>
        <v>0</v>
      </c>
      <c r="E26" s="782">
        <f>'Revenues-Per Capita &amp; SPED'!K61</f>
        <v>0</v>
      </c>
      <c r="F26" s="782">
        <f>'Revenues-Per Capita &amp; SPED'!R61</f>
        <v>0</v>
      </c>
      <c r="G26" s="782">
        <f>'Revenues-Per Capita &amp; SPED'!Y61</f>
        <v>0</v>
      </c>
      <c r="H26" s="782">
        <f>'Revenues-Per Capita &amp; SPED'!AF61</f>
        <v>0</v>
      </c>
    </row>
    <row r="27" spans="1:8" ht="15" customHeight="1" thickBot="1">
      <c r="A27" s="19"/>
      <c r="B27" s="783" t="s">
        <v>469</v>
      </c>
      <c r="C27" s="283"/>
      <c r="D27" s="782">
        <f>'Revenues-Per Capita &amp; SPED'!D62</f>
        <v>0</v>
      </c>
      <c r="E27" s="782">
        <f>'Revenues-Per Capita &amp; SPED'!K62</f>
        <v>0</v>
      </c>
      <c r="F27" s="782">
        <f>'Revenues-Per Capita &amp; SPED'!R62</f>
        <v>0</v>
      </c>
      <c r="G27" s="782">
        <f>'Revenues-Per Capita &amp; SPED'!Y62</f>
        <v>0</v>
      </c>
      <c r="H27" s="782">
        <f>'Revenues-Per Capita &amp; SPED'!AF62</f>
        <v>0</v>
      </c>
    </row>
    <row r="28" spans="1:8" ht="15" customHeight="1" thickBot="1">
      <c r="A28" s="19"/>
      <c r="B28" s="783" t="s">
        <v>470</v>
      </c>
      <c r="C28" s="283"/>
      <c r="D28" s="782">
        <f>'Revenues-Per Capita &amp; SPED'!D63+'Revenues-Per Capita &amp; SPED'!E95</f>
        <v>0</v>
      </c>
      <c r="E28" s="782">
        <f>'Revenues-Per Capita &amp; SPED'!K63+'Revenues-Per Capita &amp; SPED'!L95</f>
        <v>0</v>
      </c>
      <c r="F28" s="782">
        <f>'Revenues-Per Capita &amp; SPED'!R63</f>
        <v>0</v>
      </c>
      <c r="G28" s="782">
        <f>'Revenues-Per Capita &amp; SPED'!Y63</f>
        <v>0</v>
      </c>
      <c r="H28" s="782">
        <f>'Revenues-Per Capita &amp; SPED'!AF63</f>
        <v>0</v>
      </c>
    </row>
    <row r="29" spans="1:8" ht="15" customHeight="1" thickBot="1">
      <c r="A29" s="19"/>
      <c r="B29" s="783" t="s">
        <v>471</v>
      </c>
      <c r="C29" s="283"/>
      <c r="D29" s="782">
        <f>'Revenues-Per Capita &amp; SPED'!D64+'Revenues-Per Capita &amp; SPED'!E96</f>
        <v>0</v>
      </c>
      <c r="E29" s="782">
        <f>'Revenues-Per Capita &amp; SPED'!K64+'Revenues-Per Capita &amp; SPED'!L96</f>
        <v>0</v>
      </c>
      <c r="F29" s="782">
        <f>'Revenues-Per Capita &amp; SPED'!R64</f>
        <v>0</v>
      </c>
      <c r="G29" s="782">
        <f>'Revenues-Per Capita &amp; SPED'!Y64</f>
        <v>0</v>
      </c>
      <c r="H29" s="782">
        <f>'Revenues-Per Capita &amp; SPED'!AF64</f>
        <v>0</v>
      </c>
    </row>
    <row r="30" spans="1:8" ht="15" customHeight="1" thickBot="1">
      <c r="A30" s="19"/>
      <c r="B30" s="783" t="s">
        <v>472</v>
      </c>
      <c r="C30" s="283"/>
      <c r="D30" s="782">
        <f>'Revenues-Per Capita &amp; SPED'!D65+'Revenues-Per Capita &amp; SPED'!E97</f>
        <v>0</v>
      </c>
      <c r="E30" s="782">
        <f>'Revenues-Per Capita &amp; SPED'!K65+'Revenues-Per Capita &amp; SPED'!L97</f>
        <v>0</v>
      </c>
      <c r="F30" s="782">
        <f>'Revenues-Per Capita &amp; SPED'!R65</f>
        <v>0</v>
      </c>
      <c r="G30" s="782">
        <f>'Revenues-Per Capita &amp; SPED'!Y65</f>
        <v>0</v>
      </c>
      <c r="H30" s="782">
        <f>'Revenues-Per Capita &amp; SPED'!AF65</f>
        <v>0</v>
      </c>
    </row>
    <row r="31" spans="1:8" ht="15" customHeight="1" thickBot="1">
      <c r="A31" s="19"/>
      <c r="B31" s="506" t="s">
        <v>473</v>
      </c>
      <c r="C31" s="784">
        <f aca="true" t="shared" si="0" ref="C31:H31">SUM(C22:C30)</f>
        <v>0</v>
      </c>
      <c r="D31" s="784">
        <f t="shared" si="0"/>
        <v>0</v>
      </c>
      <c r="E31" s="784">
        <f t="shared" si="0"/>
        <v>0</v>
      </c>
      <c r="F31" s="784">
        <f t="shared" si="0"/>
        <v>0</v>
      </c>
      <c r="G31" s="784">
        <f t="shared" si="0"/>
        <v>0</v>
      </c>
      <c r="H31" s="784">
        <f t="shared" si="0"/>
        <v>0</v>
      </c>
    </row>
    <row r="32" spans="1:8" ht="26.25" thickBot="1">
      <c r="A32" s="19"/>
      <c r="B32" s="785" t="s">
        <v>474</v>
      </c>
      <c r="C32" s="207" t="s">
        <v>194</v>
      </c>
      <c r="D32" s="802"/>
      <c r="E32" s="802"/>
      <c r="F32" s="802"/>
      <c r="G32" s="802"/>
      <c r="H32" s="802"/>
    </row>
    <row r="33" spans="1:8" ht="12.75">
      <c r="A33" s="19"/>
      <c r="B33" s="786"/>
      <c r="C33" s="786"/>
      <c r="D33" s="787"/>
      <c r="E33" s="445"/>
      <c r="F33" s="445"/>
      <c r="G33" s="445"/>
      <c r="H33" s="445"/>
    </row>
    <row r="34" spans="1:8" ht="13.5" thickBot="1">
      <c r="A34" s="184"/>
      <c r="B34" s="788"/>
      <c r="C34" s="788"/>
      <c r="D34" s="445"/>
      <c r="E34" s="445"/>
      <c r="F34" s="445"/>
      <c r="G34" s="445"/>
      <c r="H34" s="445"/>
    </row>
    <row r="35" spans="1:8" ht="17.25" customHeight="1" thickBot="1">
      <c r="A35" s="19"/>
      <c r="B35" s="789" t="s">
        <v>476</v>
      </c>
      <c r="C35" s="789" t="str">
        <f aca="true" t="shared" si="1" ref="C35:H35">C21</f>
        <v>FY 2014</v>
      </c>
      <c r="D35" s="506">
        <f t="shared" si="1"/>
        <v>2015</v>
      </c>
      <c r="E35" s="506">
        <f t="shared" si="1"/>
        <v>2016</v>
      </c>
      <c r="F35" s="506">
        <f t="shared" si="1"/>
        <v>2017</v>
      </c>
      <c r="G35" s="506">
        <f t="shared" si="1"/>
        <v>2018</v>
      </c>
      <c r="H35" s="506">
        <f t="shared" si="1"/>
        <v>2019</v>
      </c>
    </row>
    <row r="36" spans="1:8" ht="15" customHeight="1" thickBot="1">
      <c r="A36" s="19"/>
      <c r="B36" s="783" t="s">
        <v>477</v>
      </c>
      <c r="C36" s="838"/>
      <c r="D36" s="782">
        <f>'Revenues-Per Capita &amp; SPED'!E125</f>
        <v>60</v>
      </c>
      <c r="E36" s="782">
        <f>'Revenues-Per Capita &amp; SPED'!L125</f>
        <v>60</v>
      </c>
      <c r="F36" s="781">
        <f>'Revenues-Per Capita &amp; SPED'!S125</f>
        <v>60</v>
      </c>
      <c r="G36" s="781">
        <f>'Revenues-Per Capita &amp; SPED'!Z125</f>
        <v>60</v>
      </c>
      <c r="H36" s="781">
        <f>'Revenues-Per Capita &amp; SPED'!AG125</f>
        <v>60</v>
      </c>
    </row>
    <row r="37" spans="1:8" ht="15" customHeight="1" thickBot="1">
      <c r="A37" s="19"/>
      <c r="B37" s="783" t="s">
        <v>478</v>
      </c>
      <c r="C37" s="839"/>
      <c r="D37" s="782">
        <f>'Revenues-Per Capita &amp; SPED'!E126</f>
        <v>0</v>
      </c>
      <c r="E37" s="782">
        <f>'Revenues-Per Capita &amp; SPED'!L126</f>
        <v>60</v>
      </c>
      <c r="F37" s="781">
        <f>'Revenues-Per Capita &amp; SPED'!S126</f>
        <v>60</v>
      </c>
      <c r="G37" s="781">
        <f>'Revenues-Per Capita &amp; SPED'!Z126</f>
        <v>60</v>
      </c>
      <c r="H37" s="781">
        <f>'Revenues-Per Capita &amp; SPED'!AG126</f>
        <v>60</v>
      </c>
    </row>
    <row r="38" spans="1:8" ht="15" customHeight="1" thickBot="1">
      <c r="A38" s="19"/>
      <c r="B38" s="783" t="s">
        <v>479</v>
      </c>
      <c r="C38" s="839"/>
      <c r="D38" s="782">
        <f>'Revenues-Per Capita &amp; SPED'!E127</f>
        <v>0</v>
      </c>
      <c r="E38" s="782">
        <f>'Revenues-Per Capita &amp; SPED'!L127</f>
        <v>0</v>
      </c>
      <c r="F38" s="781">
        <f>'Revenues-Per Capita &amp; SPED'!S127</f>
        <v>60</v>
      </c>
      <c r="G38" s="781">
        <f>'Revenues-Per Capita &amp; SPED'!Z127</f>
        <v>60</v>
      </c>
      <c r="H38" s="781">
        <f>'Revenues-Per Capita &amp; SPED'!AG127</f>
        <v>60</v>
      </c>
    </row>
    <row r="39" spans="1:8" ht="15" customHeight="1" thickBot="1">
      <c r="A39" s="19"/>
      <c r="B39" s="783" t="s">
        <v>480</v>
      </c>
      <c r="C39" s="839"/>
      <c r="D39" s="782">
        <f>'Revenues-Per Capita &amp; SPED'!E128</f>
        <v>0</v>
      </c>
      <c r="E39" s="782">
        <f>'Revenues-Per Capita &amp; SPED'!L128</f>
        <v>0</v>
      </c>
      <c r="F39" s="781">
        <f>'Revenues-Per Capita &amp; SPED'!S128</f>
        <v>0</v>
      </c>
      <c r="G39" s="781">
        <f>'Revenues-Per Capita &amp; SPED'!Z128</f>
        <v>60</v>
      </c>
      <c r="H39" s="781">
        <f>'Revenues-Per Capita &amp; SPED'!AG128</f>
        <v>60</v>
      </c>
    </row>
    <row r="40" spans="1:8" ht="15" customHeight="1" thickBot="1">
      <c r="A40" s="19"/>
      <c r="B40" s="784" t="s">
        <v>481</v>
      </c>
      <c r="C40" s="784">
        <f aca="true" t="shared" si="2" ref="C40:H40">SUM(C36:C39)</f>
        <v>0</v>
      </c>
      <c r="D40" s="784">
        <f t="shared" si="2"/>
        <v>60</v>
      </c>
      <c r="E40" s="784">
        <f t="shared" si="2"/>
        <v>120</v>
      </c>
      <c r="F40" s="784">
        <f t="shared" si="2"/>
        <v>180</v>
      </c>
      <c r="G40" s="784">
        <f t="shared" si="2"/>
        <v>240</v>
      </c>
      <c r="H40" s="784">
        <f t="shared" si="2"/>
        <v>240</v>
      </c>
    </row>
    <row r="41" spans="1:8" ht="26.25" thickBot="1">
      <c r="A41" s="19"/>
      <c r="B41" s="785" t="s">
        <v>482</v>
      </c>
      <c r="C41" s="207" t="s">
        <v>194</v>
      </c>
      <c r="D41" s="802" t="s">
        <v>475</v>
      </c>
      <c r="E41" s="802" t="s">
        <v>475</v>
      </c>
      <c r="F41" s="802" t="s">
        <v>475</v>
      </c>
      <c r="G41" s="802" t="s">
        <v>475</v>
      </c>
      <c r="H41" s="802" t="s">
        <v>515</v>
      </c>
    </row>
    <row r="42" spans="1:8" ht="13.5" thickBot="1">
      <c r="A42" s="19"/>
      <c r="B42" s="790"/>
      <c r="C42" s="790"/>
      <c r="D42" s="445"/>
      <c r="E42" s="445"/>
      <c r="F42" s="445"/>
      <c r="G42" s="445"/>
      <c r="H42" s="445"/>
    </row>
    <row r="43" spans="1:8" ht="13.5" thickBot="1">
      <c r="A43" s="19"/>
      <c r="B43" s="506" t="s">
        <v>125</v>
      </c>
      <c r="C43" s="784">
        <f aca="true" t="shared" si="3" ref="C43:H43">C31+C40</f>
        <v>0</v>
      </c>
      <c r="D43" s="784">
        <f t="shared" si="3"/>
        <v>60</v>
      </c>
      <c r="E43" s="784">
        <f t="shared" si="3"/>
        <v>120</v>
      </c>
      <c r="F43" s="784">
        <f t="shared" si="3"/>
        <v>180</v>
      </c>
      <c r="G43" s="784">
        <f t="shared" si="3"/>
        <v>240</v>
      </c>
      <c r="H43" s="784">
        <f t="shared" si="3"/>
        <v>240</v>
      </c>
    </row>
    <row r="60" ht="12.75" hidden="1">
      <c r="B60" s="44" t="s">
        <v>475</v>
      </c>
    </row>
    <row r="61" ht="12.75" hidden="1">
      <c r="B61" s="44" t="s">
        <v>515</v>
      </c>
    </row>
  </sheetData>
  <sheetProtection password="C9A0" sheet="1"/>
  <mergeCells count="12">
    <mergeCell ref="B12:C12"/>
    <mergeCell ref="B13:C13"/>
    <mergeCell ref="B14:C14"/>
    <mergeCell ref="B15:C15"/>
    <mergeCell ref="B16:C16"/>
    <mergeCell ref="B1:C1"/>
    <mergeCell ref="B20:H20"/>
    <mergeCell ref="B6:C6"/>
    <mergeCell ref="B7:C7"/>
    <mergeCell ref="B8:C8"/>
    <mergeCell ref="B9:C9"/>
    <mergeCell ref="B11:C11"/>
  </mergeCells>
  <dataValidations count="1">
    <dataValidation type="list" allowBlank="1" showInputMessage="1" showErrorMessage="1" sqref="D32:H32 D41:H41">
      <formula1>$B$60:$B$61</formula1>
    </dataValidation>
  </dataValidations>
  <printOptions/>
  <pageMargins left="0.7" right="0.7" top="0.75" bottom="0.75" header="0.3" footer="0.3"/>
  <pageSetup horizontalDpi="600" verticalDpi="600" orientation="landscape" r:id="rId1"/>
  <headerFooter>
    <oddHeader>&amp;CSection 4.1a
Attachment 28
</oddHeader>
  </headerFooter>
</worksheet>
</file>

<file path=xl/worksheets/sheet8.xml><?xml version="1.0" encoding="utf-8"?>
<worksheet xmlns="http://schemas.openxmlformats.org/spreadsheetml/2006/main" xmlns:r="http://schemas.openxmlformats.org/officeDocument/2006/relationships">
  <dimension ref="A1:O151"/>
  <sheetViews>
    <sheetView view="pageLayout" zoomScaleNormal="90" workbookViewId="0" topLeftCell="A1">
      <selection activeCell="F2" sqref="F2"/>
    </sheetView>
  </sheetViews>
  <sheetFormatPr defaultColWidth="9.140625" defaultRowHeight="12.75"/>
  <cols>
    <col min="1" max="1" width="72.57421875" style="0" customWidth="1"/>
    <col min="2" max="2" width="26.421875" style="0" customWidth="1"/>
    <col min="3" max="3" width="2.7109375" style="0" customWidth="1"/>
    <col min="4" max="4" width="19.710937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421875" style="0" customWidth="1"/>
    <col min="12" max="12" width="18.7109375" style="0" customWidth="1"/>
    <col min="13" max="13" width="3.421875" style="0" customWidth="1"/>
    <col min="14" max="14" width="18.7109375" style="0" customWidth="1"/>
    <col min="15" max="31" width="9.140625" style="19" customWidth="1"/>
  </cols>
  <sheetData>
    <row r="1" spans="1:13" ht="15.75" thickBot="1">
      <c r="A1" s="978" t="str">
        <f>'Budget Assumptions'!C1</f>
        <v>Passages Charter School - High School Campus</v>
      </c>
      <c r="B1" s="979"/>
      <c r="C1" s="47"/>
      <c r="D1" s="48"/>
      <c r="E1" s="48"/>
      <c r="F1" s="48"/>
      <c r="G1" s="48"/>
      <c r="H1" s="48"/>
      <c r="I1" s="48"/>
      <c r="J1" s="48"/>
      <c r="K1" s="48"/>
      <c r="L1" s="49"/>
      <c r="M1" s="49"/>
    </row>
    <row r="2" spans="1:13" ht="15.75" thickBot="1">
      <c r="A2" s="826" t="s">
        <v>498</v>
      </c>
      <c r="B2" s="828"/>
      <c r="C2" s="50"/>
      <c r="D2" s="51"/>
      <c r="E2" s="51"/>
      <c r="F2" s="51"/>
      <c r="G2" s="51"/>
      <c r="H2" s="51"/>
      <c r="I2" s="51"/>
      <c r="J2" s="51"/>
      <c r="K2" s="51"/>
      <c r="L2" s="49"/>
      <c r="M2" s="49"/>
    </row>
    <row r="3" spans="1:13" ht="15">
      <c r="A3" s="50"/>
      <c r="B3" s="50"/>
      <c r="C3" s="50"/>
      <c r="D3" s="52"/>
      <c r="E3" s="52"/>
      <c r="F3" s="52"/>
      <c r="G3" s="52"/>
      <c r="H3" s="52"/>
      <c r="I3" s="52"/>
      <c r="J3" s="52"/>
      <c r="K3" s="52"/>
      <c r="L3" s="53"/>
      <c r="M3" s="53"/>
    </row>
    <row r="4" spans="1:13" ht="23.25">
      <c r="A4" s="42"/>
      <c r="B4" s="42"/>
      <c r="C4" s="42"/>
      <c r="D4" s="43"/>
      <c r="E4" s="43"/>
      <c r="F4" s="43"/>
      <c r="G4" s="43"/>
      <c r="H4" s="43"/>
      <c r="I4" s="43"/>
      <c r="J4" s="43"/>
      <c r="K4" s="43"/>
      <c r="L4" s="54"/>
      <c r="M4" s="54"/>
    </row>
    <row r="5" spans="1:13" ht="23.25">
      <c r="A5" s="54"/>
      <c r="B5" s="54"/>
      <c r="C5" s="54"/>
      <c r="D5" s="54"/>
      <c r="E5" s="54"/>
      <c r="F5" s="54"/>
      <c r="G5" s="54"/>
      <c r="H5" s="54"/>
      <c r="I5" s="54"/>
      <c r="J5" s="54"/>
      <c r="K5" s="54"/>
      <c r="L5" s="54"/>
      <c r="M5" s="54"/>
    </row>
    <row r="6" ht="18.75" thickBot="1">
      <c r="A6" s="123"/>
    </row>
    <row r="7" spans="1:14" ht="37.5" thickBot="1">
      <c r="A7" s="11"/>
      <c r="B7" s="471" t="s">
        <v>183</v>
      </c>
      <c r="C7" s="121"/>
      <c r="D7" s="469" t="s">
        <v>491</v>
      </c>
      <c r="E7" s="121"/>
      <c r="F7" s="975" t="s">
        <v>497</v>
      </c>
      <c r="G7" s="976"/>
      <c r="H7" s="976"/>
      <c r="I7" s="976"/>
      <c r="J7" s="976"/>
      <c r="K7" s="976"/>
      <c r="L7" s="976"/>
      <c r="M7" s="976"/>
      <c r="N7" s="977"/>
    </row>
    <row r="8" spans="1:14" ht="18.75" thickBot="1">
      <c r="A8" s="487" t="s">
        <v>354</v>
      </c>
      <c r="B8" s="472" t="s">
        <v>190</v>
      </c>
      <c r="C8" s="121"/>
      <c r="D8" s="470">
        <v>2014</v>
      </c>
      <c r="E8" s="122"/>
      <c r="F8" s="470">
        <v>2015</v>
      </c>
      <c r="G8" s="122"/>
      <c r="H8" s="470">
        <f>F8+1</f>
        <v>2016</v>
      </c>
      <c r="I8" s="122"/>
      <c r="J8" s="470">
        <f>H8+1</f>
        <v>2017</v>
      </c>
      <c r="K8" s="122"/>
      <c r="L8" s="470">
        <f>J8+1</f>
        <v>2018</v>
      </c>
      <c r="M8" s="121"/>
      <c r="N8" s="470">
        <f>L8+1</f>
        <v>2019</v>
      </c>
    </row>
    <row r="9" spans="1:14" ht="15.75">
      <c r="A9" s="486" t="s">
        <v>343</v>
      </c>
      <c r="B9" s="185">
        <f>2449245*0.55</f>
        <v>1347084.75</v>
      </c>
      <c r="C9" s="57"/>
      <c r="D9" s="56">
        <f>2583000*0.55</f>
        <v>1420650</v>
      </c>
      <c r="E9" s="58"/>
      <c r="F9" s="488">
        <f>'Revenues-Per Capita &amp; SPED'!B50</f>
        <v>0</v>
      </c>
      <c r="G9" s="59"/>
      <c r="H9" s="488">
        <f>'Revenues-Per Capita &amp; SPED'!I50</f>
        <v>0</v>
      </c>
      <c r="I9" s="59"/>
      <c r="J9" s="488">
        <f>'Revenues-Per Capita &amp; SPED'!P50</f>
        <v>0</v>
      </c>
      <c r="K9" s="58"/>
      <c r="L9" s="488">
        <f>'Revenues-Per Capita &amp; SPED'!W50</f>
        <v>0</v>
      </c>
      <c r="M9" s="28"/>
      <c r="N9" s="488">
        <f>'Revenues-Per Capita &amp; SPED'!AD50</f>
        <v>0</v>
      </c>
    </row>
    <row r="10" spans="1:14" ht="15.75">
      <c r="A10" s="479" t="s">
        <v>344</v>
      </c>
      <c r="B10" s="185">
        <f>2449245*0.45</f>
        <v>1102160.25</v>
      </c>
      <c r="C10" s="57"/>
      <c r="D10" s="56">
        <f>2583000*0.45</f>
        <v>1162350</v>
      </c>
      <c r="E10" s="58"/>
      <c r="F10" s="488">
        <f>'Revenues-Per Capita &amp; SPED'!B86</f>
        <v>0</v>
      </c>
      <c r="G10" s="59"/>
      <c r="H10" s="488">
        <f>'Revenues-Per Capita &amp; SPED'!I86</f>
        <v>0</v>
      </c>
      <c r="I10" s="59"/>
      <c r="J10" s="488">
        <f>'Revenues-Per Capita &amp; SPED'!P86</f>
        <v>0</v>
      </c>
      <c r="K10" s="58"/>
      <c r="L10" s="488">
        <f>'Revenues-Per Capita &amp; SPED'!W86</f>
        <v>0</v>
      </c>
      <c r="M10" s="28"/>
      <c r="N10" s="488">
        <f>'Revenues-Per Capita &amp; SPED'!AD86</f>
        <v>0</v>
      </c>
    </row>
    <row r="11" spans="1:14" ht="15.75">
      <c r="A11" s="479" t="s">
        <v>345</v>
      </c>
      <c r="B11" s="185"/>
      <c r="C11" s="57"/>
      <c r="D11" s="56"/>
      <c r="E11" s="58"/>
      <c r="F11" s="488">
        <f>'Revenues-Per Capita &amp; SPED'!B117</f>
        <v>0</v>
      </c>
      <c r="G11" s="59"/>
      <c r="H11" s="488">
        <f>'Revenues-Per Capita &amp; SPED'!I117</f>
        <v>0</v>
      </c>
      <c r="I11" s="59"/>
      <c r="J11" s="488">
        <v>0</v>
      </c>
      <c r="K11" s="58"/>
      <c r="L11" s="488">
        <v>0</v>
      </c>
      <c r="M11" s="28"/>
      <c r="N11" s="488">
        <v>0</v>
      </c>
    </row>
    <row r="12" spans="1:14" ht="15.75">
      <c r="A12" s="479" t="s">
        <v>346</v>
      </c>
      <c r="B12" s="185"/>
      <c r="C12" s="57"/>
      <c r="D12" s="56"/>
      <c r="E12" s="58"/>
      <c r="F12" s="488">
        <f>'Revenues-Per Capita &amp; SPED'!B149</f>
        <v>473386.8</v>
      </c>
      <c r="G12" s="59"/>
      <c r="H12" s="488">
        <f>'Revenues-Per Capita &amp; SPED'!I149</f>
        <v>946773.6</v>
      </c>
      <c r="I12" s="59"/>
      <c r="J12" s="488">
        <f>'Revenues-Per Capita &amp; SPED'!J149+'Revenues-Per Capita &amp; SPED'!P149</f>
        <v>1420160.4</v>
      </c>
      <c r="K12" s="58"/>
      <c r="L12" s="488">
        <f>'Revenues-Per Capita &amp; SPED'!W149</f>
        <v>1893547.2</v>
      </c>
      <c r="M12" s="28"/>
      <c r="N12" s="488">
        <f>'Revenues-Per Capita &amp; SPED'!AD149</f>
        <v>1893547.2</v>
      </c>
    </row>
    <row r="13" spans="1:14" ht="15.75">
      <c r="A13" s="479" t="s">
        <v>42</v>
      </c>
      <c r="B13" s="185">
        <v>302625</v>
      </c>
      <c r="C13" s="57"/>
      <c r="D13" s="56">
        <v>307500</v>
      </c>
      <c r="E13" s="58"/>
      <c r="F13" s="488">
        <f>'Revenues-Per Capita &amp; SPED'!B169</f>
        <v>45000</v>
      </c>
      <c r="G13" s="59"/>
      <c r="H13" s="488">
        <f>'Revenues-Per Capita &amp; SPED'!I169</f>
        <v>90000</v>
      </c>
      <c r="I13" s="59"/>
      <c r="J13" s="488">
        <f>'Revenues-Per Capita &amp; SPED'!P169</f>
        <v>135000</v>
      </c>
      <c r="K13" s="58"/>
      <c r="L13" s="488">
        <f>'Revenues-Per Capita &amp; SPED'!W169</f>
        <v>180000</v>
      </c>
      <c r="M13" s="28"/>
      <c r="N13" s="488">
        <f>'Revenues-Per Capita &amp; SPED'!AD169</f>
        <v>180000</v>
      </c>
    </row>
    <row r="14" spans="1:14" ht="15.75">
      <c r="A14" s="479" t="s">
        <v>347</v>
      </c>
      <c r="B14" s="185">
        <v>244178</v>
      </c>
      <c r="C14" s="57"/>
      <c r="D14" s="56">
        <v>296077</v>
      </c>
      <c r="E14" s="58"/>
      <c r="F14" s="488">
        <f>'Revenues-Per Capita &amp; SPED'!C235</f>
        <v>28749.999999999996</v>
      </c>
      <c r="G14" s="59"/>
      <c r="H14" s="488">
        <f>'Revenues-Per Capita &amp; SPED'!J235</f>
        <v>59224.99999999999</v>
      </c>
      <c r="I14" s="59"/>
      <c r="J14" s="488">
        <f>'Revenues-Per Capita &amp; SPED'!Q235</f>
        <v>61001.74999999999</v>
      </c>
      <c r="K14" s="58"/>
      <c r="L14" s="488">
        <f>'Revenues-Per Capita &amp; SPED'!X235</f>
        <v>62831.80249999999</v>
      </c>
      <c r="M14" s="28"/>
      <c r="N14" s="488">
        <f>'Revenues-Per Capita &amp; SPED'!AE235</f>
        <v>64716.75657499999</v>
      </c>
    </row>
    <row r="15" spans="1:14" ht="15.75">
      <c r="A15" s="479" t="s">
        <v>13</v>
      </c>
      <c r="B15" s="185">
        <v>277762</v>
      </c>
      <c r="C15" s="57"/>
      <c r="D15" s="56">
        <v>277761</v>
      </c>
      <c r="E15" s="58"/>
      <c r="F15" s="488">
        <f>'Revenues-Fed &amp; State'!E11</f>
        <v>42660</v>
      </c>
      <c r="G15" s="59"/>
      <c r="H15" s="488">
        <f>'Revenues-Fed &amp; State'!G11</f>
        <v>85320</v>
      </c>
      <c r="I15" s="59"/>
      <c r="J15" s="488">
        <f>'Revenues-Fed &amp; State'!I11</f>
        <v>127980</v>
      </c>
      <c r="K15" s="58"/>
      <c r="L15" s="488">
        <f>'Revenues-Fed &amp; State'!K11</f>
        <v>170640</v>
      </c>
      <c r="M15" s="28"/>
      <c r="N15" s="488">
        <f>'Revenues-Fed &amp; State'!M11</f>
        <v>170640</v>
      </c>
    </row>
    <row r="16" spans="1:14" ht="15.75">
      <c r="A16" s="479" t="s">
        <v>155</v>
      </c>
      <c r="B16" s="185">
        <v>111674</v>
      </c>
      <c r="C16" s="57"/>
      <c r="D16" s="56">
        <v>170240</v>
      </c>
      <c r="E16" s="58"/>
      <c r="F16" s="488">
        <f>'Revenues-Fed &amp; State'!E17</f>
        <v>25080</v>
      </c>
      <c r="G16" s="59"/>
      <c r="H16" s="488">
        <f>'Revenues-Fed &amp; State'!G17</f>
        <v>48048</v>
      </c>
      <c r="I16" s="59"/>
      <c r="J16" s="488">
        <f>'Revenues-Fed &amp; State'!I17</f>
        <v>70587.00000000001</v>
      </c>
      <c r="K16" s="58"/>
      <c r="L16" s="488">
        <f>'Revenues-Fed &amp; State'!K17</f>
        <v>92268</v>
      </c>
      <c r="M16" s="28"/>
      <c r="N16" s="488">
        <f>'Revenues-Fed &amp; State'!M17</f>
        <v>90420</v>
      </c>
    </row>
    <row r="17" spans="1:14" ht="15.75">
      <c r="A17" s="479" t="s">
        <v>156</v>
      </c>
      <c r="B17" s="185">
        <v>18706</v>
      </c>
      <c r="C17" s="57"/>
      <c r="D17" s="56">
        <v>19311</v>
      </c>
      <c r="E17" s="58"/>
      <c r="F17" s="488">
        <f>'Revenues-Fed &amp; State'!E23</f>
        <v>3840</v>
      </c>
      <c r="G17" s="59"/>
      <c r="H17" s="488">
        <f>'Revenues-Fed &amp; State'!G23</f>
        <v>7680</v>
      </c>
      <c r="I17" s="59"/>
      <c r="J17" s="488">
        <f>'Revenues-Fed &amp; State'!I23</f>
        <v>11520</v>
      </c>
      <c r="K17" s="58"/>
      <c r="L17" s="488">
        <f>'Revenues-Fed &amp; State'!K23</f>
        <v>15360</v>
      </c>
      <c r="M17" s="28"/>
      <c r="N17" s="488">
        <f>'Revenues-Fed &amp; State'!M23</f>
        <v>15360</v>
      </c>
    </row>
    <row r="18" spans="1:14" ht="15.75">
      <c r="A18" s="479" t="s">
        <v>14</v>
      </c>
      <c r="B18" s="185">
        <v>42974</v>
      </c>
      <c r="C18" s="57"/>
      <c r="D18" s="56">
        <v>68835</v>
      </c>
      <c r="E18" s="58"/>
      <c r="F18" s="488">
        <f>'Revenues-Fed &amp; State'!E50</f>
        <v>5040</v>
      </c>
      <c r="G18" s="59"/>
      <c r="H18" s="488">
        <f>'Revenues-Fed &amp; State'!G50</f>
        <v>10080</v>
      </c>
      <c r="I18" s="59"/>
      <c r="J18" s="488">
        <f>'Revenues-Fed &amp; State'!I50</f>
        <v>15120</v>
      </c>
      <c r="K18" s="58"/>
      <c r="L18" s="488">
        <f>'Revenues-Fed &amp; State'!K50</f>
        <v>20160</v>
      </c>
      <c r="M18" s="28"/>
      <c r="N18" s="488">
        <f>'Revenues-Fed &amp; State'!M50</f>
        <v>20160</v>
      </c>
    </row>
    <row r="19" spans="1:14" ht="15.75">
      <c r="A19" s="803" t="s">
        <v>492</v>
      </c>
      <c r="B19" s="185"/>
      <c r="C19" s="57"/>
      <c r="D19" s="56"/>
      <c r="E19" s="58"/>
      <c r="F19" s="488">
        <f>'Revenues-Expansion'!D16</f>
        <v>60000</v>
      </c>
      <c r="G19" s="59"/>
      <c r="H19" s="488">
        <f>'Revenues-Expansion'!E16</f>
        <v>60000</v>
      </c>
      <c r="I19" s="59"/>
      <c r="J19" s="488">
        <f>'Revenues-Expansion'!F16</f>
        <v>60000</v>
      </c>
      <c r="K19" s="58"/>
      <c r="L19" s="488">
        <f>'Revenues-Expansion'!G16</f>
        <v>60000</v>
      </c>
      <c r="M19" s="28"/>
      <c r="N19" s="488">
        <f>'Revenues-Expansion'!H16</f>
        <v>0</v>
      </c>
    </row>
    <row r="20" spans="1:14" ht="15.75">
      <c r="A20" s="479" t="s">
        <v>40</v>
      </c>
      <c r="B20" s="185">
        <v>70000</v>
      </c>
      <c r="C20" s="57"/>
      <c r="D20" s="56">
        <v>70000</v>
      </c>
      <c r="E20" s="58"/>
      <c r="F20" s="56"/>
      <c r="G20" s="59"/>
      <c r="H20" s="56"/>
      <c r="I20" s="59"/>
      <c r="J20" s="56"/>
      <c r="K20" s="58"/>
      <c r="L20" s="56"/>
      <c r="M20" s="28"/>
      <c r="N20" s="56"/>
    </row>
    <row r="21" spans="1:14" ht="15.75">
      <c r="A21" s="479" t="s">
        <v>41</v>
      </c>
      <c r="B21" s="185">
        <v>8088</v>
      </c>
      <c r="C21" s="57"/>
      <c r="D21" s="56">
        <v>12000</v>
      </c>
      <c r="E21" s="59"/>
      <c r="F21" s="56">
        <v>5000</v>
      </c>
      <c r="G21" s="59"/>
      <c r="H21" s="56">
        <v>6000</v>
      </c>
      <c r="I21" s="59"/>
      <c r="J21" s="56">
        <v>7000</v>
      </c>
      <c r="K21" s="58"/>
      <c r="L21" s="56">
        <v>8000</v>
      </c>
      <c r="M21" s="28"/>
      <c r="N21" s="56">
        <v>8000</v>
      </c>
    </row>
    <row r="22" spans="1:14" ht="15.75">
      <c r="A22" s="479" t="s">
        <v>9</v>
      </c>
      <c r="B22" s="185">
        <f>49964+623</f>
        <v>50587</v>
      </c>
      <c r="C22" s="57"/>
      <c r="D22" s="56">
        <f>54000+5000</f>
        <v>59000</v>
      </c>
      <c r="E22" s="59"/>
      <c r="F22" s="56">
        <f>(60*75)*0.75</f>
        <v>3375</v>
      </c>
      <c r="G22" s="59"/>
      <c r="H22" s="56">
        <f>(120*75)*0.75</f>
        <v>6750</v>
      </c>
      <c r="I22" s="59"/>
      <c r="J22" s="56">
        <f>(180*75)*0.75</f>
        <v>10125</v>
      </c>
      <c r="K22" s="58"/>
      <c r="L22" s="56">
        <f>(240*75)*0.75</f>
        <v>13500</v>
      </c>
      <c r="M22" s="28"/>
      <c r="N22" s="56">
        <f>(240*75)*0.75</f>
        <v>13500</v>
      </c>
    </row>
    <row r="23" spans="1:14" ht="15.75">
      <c r="A23" s="479" t="s">
        <v>147</v>
      </c>
      <c r="B23" s="185"/>
      <c r="C23" s="57"/>
      <c r="D23" s="56">
        <v>8000</v>
      </c>
      <c r="E23" s="59"/>
      <c r="F23" s="56">
        <f>F84*0.9</f>
        <v>3600</v>
      </c>
      <c r="G23" s="59"/>
      <c r="H23" s="56">
        <f>H84*0.9</f>
        <v>3708</v>
      </c>
      <c r="I23" s="59"/>
      <c r="J23" s="56">
        <f>J84*0.9</f>
        <v>3819.2400000000002</v>
      </c>
      <c r="K23" s="58"/>
      <c r="L23" s="56">
        <f>L84*0.9</f>
        <v>3933.8172000000004</v>
      </c>
      <c r="M23" s="28"/>
      <c r="N23" s="56">
        <f>N84*0.9</f>
        <v>4051.831716</v>
      </c>
    </row>
    <row r="24" spans="1:14" ht="15.75">
      <c r="A24" s="480" t="s">
        <v>148</v>
      </c>
      <c r="B24" s="185">
        <v>179942</v>
      </c>
      <c r="C24" s="57"/>
      <c r="D24" s="56">
        <f>27000+5000</f>
        <v>32000</v>
      </c>
      <c r="E24" s="59"/>
      <c r="F24" s="56"/>
      <c r="G24" s="59"/>
      <c r="H24" s="56"/>
      <c r="I24" s="59"/>
      <c r="J24" s="56"/>
      <c r="K24" s="58"/>
      <c r="L24" s="56"/>
      <c r="M24" s="28"/>
      <c r="N24" s="56"/>
    </row>
    <row r="25" spans="1:14" ht="15.75">
      <c r="A25" s="480" t="s">
        <v>58</v>
      </c>
      <c r="B25" s="185">
        <v>24</v>
      </c>
      <c r="C25" s="57"/>
      <c r="D25" s="56">
        <v>30</v>
      </c>
      <c r="E25" s="59"/>
      <c r="F25" s="56">
        <v>30</v>
      </c>
      <c r="G25" s="59"/>
      <c r="H25" s="56">
        <v>30</v>
      </c>
      <c r="I25" s="59"/>
      <c r="J25" s="56">
        <v>30</v>
      </c>
      <c r="K25" s="58"/>
      <c r="L25" s="56">
        <v>30</v>
      </c>
      <c r="M25" s="28"/>
      <c r="N25" s="56">
        <v>30</v>
      </c>
    </row>
    <row r="26" spans="1:14" ht="15.75">
      <c r="A26" s="480" t="s">
        <v>568</v>
      </c>
      <c r="B26" s="185">
        <f>19946+966</f>
        <v>20912</v>
      </c>
      <c r="C26" s="57"/>
      <c r="D26" s="56">
        <f>30000+15000</f>
        <v>45000</v>
      </c>
      <c r="E26" s="59"/>
      <c r="F26" s="56"/>
      <c r="G26" s="59"/>
      <c r="H26" s="56"/>
      <c r="I26" s="59"/>
      <c r="J26" s="56"/>
      <c r="K26" s="58"/>
      <c r="L26" s="56"/>
      <c r="M26" s="28"/>
      <c r="N26" s="56"/>
    </row>
    <row r="27" spans="1:14" ht="15.75">
      <c r="A27" s="480" t="s">
        <v>569</v>
      </c>
      <c r="B27" s="185">
        <v>47301</v>
      </c>
      <c r="C27" s="57"/>
      <c r="D27" s="56"/>
      <c r="E27" s="59"/>
      <c r="F27" s="56"/>
      <c r="G27" s="59"/>
      <c r="H27" s="56"/>
      <c r="I27" s="59"/>
      <c r="J27" s="56"/>
      <c r="K27" s="58"/>
      <c r="L27" s="56"/>
      <c r="M27" s="28"/>
      <c r="N27" s="56"/>
    </row>
    <row r="28" spans="1:14" ht="15.75">
      <c r="A28" s="480" t="s">
        <v>59</v>
      </c>
      <c r="B28" s="185"/>
      <c r="C28" s="57"/>
      <c r="D28" s="56"/>
      <c r="E28" s="59"/>
      <c r="F28" s="56"/>
      <c r="G28" s="59"/>
      <c r="H28" s="56"/>
      <c r="I28" s="59"/>
      <c r="J28" s="56"/>
      <c r="K28" s="58"/>
      <c r="L28" s="56"/>
      <c r="M28" s="28"/>
      <c r="N28" s="56"/>
    </row>
    <row r="29" spans="1:14" ht="15.75">
      <c r="A29" s="480" t="s">
        <v>59</v>
      </c>
      <c r="B29" s="185"/>
      <c r="C29" s="61"/>
      <c r="D29" s="56"/>
      <c r="E29" s="59"/>
      <c r="F29" s="56"/>
      <c r="G29" s="59"/>
      <c r="H29" s="56"/>
      <c r="I29" s="59"/>
      <c r="J29" s="56"/>
      <c r="K29" s="62"/>
      <c r="L29" s="56"/>
      <c r="M29" s="28"/>
      <c r="N29" s="56"/>
    </row>
    <row r="30" spans="1:14" ht="16.5" thickBot="1">
      <c r="A30" s="55"/>
      <c r="B30" s="186"/>
      <c r="C30" s="57"/>
      <c r="D30" s="63"/>
      <c r="E30" s="63"/>
      <c r="F30" s="63"/>
      <c r="G30" s="63"/>
      <c r="H30" s="63"/>
      <c r="I30" s="63"/>
      <c r="J30" s="64"/>
      <c r="K30" s="64"/>
      <c r="L30" s="65"/>
      <c r="M30" s="28"/>
      <c r="N30" s="65"/>
    </row>
    <row r="31" spans="1:14" ht="16.5" thickBot="1">
      <c r="A31" s="485" t="s">
        <v>112</v>
      </c>
      <c r="B31" s="731">
        <f>SUM(B9:B29)</f>
        <v>3824018</v>
      </c>
      <c r="C31" s="66"/>
      <c r="D31" s="731">
        <f>SUM(D9:D29)</f>
        <v>3948754</v>
      </c>
      <c r="E31" s="521"/>
      <c r="F31" s="731">
        <f>SUM(F9:F29)</f>
        <v>695761.7999999999</v>
      </c>
      <c r="G31" s="521"/>
      <c r="H31" s="731">
        <f>SUM(H9:H29)</f>
        <v>1323614.5999999999</v>
      </c>
      <c r="I31" s="521"/>
      <c r="J31" s="731">
        <f>SUM(J9:J29)</f>
        <v>1922343.39</v>
      </c>
      <c r="K31" s="522"/>
      <c r="L31" s="732">
        <f>SUM(L9:L29)</f>
        <v>2520270.8197</v>
      </c>
      <c r="M31" s="112"/>
      <c r="N31" s="732">
        <f>SUM(N9:N29)</f>
        <v>2460425.788291</v>
      </c>
    </row>
    <row r="32" spans="1:14" ht="15.75">
      <c r="A32" s="60"/>
      <c r="B32" s="187"/>
      <c r="C32" s="61"/>
      <c r="D32" s="59"/>
      <c r="E32" s="59"/>
      <c r="F32" s="59"/>
      <c r="G32" s="59"/>
      <c r="H32" s="59"/>
      <c r="I32" s="59"/>
      <c r="J32" s="59"/>
      <c r="K32" s="59"/>
      <c r="L32" s="67"/>
      <c r="M32" s="68"/>
      <c r="N32" s="67"/>
    </row>
    <row r="33" spans="1:14" ht="15.75">
      <c r="A33" s="115" t="s">
        <v>111</v>
      </c>
      <c r="B33" s="187"/>
      <c r="C33" s="61"/>
      <c r="D33" s="59"/>
      <c r="E33" s="59"/>
      <c r="F33" s="59"/>
      <c r="G33" s="59"/>
      <c r="H33" s="59"/>
      <c r="I33" s="59"/>
      <c r="J33" s="59"/>
      <c r="K33" s="59"/>
      <c r="L33" s="67"/>
      <c r="M33" s="28"/>
      <c r="N33" s="67"/>
    </row>
    <row r="34" spans="1:14" ht="16.5" thickBot="1">
      <c r="A34" s="55"/>
      <c r="B34" s="188"/>
      <c r="C34" s="57"/>
      <c r="D34" s="70"/>
      <c r="E34" s="70"/>
      <c r="F34" s="70"/>
      <c r="G34" s="70"/>
      <c r="H34" s="70"/>
      <c r="I34" s="70"/>
      <c r="J34" s="70"/>
      <c r="K34" s="70"/>
      <c r="L34" s="70"/>
      <c r="M34" s="28"/>
      <c r="N34" s="70"/>
    </row>
    <row r="35" spans="1:14" ht="16.5" thickBot="1">
      <c r="A35" s="484" t="s">
        <v>10</v>
      </c>
      <c r="B35" s="189"/>
      <c r="C35" s="72"/>
      <c r="D35" s="71"/>
      <c r="E35" s="73"/>
      <c r="F35" s="71"/>
      <c r="G35" s="73"/>
      <c r="H35" s="71"/>
      <c r="I35" s="73"/>
      <c r="J35" s="71"/>
      <c r="K35" s="71"/>
      <c r="L35" s="65"/>
      <c r="M35" s="28"/>
      <c r="N35" s="65"/>
    </row>
    <row r="36" spans="1:14" ht="15.75">
      <c r="A36" s="483" t="s">
        <v>16</v>
      </c>
      <c r="B36" s="190">
        <f>943</f>
        <v>943</v>
      </c>
      <c r="C36" s="76"/>
      <c r="D36" s="75">
        <v>2000</v>
      </c>
      <c r="E36" s="77"/>
      <c r="F36" s="75">
        <v>500</v>
      </c>
      <c r="G36" s="77"/>
      <c r="H36" s="75">
        <v>700</v>
      </c>
      <c r="I36" s="77"/>
      <c r="J36" s="75">
        <v>900</v>
      </c>
      <c r="K36" s="78"/>
      <c r="L36" s="75">
        <v>1100</v>
      </c>
      <c r="M36" s="28"/>
      <c r="N36" s="75">
        <v>1100</v>
      </c>
    </row>
    <row r="37" spans="1:14" ht="15.75">
      <c r="A37" s="85" t="s">
        <v>17</v>
      </c>
      <c r="B37" s="190">
        <f>33805+68728+755.88</f>
        <v>103288.88</v>
      </c>
      <c r="C37" s="76"/>
      <c r="D37" s="75">
        <f>6000+22838+1500+2912+2000</f>
        <v>35250</v>
      </c>
      <c r="E37" s="77"/>
      <c r="F37" s="75">
        <v>30000</v>
      </c>
      <c r="G37" s="77"/>
      <c r="H37" s="75">
        <v>40000</v>
      </c>
      <c r="I37" s="77"/>
      <c r="J37" s="75">
        <v>45000</v>
      </c>
      <c r="K37" s="78"/>
      <c r="L37" s="75">
        <v>50000</v>
      </c>
      <c r="M37" s="28"/>
      <c r="N37" s="75">
        <f>L37*1.03</f>
        <v>51500</v>
      </c>
    </row>
    <row r="38" spans="1:14" ht="15.75">
      <c r="A38" s="473" t="s">
        <v>140</v>
      </c>
      <c r="B38" s="190"/>
      <c r="C38" s="76"/>
      <c r="D38" s="75"/>
      <c r="E38" s="77"/>
      <c r="F38" s="75"/>
      <c r="G38" s="77"/>
      <c r="H38" s="75"/>
      <c r="I38" s="77"/>
      <c r="J38" s="75"/>
      <c r="K38" s="78"/>
      <c r="L38" s="75"/>
      <c r="M38" s="28"/>
      <c r="N38" s="75"/>
    </row>
    <row r="39" spans="1:14" ht="15.75">
      <c r="A39" s="473" t="s">
        <v>141</v>
      </c>
      <c r="B39" s="190">
        <f>1246.62+35+664+6279+1014</f>
        <v>9238.619999999999</v>
      </c>
      <c r="C39" s="76"/>
      <c r="D39" s="75">
        <f>3800+250+5500+500+15000</f>
        <v>25050</v>
      </c>
      <c r="E39" s="77"/>
      <c r="F39" s="75">
        <v>5000</v>
      </c>
      <c r="G39" s="77"/>
      <c r="H39" s="75">
        <v>7500</v>
      </c>
      <c r="I39" s="77"/>
      <c r="J39" s="75">
        <v>10000</v>
      </c>
      <c r="K39" s="78"/>
      <c r="L39" s="75">
        <v>12500</v>
      </c>
      <c r="M39" s="28"/>
      <c r="N39" s="75">
        <f>L39*1.03</f>
        <v>12875</v>
      </c>
    </row>
    <row r="40" spans="1:14" ht="15.75">
      <c r="A40" s="473" t="s">
        <v>370</v>
      </c>
      <c r="B40" s="190"/>
      <c r="C40" s="76"/>
      <c r="D40" s="75">
        <v>1000</v>
      </c>
      <c r="E40" s="77"/>
      <c r="F40" s="75"/>
      <c r="G40" s="77"/>
      <c r="H40" s="75"/>
      <c r="I40" s="77"/>
      <c r="J40" s="75"/>
      <c r="K40" s="78"/>
      <c r="L40" s="75"/>
      <c r="M40" s="28"/>
      <c r="N40" s="75"/>
    </row>
    <row r="41" spans="1:14" ht="15.75">
      <c r="A41" s="473" t="s">
        <v>142</v>
      </c>
      <c r="B41" s="190">
        <v>6265</v>
      </c>
      <c r="C41" s="76"/>
      <c r="D41" s="75"/>
      <c r="E41" s="77"/>
      <c r="F41" s="75">
        <v>5000</v>
      </c>
      <c r="G41" s="77"/>
      <c r="H41" s="75">
        <v>5000</v>
      </c>
      <c r="I41" s="77"/>
      <c r="J41" s="75">
        <v>5000</v>
      </c>
      <c r="K41" s="78"/>
      <c r="L41" s="75">
        <v>5000</v>
      </c>
      <c r="M41" s="28"/>
      <c r="N41" s="75">
        <v>5000</v>
      </c>
    </row>
    <row r="42" spans="1:14" ht="15.75">
      <c r="A42" s="481" t="s">
        <v>18</v>
      </c>
      <c r="B42" s="190"/>
      <c r="C42" s="76"/>
      <c r="D42" s="75"/>
      <c r="E42" s="77"/>
      <c r="F42" s="75"/>
      <c r="G42" s="77"/>
      <c r="H42" s="75"/>
      <c r="I42" s="77"/>
      <c r="J42" s="75"/>
      <c r="K42" s="78"/>
      <c r="L42" s="75"/>
      <c r="M42" s="28"/>
      <c r="N42" s="75"/>
    </row>
    <row r="43" spans="1:14" ht="16.5" thickBot="1">
      <c r="A43" s="482" t="s">
        <v>19</v>
      </c>
      <c r="B43" s="190">
        <v>88520</v>
      </c>
      <c r="C43" s="76"/>
      <c r="D43" s="75">
        <v>80000</v>
      </c>
      <c r="E43" s="77"/>
      <c r="F43" s="75"/>
      <c r="G43" s="77"/>
      <c r="H43" s="75"/>
      <c r="I43" s="77"/>
      <c r="J43" s="75"/>
      <c r="K43" s="78"/>
      <c r="L43" s="75"/>
      <c r="M43" s="28"/>
      <c r="N43" s="75"/>
    </row>
    <row r="44" spans="1:14" ht="31.5">
      <c r="A44" s="516" t="s">
        <v>352</v>
      </c>
      <c r="B44" s="190"/>
      <c r="C44" s="76"/>
      <c r="D44" s="75"/>
      <c r="E44" s="77"/>
      <c r="F44" s="75"/>
      <c r="G44" s="77"/>
      <c r="H44" s="75"/>
      <c r="I44" s="77"/>
      <c r="J44" s="75"/>
      <c r="K44" s="78"/>
      <c r="L44" s="75"/>
      <c r="M44" s="28"/>
      <c r="N44" s="75"/>
    </row>
    <row r="45" spans="1:14" ht="15.75">
      <c r="A45" s="473" t="s">
        <v>372</v>
      </c>
      <c r="B45" s="190"/>
      <c r="C45" s="76"/>
      <c r="D45" s="75"/>
      <c r="E45" s="77"/>
      <c r="F45" s="75"/>
      <c r="G45" s="77"/>
      <c r="H45" s="75"/>
      <c r="I45" s="77"/>
      <c r="J45" s="75"/>
      <c r="K45" s="78"/>
      <c r="L45" s="75"/>
      <c r="M45" s="28"/>
      <c r="N45" s="75"/>
    </row>
    <row r="46" spans="1:14" ht="15.75">
      <c r="A46" s="473" t="s">
        <v>143</v>
      </c>
      <c r="B46" s="190">
        <v>65619</v>
      </c>
      <c r="C46" s="76"/>
      <c r="D46" s="75">
        <v>55835</v>
      </c>
      <c r="E46" s="77"/>
      <c r="F46" s="75"/>
      <c r="G46" s="77"/>
      <c r="H46" s="75"/>
      <c r="I46" s="77"/>
      <c r="J46" s="75"/>
      <c r="K46" s="78"/>
      <c r="L46" s="75"/>
      <c r="M46" s="28"/>
      <c r="N46" s="75"/>
    </row>
    <row r="47" spans="1:14" ht="15.75">
      <c r="A47" s="473" t="s">
        <v>144</v>
      </c>
      <c r="B47" s="190"/>
      <c r="C47" s="76"/>
      <c r="D47" s="75"/>
      <c r="E47" s="77"/>
      <c r="F47" s="75"/>
      <c r="G47" s="77"/>
      <c r="H47" s="75"/>
      <c r="I47" s="77"/>
      <c r="J47" s="75"/>
      <c r="K47" s="78"/>
      <c r="L47" s="75"/>
      <c r="M47" s="28"/>
      <c r="N47" s="75"/>
    </row>
    <row r="48" spans="1:14" ht="15.75">
      <c r="A48" s="473" t="s">
        <v>371</v>
      </c>
      <c r="B48" s="190"/>
      <c r="C48" s="76"/>
      <c r="D48" s="75"/>
      <c r="E48" s="77"/>
      <c r="F48" s="75"/>
      <c r="G48" s="77"/>
      <c r="H48" s="75"/>
      <c r="I48" s="77"/>
      <c r="J48" s="75"/>
      <c r="K48" s="78"/>
      <c r="L48" s="75"/>
      <c r="M48" s="28"/>
      <c r="N48" s="75"/>
    </row>
    <row r="49" spans="1:14" ht="15.75">
      <c r="A49" s="473" t="s">
        <v>548</v>
      </c>
      <c r="B49" s="190">
        <f>19453+113+5035+2862+8079</f>
        <v>35542</v>
      </c>
      <c r="C49" s="76"/>
      <c r="D49" s="75">
        <f>5500+3125+26000</f>
        <v>34625</v>
      </c>
      <c r="E49" s="77"/>
      <c r="F49" s="75">
        <v>5000</v>
      </c>
      <c r="G49" s="77"/>
      <c r="H49" s="75">
        <v>10000</v>
      </c>
      <c r="I49" s="77"/>
      <c r="J49" s="75">
        <v>15000</v>
      </c>
      <c r="K49" s="78"/>
      <c r="L49" s="75">
        <v>20000</v>
      </c>
      <c r="M49" s="28"/>
      <c r="N49" s="75">
        <v>20000</v>
      </c>
    </row>
    <row r="50" spans="1:14" ht="15.75">
      <c r="A50" s="473" t="s">
        <v>145</v>
      </c>
      <c r="B50" s="190"/>
      <c r="C50" s="76"/>
      <c r="D50" s="75"/>
      <c r="E50" s="77"/>
      <c r="F50" s="75"/>
      <c r="G50" s="77"/>
      <c r="H50" s="75"/>
      <c r="I50" s="77"/>
      <c r="J50" s="75"/>
      <c r="K50" s="78"/>
      <c r="L50" s="75"/>
      <c r="M50" s="28"/>
      <c r="N50" s="75"/>
    </row>
    <row r="51" spans="1:14" ht="15.75">
      <c r="A51" s="473" t="s">
        <v>146</v>
      </c>
      <c r="B51" s="190"/>
      <c r="C51" s="76"/>
      <c r="D51" s="75"/>
      <c r="E51" s="77"/>
      <c r="F51" s="75"/>
      <c r="G51" s="77"/>
      <c r="H51" s="75"/>
      <c r="I51" s="77"/>
      <c r="J51" s="75"/>
      <c r="K51" s="78"/>
      <c r="L51" s="75"/>
      <c r="M51" s="28"/>
      <c r="N51" s="75"/>
    </row>
    <row r="52" spans="1:14" ht="16.5" thickBot="1">
      <c r="A52" s="74"/>
      <c r="B52" s="191"/>
      <c r="C52" s="76"/>
      <c r="D52" s="81"/>
      <c r="E52" s="73"/>
      <c r="F52" s="81"/>
      <c r="G52" s="73"/>
      <c r="H52" s="81"/>
      <c r="I52" s="73"/>
      <c r="J52" s="81"/>
      <c r="K52" s="71"/>
      <c r="L52" s="82"/>
      <c r="M52" s="28"/>
      <c r="N52" s="82"/>
    </row>
    <row r="53" spans="1:14" ht="16.5" thickBot="1">
      <c r="A53" s="484" t="s">
        <v>348</v>
      </c>
      <c r="B53" s="733">
        <f>SUM(B36:B51)</f>
        <v>309416.5</v>
      </c>
      <c r="C53" s="72"/>
      <c r="D53" s="733">
        <f>SUM(D36:D51)</f>
        <v>233760</v>
      </c>
      <c r="E53" s="524"/>
      <c r="F53" s="733">
        <f>SUM(F36:F51)</f>
        <v>45500</v>
      </c>
      <c r="G53" s="524"/>
      <c r="H53" s="733">
        <f>SUM(H36:H51)</f>
        <v>63200</v>
      </c>
      <c r="I53" s="524"/>
      <c r="J53" s="733">
        <f>SUM(J36:J51)</f>
        <v>75900</v>
      </c>
      <c r="K53" s="525"/>
      <c r="L53" s="733">
        <f>SUM(L36:L51)</f>
        <v>88600</v>
      </c>
      <c r="M53" s="112"/>
      <c r="N53" s="733">
        <f>SUM(N36:N51)</f>
        <v>90475</v>
      </c>
    </row>
    <row r="54" spans="1:14" ht="15.75">
      <c r="A54" s="83"/>
      <c r="B54" s="192"/>
      <c r="C54" s="84"/>
      <c r="D54" s="78"/>
      <c r="E54" s="77"/>
      <c r="F54" s="78"/>
      <c r="G54" s="77"/>
      <c r="H54" s="78"/>
      <c r="I54" s="77"/>
      <c r="J54" s="78"/>
      <c r="K54" s="78"/>
      <c r="L54" s="67"/>
      <c r="M54" s="68"/>
      <c r="N54" s="67"/>
    </row>
    <row r="55" spans="1:14" ht="15.75">
      <c r="A55" s="83"/>
      <c r="B55" s="192"/>
      <c r="C55" s="84"/>
      <c r="D55" s="78"/>
      <c r="E55" s="77"/>
      <c r="F55" s="78"/>
      <c r="G55" s="77"/>
      <c r="H55" s="78"/>
      <c r="I55" s="77"/>
      <c r="J55" s="78"/>
      <c r="K55" s="78"/>
      <c r="L55" s="67"/>
      <c r="M55" s="68"/>
      <c r="N55" s="67"/>
    </row>
    <row r="56" spans="1:14" ht="16.5" thickBot="1">
      <c r="A56" s="83"/>
      <c r="B56" s="192"/>
      <c r="C56" s="84"/>
      <c r="D56" s="78"/>
      <c r="E56" s="77"/>
      <c r="F56" s="78"/>
      <c r="G56" s="77"/>
      <c r="H56" s="78"/>
      <c r="I56" s="77"/>
      <c r="J56" s="78"/>
      <c r="K56" s="78"/>
      <c r="L56" s="67"/>
      <c r="M56" s="68"/>
      <c r="N56" s="67"/>
    </row>
    <row r="57" spans="1:14" ht="16.5" thickBot="1">
      <c r="A57" s="484" t="s">
        <v>11</v>
      </c>
      <c r="B57" s="189"/>
      <c r="C57" s="72"/>
      <c r="D57" s="71"/>
      <c r="E57" s="73"/>
      <c r="F57" s="71"/>
      <c r="G57" s="73"/>
      <c r="H57" s="71"/>
      <c r="I57" s="73"/>
      <c r="J57" s="71"/>
      <c r="K57" s="71"/>
      <c r="L57" s="65"/>
      <c r="M57" s="28"/>
      <c r="N57" s="65"/>
    </row>
    <row r="58" spans="1:14" ht="15.75">
      <c r="A58" s="517" t="s">
        <v>21</v>
      </c>
      <c r="B58" s="193">
        <f>16327+925723+208127+30418+310583+188347+167387+15000+2242+96382+57799</f>
        <v>2018335</v>
      </c>
      <c r="C58" s="87"/>
      <c r="D58" s="86">
        <f>1045080+8250+116120+24750+269757+172140+154026+80000+95668+79177+15000</f>
        <v>2059968</v>
      </c>
      <c r="E58" s="77"/>
      <c r="F58" s="519">
        <f>Personnel!E189</f>
        <v>356000</v>
      </c>
      <c r="G58" s="77"/>
      <c r="H58" s="519">
        <f>Personnel!G189</f>
        <v>497810</v>
      </c>
      <c r="I58" s="77"/>
      <c r="J58" s="519">
        <f>Personnel!I189</f>
        <v>714059.4</v>
      </c>
      <c r="K58" s="78"/>
      <c r="L58" s="519">
        <f>Personnel!K189</f>
        <v>889237.962</v>
      </c>
      <c r="M58" s="28"/>
      <c r="N58" s="519">
        <f>Personnel!M189</f>
        <v>1097241.51046</v>
      </c>
    </row>
    <row r="59" spans="1:14" ht="15.75">
      <c r="A59" s="518" t="s">
        <v>149</v>
      </c>
      <c r="B59" s="193"/>
      <c r="C59" s="87"/>
      <c r="D59" s="86">
        <v>8903</v>
      </c>
      <c r="E59" s="77"/>
      <c r="F59" s="519">
        <f>Personnel!E195</f>
        <v>0</v>
      </c>
      <c r="G59" s="77"/>
      <c r="H59" s="519">
        <f>Personnel!G195</f>
        <v>0</v>
      </c>
      <c r="I59" s="77"/>
      <c r="J59" s="519">
        <f>Personnel!I195</f>
        <v>0</v>
      </c>
      <c r="K59" s="78"/>
      <c r="L59" s="519">
        <f>Personnel!K195</f>
        <v>0</v>
      </c>
      <c r="M59" s="28"/>
      <c r="N59" s="519">
        <f>Personnel!M195</f>
        <v>0</v>
      </c>
    </row>
    <row r="60" spans="1:14" ht="15.75">
      <c r="A60" s="518" t="s">
        <v>365</v>
      </c>
      <c r="B60" s="193">
        <v>144323</v>
      </c>
      <c r="C60" s="87"/>
      <c r="D60" s="86"/>
      <c r="E60" s="77"/>
      <c r="F60" s="519">
        <f>Personnel!E197</f>
        <v>28196</v>
      </c>
      <c r="G60" s="77"/>
      <c r="H60" s="519">
        <f>Personnel!G197</f>
        <v>39959.88</v>
      </c>
      <c r="I60" s="77"/>
      <c r="J60" s="519">
        <f>Personnel!I197</f>
        <v>62300.2916</v>
      </c>
      <c r="K60" s="78"/>
      <c r="L60" s="519">
        <f>Personnel!K197</f>
        <v>80385.369028</v>
      </c>
      <c r="M60" s="28"/>
      <c r="N60" s="519">
        <f>Personnel!M197</f>
        <v>101885.55951644</v>
      </c>
    </row>
    <row r="61" spans="1:14" ht="15.75">
      <c r="A61" s="518" t="s">
        <v>23</v>
      </c>
      <c r="B61" s="193">
        <f>(135529+12428)*0.33</f>
        <v>48825.810000000005</v>
      </c>
      <c r="C61" s="87"/>
      <c r="D61" s="86">
        <f>(165025+16829)*0.33</f>
        <v>60011.82</v>
      </c>
      <c r="E61" s="77"/>
      <c r="F61" s="519">
        <f>Personnel!E199</f>
        <v>3720</v>
      </c>
      <c r="G61" s="77"/>
      <c r="H61" s="519">
        <f>Personnel!G199</f>
        <v>3895.46</v>
      </c>
      <c r="I61" s="77"/>
      <c r="J61" s="519">
        <f>Personnel!I199</f>
        <v>4078.0996</v>
      </c>
      <c r="K61" s="78"/>
      <c r="L61" s="519">
        <f>Personnel!K199</f>
        <v>4200.442588</v>
      </c>
      <c r="M61" s="28"/>
      <c r="N61" s="519">
        <f>Personnel!M199</f>
        <v>4326.4558656399995</v>
      </c>
    </row>
    <row r="62" spans="1:14" ht="15.75">
      <c r="A62" s="518" t="s">
        <v>24</v>
      </c>
      <c r="B62" s="193">
        <f>(135529+12428)*0.67</f>
        <v>99131.19</v>
      </c>
      <c r="C62" s="87"/>
      <c r="D62" s="86">
        <f>(165025+16829)*0.67</f>
        <v>121842.18000000001</v>
      </c>
      <c r="E62" s="77"/>
      <c r="F62" s="519">
        <f>Personnel!E201</f>
        <v>5162</v>
      </c>
      <c r="G62" s="77"/>
      <c r="H62" s="519">
        <f>Personnel!G201</f>
        <v>7218.245000000001</v>
      </c>
      <c r="I62" s="77"/>
      <c r="J62" s="519">
        <f>Personnel!I201</f>
        <v>10353.8613</v>
      </c>
      <c r="K62" s="78"/>
      <c r="L62" s="519">
        <f>Personnel!K201</f>
        <v>12893.950449000002</v>
      </c>
      <c r="M62" s="28"/>
      <c r="N62" s="519">
        <f>Personnel!M201</f>
        <v>15910.00190167</v>
      </c>
    </row>
    <row r="63" spans="1:14" ht="15.75">
      <c r="A63" s="518" t="s">
        <v>154</v>
      </c>
      <c r="B63" s="193"/>
      <c r="C63" s="87"/>
      <c r="D63" s="86"/>
      <c r="E63" s="77"/>
      <c r="F63" s="86">
        <f>Personnel!E203</f>
        <v>0</v>
      </c>
      <c r="G63" s="77"/>
      <c r="H63" s="86">
        <f>Personnel!G203</f>
        <v>0</v>
      </c>
      <c r="I63" s="77"/>
      <c r="J63" s="86">
        <f>Personnel!I203</f>
        <v>0</v>
      </c>
      <c r="K63" s="78"/>
      <c r="L63" s="86">
        <f>Personnel!K203</f>
        <v>0</v>
      </c>
      <c r="M63" s="28"/>
      <c r="N63" s="86">
        <f>Personnel!M203</f>
        <v>0</v>
      </c>
    </row>
    <row r="64" spans="1:14" ht="15.75">
      <c r="A64" s="520" t="s">
        <v>184</v>
      </c>
      <c r="B64" s="193">
        <f>11145</f>
        <v>11145</v>
      </c>
      <c r="C64" s="87"/>
      <c r="D64" s="86">
        <f>9981+1058</f>
        <v>11039</v>
      </c>
      <c r="E64" s="77"/>
      <c r="F64" s="86">
        <f>F58*0.02</f>
        <v>7120</v>
      </c>
      <c r="G64" s="77"/>
      <c r="H64" s="86">
        <f>H58*0.02</f>
        <v>9956.2</v>
      </c>
      <c r="I64" s="77"/>
      <c r="J64" s="86">
        <f>J58*0.02</f>
        <v>14281.188</v>
      </c>
      <c r="K64" s="78"/>
      <c r="L64" s="86">
        <f>L58*0.02</f>
        <v>17784.759240000003</v>
      </c>
      <c r="M64" s="28"/>
      <c r="N64" s="86">
        <f>N58*0.02</f>
        <v>21944.8302092</v>
      </c>
    </row>
    <row r="65" spans="1:14" ht="15.75">
      <c r="A65" s="473" t="s">
        <v>105</v>
      </c>
      <c r="B65" s="193">
        <f>158029-7148</f>
        <v>150881</v>
      </c>
      <c r="C65" s="87"/>
      <c r="D65" s="86">
        <f>8990+110133</f>
        <v>119123</v>
      </c>
      <c r="E65" s="77"/>
      <c r="F65" s="86">
        <f>F58*0.03</f>
        <v>10680</v>
      </c>
      <c r="G65" s="77"/>
      <c r="H65" s="86">
        <f>H58*0.03</f>
        <v>14934.3</v>
      </c>
      <c r="I65" s="77"/>
      <c r="J65" s="86">
        <f>J58*0.03</f>
        <v>21421.782</v>
      </c>
      <c r="K65" s="78"/>
      <c r="L65" s="86">
        <f>L58*0.03</f>
        <v>26677.13886</v>
      </c>
      <c r="M65" s="28"/>
      <c r="N65" s="86">
        <f>N58*0.03</f>
        <v>32917.2453138</v>
      </c>
    </row>
    <row r="66" spans="1:14" ht="15.75">
      <c r="A66" s="473" t="s">
        <v>25</v>
      </c>
      <c r="B66" s="193"/>
      <c r="C66" s="87"/>
      <c r="D66" s="86"/>
      <c r="E66" s="77"/>
      <c r="F66" s="86"/>
      <c r="G66" s="77"/>
      <c r="H66" s="86"/>
      <c r="I66" s="77"/>
      <c r="J66" s="86"/>
      <c r="K66" s="78"/>
      <c r="L66" s="86"/>
      <c r="M66" s="28"/>
      <c r="N66" s="86"/>
    </row>
    <row r="67" spans="1:14" ht="15.75">
      <c r="A67" s="473" t="s">
        <v>26</v>
      </c>
      <c r="B67" s="193"/>
      <c r="C67" s="87"/>
      <c r="D67" s="86"/>
      <c r="E67" s="77"/>
      <c r="F67" s="86"/>
      <c r="G67" s="77"/>
      <c r="H67" s="86"/>
      <c r="I67" s="77"/>
      <c r="J67" s="86"/>
      <c r="K67" s="78"/>
      <c r="L67" s="86"/>
      <c r="M67" s="28"/>
      <c r="N67" s="86"/>
    </row>
    <row r="68" spans="1:14" ht="15.75">
      <c r="A68" s="473" t="s">
        <v>27</v>
      </c>
      <c r="B68" s="193">
        <f>977+9912</f>
        <v>10889</v>
      </c>
      <c r="C68" s="87"/>
      <c r="D68" s="86">
        <v>9000</v>
      </c>
      <c r="E68" s="77"/>
      <c r="F68" s="86">
        <v>5000</v>
      </c>
      <c r="G68" s="77"/>
      <c r="H68" s="86">
        <v>7000</v>
      </c>
      <c r="I68" s="77"/>
      <c r="J68" s="86">
        <v>11000</v>
      </c>
      <c r="K68" s="78"/>
      <c r="L68" s="86">
        <v>15000</v>
      </c>
      <c r="M68" s="28"/>
      <c r="N68" s="86">
        <v>15000</v>
      </c>
    </row>
    <row r="69" spans="1:14" ht="15.75">
      <c r="A69" s="473" t="s">
        <v>60</v>
      </c>
      <c r="B69" s="193"/>
      <c r="C69" s="87"/>
      <c r="D69" s="86"/>
      <c r="E69" s="77"/>
      <c r="F69" s="86"/>
      <c r="G69" s="77"/>
      <c r="H69" s="86"/>
      <c r="I69" s="77"/>
      <c r="J69" s="86"/>
      <c r="K69" s="78"/>
      <c r="L69" s="86"/>
      <c r="M69" s="28"/>
      <c r="N69" s="86"/>
    </row>
    <row r="70" spans="1:14" ht="15.75">
      <c r="A70" s="473" t="s">
        <v>60</v>
      </c>
      <c r="B70" s="193"/>
      <c r="C70" s="87"/>
      <c r="D70" s="86"/>
      <c r="E70" s="77"/>
      <c r="F70" s="86"/>
      <c r="G70" s="77"/>
      <c r="H70" s="86"/>
      <c r="I70" s="77"/>
      <c r="J70" s="86"/>
      <c r="K70" s="78"/>
      <c r="L70" s="86"/>
      <c r="M70" s="28"/>
      <c r="N70" s="86"/>
    </row>
    <row r="71" spans="1:14" ht="15.75">
      <c r="A71" s="473" t="s">
        <v>59</v>
      </c>
      <c r="B71" s="193"/>
      <c r="C71" s="87"/>
      <c r="D71" s="86"/>
      <c r="E71" s="77"/>
      <c r="F71" s="86"/>
      <c r="G71" s="77"/>
      <c r="H71" s="86"/>
      <c r="I71" s="77"/>
      <c r="J71" s="86"/>
      <c r="K71" s="78"/>
      <c r="L71" s="86"/>
      <c r="M71" s="28"/>
      <c r="N71" s="86"/>
    </row>
    <row r="72" spans="1:14" ht="15.75">
      <c r="A72" s="473" t="s">
        <v>59</v>
      </c>
      <c r="B72" s="193"/>
      <c r="C72" s="87"/>
      <c r="D72" s="86"/>
      <c r="E72" s="77"/>
      <c r="F72" s="86"/>
      <c r="G72" s="77"/>
      <c r="H72" s="86"/>
      <c r="I72" s="77"/>
      <c r="J72" s="86"/>
      <c r="K72" s="78"/>
      <c r="L72" s="86"/>
      <c r="M72" s="28"/>
      <c r="N72" s="86"/>
    </row>
    <row r="73" spans="1:14" ht="15.75">
      <c r="A73" s="473" t="s">
        <v>59</v>
      </c>
      <c r="B73" s="193"/>
      <c r="C73" s="87"/>
      <c r="D73" s="86"/>
      <c r="E73" s="77"/>
      <c r="F73" s="86"/>
      <c r="G73" s="77"/>
      <c r="H73" s="86"/>
      <c r="I73" s="77"/>
      <c r="J73" s="86"/>
      <c r="K73" s="78"/>
      <c r="L73" s="86"/>
      <c r="M73" s="28"/>
      <c r="N73" s="86"/>
    </row>
    <row r="74" spans="1:14" ht="15.75">
      <c r="A74" s="473" t="s">
        <v>59</v>
      </c>
      <c r="B74" s="193"/>
      <c r="C74" s="87"/>
      <c r="D74" s="86"/>
      <c r="E74" s="77"/>
      <c r="F74" s="86"/>
      <c r="G74" s="77"/>
      <c r="H74" s="86"/>
      <c r="I74" s="77"/>
      <c r="J74" s="86"/>
      <c r="K74" s="78"/>
      <c r="L74" s="86"/>
      <c r="M74" s="28"/>
      <c r="N74" s="86"/>
    </row>
    <row r="75" spans="1:14" ht="16.5" thickBot="1">
      <c r="A75" s="74"/>
      <c r="B75" s="191"/>
      <c r="C75" s="76"/>
      <c r="D75" s="81"/>
      <c r="E75" s="73"/>
      <c r="F75" s="81"/>
      <c r="G75" s="73"/>
      <c r="H75" s="81"/>
      <c r="I75" s="73"/>
      <c r="J75" s="81"/>
      <c r="K75" s="71"/>
      <c r="L75" s="82"/>
      <c r="M75" s="28"/>
      <c r="N75" s="82"/>
    </row>
    <row r="76" spans="1:14" ht="16.5" thickBot="1">
      <c r="A76" s="484" t="s">
        <v>349</v>
      </c>
      <c r="B76" s="734">
        <f>SUM(B58:B74)</f>
        <v>2483530</v>
      </c>
      <c r="C76" s="72"/>
      <c r="D76" s="734">
        <f>SUM(D58:D74)</f>
        <v>2389887</v>
      </c>
      <c r="E76" s="526"/>
      <c r="F76" s="734">
        <f>SUM(F58:F74)</f>
        <v>415878</v>
      </c>
      <c r="G76" s="526"/>
      <c r="H76" s="734">
        <f>SUM(H58:H74)</f>
        <v>580774.085</v>
      </c>
      <c r="I76" s="526"/>
      <c r="J76" s="734">
        <f>SUM(J58:J74)</f>
        <v>837494.6224999999</v>
      </c>
      <c r="K76" s="527"/>
      <c r="L76" s="734">
        <f>SUM(L58:L74)</f>
        <v>1046179.6221650001</v>
      </c>
      <c r="M76" s="112"/>
      <c r="N76" s="734">
        <f>SUM(N58:N74)</f>
        <v>1289225.6032667498</v>
      </c>
    </row>
    <row r="77" spans="1:14" ht="16.5" thickBot="1">
      <c r="A77" s="83"/>
      <c r="B77" s="192"/>
      <c r="C77" s="84"/>
      <c r="D77" s="78"/>
      <c r="E77" s="77"/>
      <c r="F77" s="78"/>
      <c r="G77" s="77"/>
      <c r="H77" s="78"/>
      <c r="I77" s="77"/>
      <c r="J77" s="78"/>
      <c r="K77" s="78"/>
      <c r="L77" s="67"/>
      <c r="M77" s="68"/>
      <c r="N77" s="67"/>
    </row>
    <row r="78" spans="1:14" ht="16.5" thickBot="1">
      <c r="A78" s="484" t="s">
        <v>369</v>
      </c>
      <c r="B78" s="189"/>
      <c r="C78" s="72"/>
      <c r="D78" s="71"/>
      <c r="E78" s="73"/>
      <c r="F78" s="71"/>
      <c r="G78" s="73"/>
      <c r="H78" s="71"/>
      <c r="I78" s="73"/>
      <c r="J78" s="71"/>
      <c r="K78" s="71"/>
      <c r="L78" s="65"/>
      <c r="M78" s="28"/>
      <c r="N78" s="65"/>
    </row>
    <row r="79" spans="1:14" ht="15.75">
      <c r="A79" s="483" t="s">
        <v>28</v>
      </c>
      <c r="B79" s="536">
        <f>3775+786+309+187.5+2628+2037</f>
        <v>9722.5</v>
      </c>
      <c r="C79" s="76"/>
      <c r="D79" s="86">
        <f>300+1500+1500+5000+1000+300+500</f>
        <v>10100</v>
      </c>
      <c r="E79" s="77"/>
      <c r="F79" s="86">
        <v>2000</v>
      </c>
      <c r="G79" s="77"/>
      <c r="H79" s="86">
        <v>2500</v>
      </c>
      <c r="I79" s="77"/>
      <c r="J79" s="86">
        <v>3000</v>
      </c>
      <c r="K79" s="78"/>
      <c r="L79" s="86">
        <v>3500</v>
      </c>
      <c r="M79" s="28"/>
      <c r="N79" s="86">
        <v>3500</v>
      </c>
    </row>
    <row r="80" spans="1:14" ht="15.75">
      <c r="A80" s="473" t="s">
        <v>142</v>
      </c>
      <c r="B80" s="536"/>
      <c r="C80" s="76"/>
      <c r="D80" s="86"/>
      <c r="E80" s="77"/>
      <c r="F80" s="86"/>
      <c r="G80" s="77"/>
      <c r="H80" s="86"/>
      <c r="I80" s="77"/>
      <c r="J80" s="86"/>
      <c r="K80" s="78"/>
      <c r="L80" s="86"/>
      <c r="M80" s="28"/>
      <c r="N80" s="86"/>
    </row>
    <row r="81" spans="1:14" ht="15.75">
      <c r="A81" s="473" t="s">
        <v>30</v>
      </c>
      <c r="B81" s="536">
        <v>29620</v>
      </c>
      <c r="C81" s="76"/>
      <c r="D81" s="86">
        <v>31000</v>
      </c>
      <c r="E81" s="77"/>
      <c r="F81" s="86">
        <v>5000</v>
      </c>
      <c r="G81" s="77"/>
      <c r="H81" s="86">
        <v>6000</v>
      </c>
      <c r="I81" s="77"/>
      <c r="J81" s="86">
        <v>7000</v>
      </c>
      <c r="K81" s="78"/>
      <c r="L81" s="86">
        <v>8000</v>
      </c>
      <c r="M81" s="28"/>
      <c r="N81" s="86">
        <v>8000</v>
      </c>
    </row>
    <row r="82" spans="1:14" ht="15.75">
      <c r="A82" s="473" t="s">
        <v>150</v>
      </c>
      <c r="B82" s="536"/>
      <c r="C82" s="76"/>
      <c r="D82" s="86"/>
      <c r="E82" s="77"/>
      <c r="F82" s="86"/>
      <c r="G82" s="77"/>
      <c r="H82" s="86"/>
      <c r="I82" s="77"/>
      <c r="J82" s="86"/>
      <c r="K82" s="78"/>
      <c r="L82" s="86"/>
      <c r="M82" s="28"/>
      <c r="N82" s="86"/>
    </row>
    <row r="83" spans="1:14" ht="15.75">
      <c r="A83" s="473" t="s">
        <v>136</v>
      </c>
      <c r="B83" s="536"/>
      <c r="C83" s="76"/>
      <c r="D83" s="86"/>
      <c r="E83" s="77"/>
      <c r="F83" s="86"/>
      <c r="G83" s="77"/>
      <c r="H83" s="86"/>
      <c r="I83" s="77"/>
      <c r="J83" s="86"/>
      <c r="K83" s="78"/>
      <c r="L83" s="86"/>
      <c r="M83" s="28"/>
      <c r="N83" s="86"/>
    </row>
    <row r="84" spans="1:14" ht="15.75">
      <c r="A84" s="473" t="s">
        <v>29</v>
      </c>
      <c r="B84" s="536">
        <f>10742+17000+1227</f>
        <v>28969</v>
      </c>
      <c r="C84" s="76"/>
      <c r="D84" s="86">
        <v>28200</v>
      </c>
      <c r="E84" s="77"/>
      <c r="F84" s="86">
        <v>4000</v>
      </c>
      <c r="G84" s="77"/>
      <c r="H84" s="86">
        <f>F84*1.03</f>
        <v>4120</v>
      </c>
      <c r="I84" s="77"/>
      <c r="J84" s="86">
        <f>H84*1.03</f>
        <v>4243.6</v>
      </c>
      <c r="K84" s="78"/>
      <c r="L84" s="86">
        <f>J84*1.03</f>
        <v>4370.908</v>
      </c>
      <c r="M84" s="28"/>
      <c r="N84" s="86">
        <f>L84*1.03</f>
        <v>4502.03524</v>
      </c>
    </row>
    <row r="85" spans="1:14" ht="15.75">
      <c r="A85" s="473" t="s">
        <v>31</v>
      </c>
      <c r="B85" s="536">
        <f>4285+548+6825</f>
        <v>11658</v>
      </c>
      <c r="C85" s="76"/>
      <c r="D85" s="86">
        <f>6000+7000</f>
        <v>13000</v>
      </c>
      <c r="E85" s="77"/>
      <c r="F85" s="86">
        <v>3000</v>
      </c>
      <c r="G85" s="77"/>
      <c r="H85" s="86">
        <v>3500</v>
      </c>
      <c r="I85" s="77"/>
      <c r="J85" s="86">
        <v>4000</v>
      </c>
      <c r="K85" s="78"/>
      <c r="L85" s="86">
        <v>4500</v>
      </c>
      <c r="M85" s="28"/>
      <c r="N85" s="86">
        <v>4500</v>
      </c>
    </row>
    <row r="86" spans="1:14" ht="15.75">
      <c r="A86" s="473" t="s">
        <v>60</v>
      </c>
      <c r="B86" s="536"/>
      <c r="C86" s="80"/>
      <c r="D86" s="86"/>
      <c r="E86" s="77"/>
      <c r="F86" s="86"/>
      <c r="G86" s="77"/>
      <c r="H86" s="86"/>
      <c r="I86" s="77"/>
      <c r="J86" s="86"/>
      <c r="K86" s="78"/>
      <c r="L86" s="86"/>
      <c r="M86" s="28"/>
      <c r="N86" s="86"/>
    </row>
    <row r="87" spans="1:14" ht="15.75">
      <c r="A87" s="473" t="s">
        <v>143</v>
      </c>
      <c r="B87" s="536">
        <v>20000</v>
      </c>
      <c r="C87" s="80"/>
      <c r="D87" s="86">
        <v>20000</v>
      </c>
      <c r="E87" s="77"/>
      <c r="F87" s="86"/>
      <c r="G87" s="77"/>
      <c r="H87" s="86"/>
      <c r="I87" s="77"/>
      <c r="J87" s="86"/>
      <c r="K87" s="78"/>
      <c r="L87" s="86"/>
      <c r="M87" s="28"/>
      <c r="N87" s="86"/>
    </row>
    <row r="88" spans="1:14" ht="15.75">
      <c r="A88" s="473" t="s">
        <v>549</v>
      </c>
      <c r="B88" s="536">
        <f>88+57+365</f>
        <v>510</v>
      </c>
      <c r="C88" s="80"/>
      <c r="D88" s="86">
        <f>500+350+219</f>
        <v>1069</v>
      </c>
      <c r="E88" s="77"/>
      <c r="F88" s="86">
        <v>2000</v>
      </c>
      <c r="G88" s="77"/>
      <c r="H88" s="86">
        <v>2000</v>
      </c>
      <c r="I88" s="77"/>
      <c r="J88" s="86">
        <v>2000</v>
      </c>
      <c r="K88" s="78"/>
      <c r="L88" s="86">
        <v>2000</v>
      </c>
      <c r="M88" s="28"/>
      <c r="N88" s="86">
        <v>2000</v>
      </c>
    </row>
    <row r="89" spans="1:14" ht="15.75">
      <c r="A89" s="473" t="s">
        <v>570</v>
      </c>
      <c r="B89" s="536">
        <f>11763+5891+1514</f>
        <v>19168</v>
      </c>
      <c r="C89" s="80"/>
      <c r="D89" s="86"/>
      <c r="E89" s="77"/>
      <c r="F89" s="86"/>
      <c r="G89" s="77"/>
      <c r="H89" s="86"/>
      <c r="I89" s="77"/>
      <c r="J89" s="86"/>
      <c r="K89" s="78"/>
      <c r="L89" s="86"/>
      <c r="M89" s="28"/>
      <c r="N89" s="86"/>
    </row>
    <row r="90" spans="1:14" ht="15.75">
      <c r="A90" s="473" t="s">
        <v>59</v>
      </c>
      <c r="B90" s="536"/>
      <c r="C90" s="80"/>
      <c r="D90" s="86"/>
      <c r="E90" s="77"/>
      <c r="F90" s="86"/>
      <c r="G90" s="77"/>
      <c r="H90" s="86"/>
      <c r="I90" s="77"/>
      <c r="J90" s="86"/>
      <c r="K90" s="78"/>
      <c r="L90" s="86"/>
      <c r="M90" s="28"/>
      <c r="N90" s="86"/>
    </row>
    <row r="91" spans="1:14" ht="16.5" thickBot="1">
      <c r="A91" s="74"/>
      <c r="B91" s="191"/>
      <c r="C91" s="76"/>
      <c r="D91" s="81"/>
      <c r="E91" s="73"/>
      <c r="F91" s="81"/>
      <c r="G91" s="73"/>
      <c r="H91" s="81"/>
      <c r="I91" s="73"/>
      <c r="J91" s="81"/>
      <c r="K91" s="71"/>
      <c r="L91" s="82"/>
      <c r="M91" s="28"/>
      <c r="N91" s="82"/>
    </row>
    <row r="92" spans="1:14" ht="16.5" thickBot="1">
      <c r="A92" s="484" t="s">
        <v>350</v>
      </c>
      <c r="B92" s="734">
        <f>SUM(B79:B90)</f>
        <v>119647.5</v>
      </c>
      <c r="C92" s="72"/>
      <c r="D92" s="734">
        <f>SUM(D79:D90)</f>
        <v>103369</v>
      </c>
      <c r="E92" s="526"/>
      <c r="F92" s="734">
        <f>SUM(F79:F90)</f>
        <v>16000</v>
      </c>
      <c r="G92" s="526"/>
      <c r="H92" s="734">
        <f>SUM(H79:H90)</f>
        <v>18120</v>
      </c>
      <c r="I92" s="526"/>
      <c r="J92" s="734">
        <f>SUM(J79:J90)</f>
        <v>20243.6</v>
      </c>
      <c r="K92" s="527"/>
      <c r="L92" s="734">
        <f>SUM(L79:L90)</f>
        <v>22370.908</v>
      </c>
      <c r="M92" s="112"/>
      <c r="N92" s="734">
        <f>SUM(N79:N90)</f>
        <v>22502.03524</v>
      </c>
    </row>
    <row r="93" spans="1:14" ht="16.5" thickBot="1">
      <c r="A93" s="88"/>
      <c r="B93" s="194"/>
      <c r="C93" s="90"/>
      <c r="D93" s="89"/>
      <c r="E93" s="77"/>
      <c r="F93" s="89"/>
      <c r="G93" s="77"/>
      <c r="H93" s="89"/>
      <c r="I93" s="77"/>
      <c r="J93" s="89"/>
      <c r="K93" s="78"/>
      <c r="L93" s="89"/>
      <c r="M93" s="68"/>
      <c r="N93" s="89"/>
    </row>
    <row r="94" spans="1:14" ht="16.5" thickBot="1">
      <c r="A94" s="484" t="s">
        <v>366</v>
      </c>
      <c r="B94" s="189"/>
      <c r="C94" s="72"/>
      <c r="D94" s="71"/>
      <c r="E94" s="73"/>
      <c r="F94" s="71"/>
      <c r="G94" s="73"/>
      <c r="H94" s="71"/>
      <c r="I94" s="73"/>
      <c r="J94" s="71"/>
      <c r="K94" s="71"/>
      <c r="L94" s="65"/>
      <c r="M94" s="28"/>
      <c r="N94" s="65"/>
    </row>
    <row r="95" spans="1:14" ht="15.75">
      <c r="A95" s="483" t="s">
        <v>32</v>
      </c>
      <c r="B95" s="190">
        <v>269501</v>
      </c>
      <c r="C95" s="76"/>
      <c r="D95" s="75">
        <v>384865</v>
      </c>
      <c r="E95" s="77"/>
      <c r="F95" s="75">
        <v>50000</v>
      </c>
      <c r="G95" s="77"/>
      <c r="H95" s="75">
        <v>100000</v>
      </c>
      <c r="I95" s="77"/>
      <c r="J95" s="75">
        <v>150000</v>
      </c>
      <c r="K95" s="78"/>
      <c r="L95" s="75">
        <v>200000</v>
      </c>
      <c r="M95" s="28"/>
      <c r="N95" s="75">
        <f>L95*1.03</f>
        <v>206000</v>
      </c>
    </row>
    <row r="96" spans="1:14" ht="15.75">
      <c r="A96" s="473" t="s">
        <v>33</v>
      </c>
      <c r="B96" s="190"/>
      <c r="C96" s="76"/>
      <c r="D96" s="75">
        <v>90000</v>
      </c>
      <c r="E96" s="77"/>
      <c r="F96" s="75">
        <v>12500</v>
      </c>
      <c r="G96" s="77"/>
      <c r="H96" s="75">
        <v>25000</v>
      </c>
      <c r="I96" s="77"/>
      <c r="J96" s="75">
        <v>37500</v>
      </c>
      <c r="K96" s="78"/>
      <c r="L96" s="75">
        <v>50000</v>
      </c>
      <c r="M96" s="28"/>
      <c r="N96" s="75">
        <f>L96*1.03</f>
        <v>51500</v>
      </c>
    </row>
    <row r="97" spans="1:14" ht="15.75">
      <c r="A97" s="473" t="s">
        <v>34</v>
      </c>
      <c r="B97" s="190">
        <f>31540+1254+425+1680</f>
        <v>34899</v>
      </c>
      <c r="C97" s="76"/>
      <c r="D97" s="75">
        <f>3030+30000</f>
        <v>33030</v>
      </c>
      <c r="E97" s="77"/>
      <c r="F97" s="75">
        <v>10000</v>
      </c>
      <c r="G97" s="77"/>
      <c r="H97" s="75">
        <v>10000</v>
      </c>
      <c r="I97" s="77"/>
      <c r="J97" s="75">
        <v>10000</v>
      </c>
      <c r="K97" s="78"/>
      <c r="L97" s="75">
        <v>10000</v>
      </c>
      <c r="M97" s="28"/>
      <c r="N97" s="75">
        <v>10000</v>
      </c>
    </row>
    <row r="98" spans="1:14" ht="15.75">
      <c r="A98" s="473" t="s">
        <v>36</v>
      </c>
      <c r="B98" s="190">
        <v>14323</v>
      </c>
      <c r="C98" s="76"/>
      <c r="D98" s="75"/>
      <c r="E98" s="77"/>
      <c r="F98" s="75"/>
      <c r="G98" s="77"/>
      <c r="H98" s="75"/>
      <c r="I98" s="77"/>
      <c r="J98" s="75"/>
      <c r="K98" s="78"/>
      <c r="L98" s="75"/>
      <c r="M98" s="28"/>
      <c r="N98" s="75"/>
    </row>
    <row r="99" spans="1:14" ht="15.75">
      <c r="A99" s="473" t="s">
        <v>28</v>
      </c>
      <c r="B99" s="190">
        <f>1254+6805</f>
        <v>8059</v>
      </c>
      <c r="C99" s="76"/>
      <c r="D99" s="75">
        <f>500+10000</f>
        <v>10500</v>
      </c>
      <c r="E99" s="77"/>
      <c r="F99" s="75">
        <v>10000</v>
      </c>
      <c r="G99" s="77"/>
      <c r="H99" s="75">
        <v>12000</v>
      </c>
      <c r="I99" s="77"/>
      <c r="J99" s="75">
        <v>14000</v>
      </c>
      <c r="K99" s="78"/>
      <c r="L99" s="75">
        <v>16000</v>
      </c>
      <c r="M99" s="28"/>
      <c r="N99" s="75">
        <f>L99*1.03</f>
        <v>16480</v>
      </c>
    </row>
    <row r="100" spans="1:14" ht="15.75">
      <c r="A100" s="473" t="s">
        <v>35</v>
      </c>
      <c r="B100" s="190"/>
      <c r="C100" s="76"/>
      <c r="D100" s="75"/>
      <c r="E100" s="77"/>
      <c r="F100" s="75"/>
      <c r="G100" s="77"/>
      <c r="H100" s="75"/>
      <c r="I100" s="77"/>
      <c r="J100" s="75"/>
      <c r="K100" s="78"/>
      <c r="L100" s="75"/>
      <c r="M100" s="28"/>
      <c r="N100" s="75"/>
    </row>
    <row r="101" spans="1:14" ht="15.75">
      <c r="A101" s="546" t="s">
        <v>373</v>
      </c>
      <c r="B101" s="190"/>
      <c r="C101" s="76"/>
      <c r="D101" s="75">
        <v>1500</v>
      </c>
      <c r="E101" s="77"/>
      <c r="F101" s="75"/>
      <c r="G101" s="77"/>
      <c r="H101" s="75"/>
      <c r="I101" s="77"/>
      <c r="J101" s="75"/>
      <c r="K101" s="78"/>
      <c r="L101" s="75"/>
      <c r="M101" s="28"/>
      <c r="N101" s="75"/>
    </row>
    <row r="102" spans="1:14" ht="15.75">
      <c r="A102" s="546" t="s">
        <v>374</v>
      </c>
      <c r="B102" s="190">
        <v>85261</v>
      </c>
      <c r="C102" s="80"/>
      <c r="D102" s="75">
        <v>98948</v>
      </c>
      <c r="E102" s="77"/>
      <c r="F102" s="75">
        <v>35000</v>
      </c>
      <c r="G102" s="77"/>
      <c r="H102" s="75">
        <v>40000</v>
      </c>
      <c r="I102" s="77"/>
      <c r="J102" s="75">
        <v>45000</v>
      </c>
      <c r="K102" s="78"/>
      <c r="L102" s="75">
        <v>50000</v>
      </c>
      <c r="M102" s="28"/>
      <c r="N102" s="75">
        <f>L102*1.03</f>
        <v>51500</v>
      </c>
    </row>
    <row r="103" spans="1:14" ht="15.75">
      <c r="A103" s="546" t="s">
        <v>375</v>
      </c>
      <c r="B103" s="190"/>
      <c r="C103" s="80"/>
      <c r="D103" s="75"/>
      <c r="E103" s="77"/>
      <c r="F103" s="75"/>
      <c r="G103" s="77"/>
      <c r="H103" s="75"/>
      <c r="I103" s="77"/>
      <c r="J103" s="75"/>
      <c r="K103" s="78"/>
      <c r="L103" s="75"/>
      <c r="M103" s="28"/>
      <c r="N103" s="75"/>
    </row>
    <row r="104" spans="1:14" ht="15.75">
      <c r="A104" s="473" t="s">
        <v>60</v>
      </c>
      <c r="B104" s="190"/>
      <c r="C104" s="80"/>
      <c r="D104" s="75"/>
      <c r="E104" s="77"/>
      <c r="F104" s="75"/>
      <c r="G104" s="77"/>
      <c r="H104" s="75"/>
      <c r="I104" s="77"/>
      <c r="J104" s="75"/>
      <c r="K104" s="78"/>
      <c r="L104" s="75"/>
      <c r="M104" s="28"/>
      <c r="N104" s="75"/>
    </row>
    <row r="105" spans="1:14" ht="15.75">
      <c r="A105" s="473" t="s">
        <v>59</v>
      </c>
      <c r="B105" s="190"/>
      <c r="C105" s="80"/>
      <c r="D105" s="75"/>
      <c r="E105" s="77"/>
      <c r="F105" s="75"/>
      <c r="G105" s="77"/>
      <c r="H105" s="75"/>
      <c r="I105" s="77"/>
      <c r="J105" s="75"/>
      <c r="K105" s="78"/>
      <c r="L105" s="75"/>
      <c r="M105" s="28"/>
      <c r="N105" s="75"/>
    </row>
    <row r="106" spans="1:14" ht="15.75">
      <c r="A106" s="473" t="s">
        <v>59</v>
      </c>
      <c r="B106" s="190"/>
      <c r="C106" s="80"/>
      <c r="D106" s="75"/>
      <c r="E106" s="77"/>
      <c r="F106" s="75"/>
      <c r="G106" s="77"/>
      <c r="H106" s="75"/>
      <c r="I106" s="77"/>
      <c r="J106" s="75"/>
      <c r="K106" s="78"/>
      <c r="L106" s="75"/>
      <c r="M106" s="28"/>
      <c r="N106" s="75"/>
    </row>
    <row r="107" spans="1:14" ht="16.5" thickBot="1">
      <c r="A107" s="79"/>
      <c r="B107" s="194"/>
      <c r="C107" s="80"/>
      <c r="D107" s="89"/>
      <c r="E107" s="77"/>
      <c r="F107" s="89"/>
      <c r="G107" s="77"/>
      <c r="H107" s="89"/>
      <c r="I107" s="77"/>
      <c r="J107" s="89"/>
      <c r="K107" s="78"/>
      <c r="L107" s="91"/>
      <c r="M107" s="68"/>
      <c r="N107" s="91"/>
    </row>
    <row r="108" spans="1:14" ht="16.5" thickBot="1">
      <c r="A108" s="484" t="s">
        <v>351</v>
      </c>
      <c r="B108" s="734">
        <f>SUM(B95:B106)</f>
        <v>412043</v>
      </c>
      <c r="C108" s="72"/>
      <c r="D108" s="734">
        <f>SUM(D95:D106)</f>
        <v>618843</v>
      </c>
      <c r="E108" s="526"/>
      <c r="F108" s="734">
        <f>SUM(F95:F106)</f>
        <v>117500</v>
      </c>
      <c r="G108" s="526"/>
      <c r="H108" s="734">
        <f>SUM(H95:H106)</f>
        <v>187000</v>
      </c>
      <c r="I108" s="526"/>
      <c r="J108" s="734">
        <f>SUM(J95:J106)</f>
        <v>256500</v>
      </c>
      <c r="K108" s="527"/>
      <c r="L108" s="734">
        <f>SUM(L95:L106)</f>
        <v>326000</v>
      </c>
      <c r="M108" s="112"/>
      <c r="N108" s="734">
        <f>SUM(N95:N106)</f>
        <v>335480</v>
      </c>
    </row>
    <row r="109" spans="1:14" ht="16.5" thickBot="1">
      <c r="A109" s="92"/>
      <c r="B109" s="194"/>
      <c r="C109" s="93"/>
      <c r="D109" s="89"/>
      <c r="E109" s="94"/>
      <c r="F109" s="89"/>
      <c r="G109" s="94"/>
      <c r="H109" s="89"/>
      <c r="I109" s="94"/>
      <c r="J109" s="89"/>
      <c r="K109" s="89"/>
      <c r="L109" s="91"/>
      <c r="M109" s="95"/>
      <c r="N109" s="91"/>
    </row>
    <row r="110" spans="1:14" ht="16.5" thickBot="1">
      <c r="A110" s="484" t="s">
        <v>12</v>
      </c>
      <c r="B110" s="528">
        <f>146954+122462</f>
        <v>269416</v>
      </c>
      <c r="C110" s="72"/>
      <c r="D110" s="529">
        <f>180810+154980</f>
        <v>335790</v>
      </c>
      <c r="E110" s="530"/>
      <c r="F110" s="529">
        <f>F12*0.12</f>
        <v>56806.416</v>
      </c>
      <c r="G110" s="530"/>
      <c r="H110" s="529">
        <f>H12*0.12</f>
        <v>113612.832</v>
      </c>
      <c r="I110" s="530"/>
      <c r="J110" s="529">
        <f>J12*0.12</f>
        <v>170419.248</v>
      </c>
      <c r="K110" s="531"/>
      <c r="L110" s="529">
        <f>L12*0.12</f>
        <v>227225.664</v>
      </c>
      <c r="M110" s="112"/>
      <c r="N110" s="529">
        <f>N12*0.12</f>
        <v>227225.664</v>
      </c>
    </row>
    <row r="111" spans="1:14" ht="16.5" thickBot="1">
      <c r="A111" s="92"/>
      <c r="B111" s="194"/>
      <c r="C111" s="93"/>
      <c r="D111" s="89"/>
      <c r="E111" s="94"/>
      <c r="F111" s="89"/>
      <c r="G111" s="94"/>
      <c r="H111" s="89"/>
      <c r="I111" s="94"/>
      <c r="J111" s="89"/>
      <c r="K111" s="89"/>
      <c r="L111" s="91"/>
      <c r="M111" s="95"/>
      <c r="N111" s="91"/>
    </row>
    <row r="112" spans="1:14" ht="16.5" thickBot="1">
      <c r="A112" s="537" t="s">
        <v>367</v>
      </c>
      <c r="B112" s="192"/>
      <c r="C112" s="90"/>
      <c r="D112" s="78"/>
      <c r="E112" s="77"/>
      <c r="F112" s="78"/>
      <c r="G112" s="77"/>
      <c r="H112" s="78"/>
      <c r="I112" s="77"/>
      <c r="J112" s="78"/>
      <c r="K112" s="78"/>
      <c r="L112" s="67"/>
      <c r="M112" s="68"/>
      <c r="N112" s="67"/>
    </row>
    <row r="113" spans="1:14" ht="15.75">
      <c r="A113" s="483" t="s">
        <v>36</v>
      </c>
      <c r="B113" s="190">
        <f>18285</f>
        <v>18285</v>
      </c>
      <c r="C113" s="76"/>
      <c r="D113" s="75">
        <f>2700+16681</f>
        <v>19381</v>
      </c>
      <c r="E113" s="77"/>
      <c r="F113" s="75">
        <v>3000</v>
      </c>
      <c r="G113" s="77"/>
      <c r="H113" s="75">
        <v>3500</v>
      </c>
      <c r="I113" s="77"/>
      <c r="J113" s="75">
        <v>4500</v>
      </c>
      <c r="K113" s="78"/>
      <c r="L113" s="75">
        <v>5000</v>
      </c>
      <c r="M113" s="28"/>
      <c r="N113" s="75">
        <f>L113*1.03</f>
        <v>5150</v>
      </c>
    </row>
    <row r="114" spans="1:14" ht="15.75">
      <c r="A114" s="473" t="s">
        <v>20</v>
      </c>
      <c r="B114" s="190"/>
      <c r="C114" s="76"/>
      <c r="D114" s="75">
        <v>500</v>
      </c>
      <c r="E114" s="77"/>
      <c r="F114" s="75"/>
      <c r="G114" s="77"/>
      <c r="H114" s="75"/>
      <c r="I114" s="77"/>
      <c r="J114" s="75"/>
      <c r="K114" s="78"/>
      <c r="L114" s="75"/>
      <c r="M114" s="28"/>
      <c r="N114" s="75"/>
    </row>
    <row r="115" spans="1:14" ht="15.75">
      <c r="A115" s="481" t="s">
        <v>151</v>
      </c>
      <c r="B115" s="190">
        <f>24291+38475</f>
        <v>62766</v>
      </c>
      <c r="C115" s="76"/>
      <c r="D115" s="75">
        <f>30900+44200</f>
        <v>75100</v>
      </c>
      <c r="E115" s="77"/>
      <c r="F115" s="75">
        <v>10000</v>
      </c>
      <c r="G115" s="77"/>
      <c r="H115" s="75">
        <v>10000</v>
      </c>
      <c r="I115" s="77"/>
      <c r="J115" s="75">
        <v>10000</v>
      </c>
      <c r="K115" s="78"/>
      <c r="L115" s="75">
        <v>10000</v>
      </c>
      <c r="M115" s="28"/>
      <c r="N115" s="75">
        <v>10000</v>
      </c>
    </row>
    <row r="116" spans="1:14" ht="15.75">
      <c r="A116" s="473" t="s">
        <v>104</v>
      </c>
      <c r="B116" s="190">
        <f>17.35+16525</f>
        <v>16542.35</v>
      </c>
      <c r="C116" s="76"/>
      <c r="D116" s="75">
        <f>100+17569</f>
        <v>17669</v>
      </c>
      <c r="E116" s="77"/>
      <c r="F116" s="75">
        <v>2000</v>
      </c>
      <c r="G116" s="77"/>
      <c r="H116" s="75">
        <v>2000</v>
      </c>
      <c r="I116" s="77"/>
      <c r="J116" s="75">
        <v>2000</v>
      </c>
      <c r="K116" s="78"/>
      <c r="L116" s="75">
        <v>2000</v>
      </c>
      <c r="M116" s="28"/>
      <c r="N116" s="75">
        <v>2000</v>
      </c>
    </row>
    <row r="117" spans="1:14" ht="15.75">
      <c r="A117" s="85" t="s">
        <v>152</v>
      </c>
      <c r="B117" s="190">
        <v>8514</v>
      </c>
      <c r="C117" s="76"/>
      <c r="D117" s="75">
        <v>6000</v>
      </c>
      <c r="E117" s="77"/>
      <c r="F117" s="75">
        <f>F21*0.5</f>
        <v>2500</v>
      </c>
      <c r="G117" s="77"/>
      <c r="H117" s="75">
        <f>H21*0.5</f>
        <v>3000</v>
      </c>
      <c r="I117" s="77"/>
      <c r="J117" s="75">
        <f>J21*0.5</f>
        <v>3500</v>
      </c>
      <c r="K117" s="78"/>
      <c r="L117" s="75">
        <f>L21*0.5</f>
        <v>4000</v>
      </c>
      <c r="M117" s="28"/>
      <c r="N117" s="75">
        <f>N21*0.5</f>
        <v>4000</v>
      </c>
    </row>
    <row r="118" spans="1:14" ht="15.75">
      <c r="A118" s="473" t="s">
        <v>37</v>
      </c>
      <c r="B118" s="190"/>
      <c r="C118" s="76"/>
      <c r="D118" s="75"/>
      <c r="E118" s="77"/>
      <c r="F118" s="75"/>
      <c r="G118" s="77"/>
      <c r="H118" s="75"/>
      <c r="I118" s="77"/>
      <c r="J118" s="75"/>
      <c r="K118" s="78"/>
      <c r="L118" s="75"/>
      <c r="M118" s="28"/>
      <c r="N118" s="75"/>
    </row>
    <row r="119" spans="1:14" ht="15.75">
      <c r="A119" s="538" t="s">
        <v>153</v>
      </c>
      <c r="B119" s="190"/>
      <c r="C119" s="76"/>
      <c r="D119" s="75"/>
      <c r="E119" s="77"/>
      <c r="F119" s="75"/>
      <c r="G119" s="77"/>
      <c r="H119" s="75"/>
      <c r="I119" s="77"/>
      <c r="J119" s="75"/>
      <c r="K119" s="78"/>
      <c r="L119" s="75"/>
      <c r="M119" s="28"/>
      <c r="N119" s="75"/>
    </row>
    <row r="120" spans="1:14" ht="15.75">
      <c r="A120" s="473" t="s">
        <v>60</v>
      </c>
      <c r="B120" s="190">
        <v>42900</v>
      </c>
      <c r="C120" s="76"/>
      <c r="D120" s="75"/>
      <c r="E120" s="77"/>
      <c r="F120" s="75"/>
      <c r="G120" s="77"/>
      <c r="H120" s="75"/>
      <c r="I120" s="77"/>
      <c r="J120" s="75"/>
      <c r="K120" s="78"/>
      <c r="L120" s="75"/>
      <c r="M120" s="28"/>
      <c r="N120" s="75"/>
    </row>
    <row r="121" spans="1:14" ht="15.75">
      <c r="A121" s="473" t="s">
        <v>550</v>
      </c>
      <c r="B121" s="190">
        <f>3018+152</f>
        <v>3170</v>
      </c>
      <c r="C121" s="80"/>
      <c r="D121" s="75">
        <f>4362+249</f>
        <v>4611</v>
      </c>
      <c r="E121" s="77"/>
      <c r="F121" s="75">
        <v>1500</v>
      </c>
      <c r="G121" s="77"/>
      <c r="H121" s="75">
        <v>2000</v>
      </c>
      <c r="I121" s="77"/>
      <c r="J121" s="75">
        <v>2500</v>
      </c>
      <c r="K121" s="78"/>
      <c r="L121" s="75">
        <v>3000</v>
      </c>
      <c r="M121" s="28"/>
      <c r="N121" s="75">
        <f>L121*1.03</f>
        <v>3090</v>
      </c>
    </row>
    <row r="122" spans="1:14" ht="15.75">
      <c r="A122" s="473" t="s">
        <v>59</v>
      </c>
      <c r="B122" s="190"/>
      <c r="C122" s="80"/>
      <c r="D122" s="75"/>
      <c r="E122" s="77"/>
      <c r="F122" s="75"/>
      <c r="G122" s="77"/>
      <c r="H122" s="75"/>
      <c r="I122" s="77"/>
      <c r="J122" s="75"/>
      <c r="K122" s="78"/>
      <c r="L122" s="75"/>
      <c r="M122" s="28"/>
      <c r="N122" s="75"/>
    </row>
    <row r="123" spans="1:14" ht="15.75">
      <c r="A123" s="473" t="s">
        <v>59</v>
      </c>
      <c r="B123" s="190"/>
      <c r="C123" s="80"/>
      <c r="D123" s="75"/>
      <c r="E123" s="77"/>
      <c r="F123" s="75"/>
      <c r="G123" s="77"/>
      <c r="H123" s="75"/>
      <c r="I123" s="77"/>
      <c r="J123" s="75"/>
      <c r="K123" s="78"/>
      <c r="L123" s="75"/>
      <c r="M123" s="28"/>
      <c r="N123" s="75"/>
    </row>
    <row r="124" spans="1:14" ht="16.5" thickBot="1">
      <c r="A124" s="74"/>
      <c r="B124" s="191"/>
      <c r="C124" s="76"/>
      <c r="D124" s="81"/>
      <c r="E124" s="73"/>
      <c r="F124" s="81"/>
      <c r="G124" s="73"/>
      <c r="H124" s="81"/>
      <c r="I124" s="73"/>
      <c r="J124" s="81"/>
      <c r="K124" s="71"/>
      <c r="L124" s="82"/>
      <c r="M124" s="28"/>
      <c r="N124" s="82"/>
    </row>
    <row r="125" spans="1:15" ht="16.5" thickBot="1">
      <c r="A125" s="484" t="s">
        <v>38</v>
      </c>
      <c r="B125" s="523">
        <f>SUM(B113:B123)</f>
        <v>152177.35</v>
      </c>
      <c r="C125" s="72"/>
      <c r="D125" s="733">
        <f>SUM(D113:D123)</f>
        <v>123261</v>
      </c>
      <c r="E125" s="524"/>
      <c r="F125" s="733">
        <f>SUM(F113:F123)</f>
        <v>19000</v>
      </c>
      <c r="G125" s="524"/>
      <c r="H125" s="733">
        <f>SUM(H113:H123)</f>
        <v>20500</v>
      </c>
      <c r="I125" s="524"/>
      <c r="J125" s="733">
        <f>SUM(J113:J123)</f>
        <v>22500</v>
      </c>
      <c r="K125" s="525"/>
      <c r="L125" s="733">
        <f>SUM(L113:L123)</f>
        <v>24000</v>
      </c>
      <c r="M125" s="112"/>
      <c r="N125" s="733">
        <f>SUM(N113:N123)</f>
        <v>24240</v>
      </c>
      <c r="O125" s="199"/>
    </row>
    <row r="126" spans="1:14" ht="16.5" thickBot="1">
      <c r="A126" s="96"/>
      <c r="B126" s="195"/>
      <c r="C126" s="97"/>
      <c r="D126" s="62"/>
      <c r="E126" s="98"/>
      <c r="F126" s="62"/>
      <c r="G126" s="98"/>
      <c r="H126" s="62"/>
      <c r="I126" s="98"/>
      <c r="J126" s="62"/>
      <c r="K126" s="62"/>
      <c r="L126" s="91"/>
      <c r="M126" s="95"/>
      <c r="N126" s="91"/>
    </row>
    <row r="127" spans="1:14" ht="16.5" thickBot="1">
      <c r="A127" s="485" t="s">
        <v>39</v>
      </c>
      <c r="B127" s="523">
        <f>B53+B76+B92+B108+B110+B125</f>
        <v>3746230.35</v>
      </c>
      <c r="C127" s="99"/>
      <c r="D127" s="733">
        <f>D53+D76+D92+D108+D110+D125</f>
        <v>3804910</v>
      </c>
      <c r="E127" s="532"/>
      <c r="F127" s="733">
        <f>F53+F76+F92+F108+F110+F125</f>
        <v>670684.416</v>
      </c>
      <c r="G127" s="532"/>
      <c r="H127" s="733">
        <f>H53+H76+H92+H108+H110+H125</f>
        <v>983206.9169999999</v>
      </c>
      <c r="I127" s="532"/>
      <c r="J127" s="733">
        <f>J53+J76+J92+J108+J110+J125</f>
        <v>1383057.4704999998</v>
      </c>
      <c r="K127" s="533"/>
      <c r="L127" s="733">
        <f>L53+L76+L92+L108+L110+L125</f>
        <v>1734376.1941650002</v>
      </c>
      <c r="M127" s="106"/>
      <c r="N127" s="733">
        <f>N53+N76+N92+N108+N110+N125</f>
        <v>1989148.30250675</v>
      </c>
    </row>
    <row r="128" spans="1:14" ht="16.5" thickBot="1">
      <c r="A128" s="96"/>
      <c r="B128" s="195"/>
      <c r="C128" s="97"/>
      <c r="D128" s="91"/>
      <c r="E128" s="98"/>
      <c r="F128" s="62"/>
      <c r="G128" s="98"/>
      <c r="H128" s="62"/>
      <c r="I128" s="98"/>
      <c r="J128" s="62"/>
      <c r="K128" s="62"/>
      <c r="L128" s="91"/>
      <c r="M128" s="95"/>
      <c r="N128" s="91"/>
    </row>
    <row r="129" spans="1:14" ht="16.5" thickBot="1">
      <c r="A129" s="539" t="s">
        <v>113</v>
      </c>
      <c r="B129" s="534">
        <f>B31-B127</f>
        <v>77787.6499999999</v>
      </c>
      <c r="C129" s="99"/>
      <c r="D129" s="735">
        <f>D31-D127</f>
        <v>143844</v>
      </c>
      <c r="E129" s="535"/>
      <c r="F129" s="735">
        <f>F31-F127</f>
        <v>25077.38399999996</v>
      </c>
      <c r="G129" s="535"/>
      <c r="H129" s="735">
        <f>H31-H127</f>
        <v>340407.68299999996</v>
      </c>
      <c r="I129" s="532"/>
      <c r="J129" s="735">
        <f>J31-J127</f>
        <v>539285.9195000001</v>
      </c>
      <c r="K129" s="533"/>
      <c r="L129" s="735">
        <f>L31-L127</f>
        <v>785894.6255349996</v>
      </c>
      <c r="M129" s="106"/>
      <c r="N129" s="735">
        <f>N31-N127</f>
        <v>471277.48578424985</v>
      </c>
    </row>
    <row r="130" spans="1:14" ht="15.75">
      <c r="A130" s="95"/>
      <c r="B130" s="91"/>
      <c r="C130" s="91"/>
      <c r="D130" s="19"/>
      <c r="E130" s="91"/>
      <c r="F130" s="91"/>
      <c r="G130" s="91"/>
      <c r="H130" s="91"/>
      <c r="I130" s="91"/>
      <c r="J130" s="91"/>
      <c r="K130" s="91"/>
      <c r="L130" s="91"/>
      <c r="M130" s="95"/>
      <c r="N130" s="91"/>
    </row>
    <row r="131" spans="1:14" ht="16.5" thickBot="1">
      <c r="A131" s="95"/>
      <c r="B131" s="91"/>
      <c r="C131" s="91"/>
      <c r="D131" s="91"/>
      <c r="E131" s="91"/>
      <c r="F131" s="91"/>
      <c r="G131" s="91"/>
      <c r="H131" s="91"/>
      <c r="I131" s="91"/>
      <c r="J131" s="91"/>
      <c r="K131" s="91"/>
      <c r="L131" s="91"/>
      <c r="M131" s="95"/>
      <c r="N131" s="91"/>
    </row>
    <row r="132" spans="1:14" ht="16.5" thickBot="1">
      <c r="A132" s="539" t="s">
        <v>368</v>
      </c>
      <c r="B132" s="102"/>
      <c r="C132" s="102"/>
      <c r="D132" s="102"/>
      <c r="E132" s="102"/>
      <c r="F132" s="104"/>
      <c r="G132" s="103"/>
      <c r="H132" s="81"/>
      <c r="I132" s="103"/>
      <c r="J132" s="81"/>
      <c r="K132" s="100"/>
      <c r="L132" s="81"/>
      <c r="M132" s="105"/>
      <c r="N132" s="81"/>
    </row>
    <row r="133" spans="1:14" ht="16.5" thickBot="1">
      <c r="A133" s="850" t="s">
        <v>417</v>
      </c>
      <c r="B133" s="851"/>
      <c r="C133" s="852"/>
      <c r="D133" s="107"/>
      <c r="E133" s="107"/>
      <c r="F133" s="91"/>
      <c r="G133" s="82"/>
      <c r="H133" s="82"/>
      <c r="I133" s="82"/>
      <c r="J133" s="82"/>
      <c r="K133" s="82"/>
      <c r="L133" s="82"/>
      <c r="M133" s="101"/>
      <c r="N133" s="82"/>
    </row>
    <row r="134" spans="1:14" ht="15.75">
      <c r="A134" s="844" t="s">
        <v>443</v>
      </c>
      <c r="B134" s="845"/>
      <c r="C134" s="846"/>
      <c r="D134" s="519">
        <f>D115</f>
        <v>75100</v>
      </c>
      <c r="E134" s="108"/>
      <c r="F134" s="519">
        <f aca="true" t="shared" si="0" ref="F134:L134">F115</f>
        <v>10000</v>
      </c>
      <c r="G134" s="108"/>
      <c r="H134" s="519">
        <f t="shared" si="0"/>
        <v>10000</v>
      </c>
      <c r="I134" s="108"/>
      <c r="J134" s="519">
        <f t="shared" si="0"/>
        <v>10000</v>
      </c>
      <c r="K134" s="108"/>
      <c r="L134" s="519">
        <f t="shared" si="0"/>
        <v>10000</v>
      </c>
      <c r="M134" s="28"/>
      <c r="N134" s="519">
        <f>N115</f>
        <v>10000</v>
      </c>
    </row>
    <row r="135" spans="1:14" ht="15.75">
      <c r="A135" s="847" t="s">
        <v>67</v>
      </c>
      <c r="B135" s="848"/>
      <c r="C135" s="849"/>
      <c r="D135" s="86"/>
      <c r="E135" s="109"/>
      <c r="F135" s="86"/>
      <c r="G135" s="109"/>
      <c r="H135" s="86"/>
      <c r="I135" s="109"/>
      <c r="J135" s="86"/>
      <c r="K135" s="110"/>
      <c r="L135" s="86"/>
      <c r="M135" s="28"/>
      <c r="N135" s="86"/>
    </row>
    <row r="136" spans="1:14" ht="15.75">
      <c r="A136" s="540" t="s">
        <v>70</v>
      </c>
      <c r="B136" s="541"/>
      <c r="C136" s="542"/>
      <c r="D136" s="86"/>
      <c r="E136" s="109"/>
      <c r="F136" s="86"/>
      <c r="G136" s="109"/>
      <c r="H136" s="86"/>
      <c r="I136" s="109"/>
      <c r="J136" s="86"/>
      <c r="K136" s="110"/>
      <c r="L136" s="86"/>
      <c r="M136" s="28"/>
      <c r="N136" s="86"/>
    </row>
    <row r="137" spans="1:14" ht="16.5" thickBot="1">
      <c r="A137" s="543" t="s">
        <v>70</v>
      </c>
      <c r="B137" s="544"/>
      <c r="C137" s="545"/>
      <c r="D137" s="111"/>
      <c r="E137" s="109"/>
      <c r="F137" s="111"/>
      <c r="G137" s="109"/>
      <c r="H137" s="86"/>
      <c r="I137" s="109"/>
      <c r="J137" s="86"/>
      <c r="K137" s="110"/>
      <c r="L137" s="86"/>
      <c r="M137" s="28"/>
      <c r="N137" s="86"/>
    </row>
    <row r="138" spans="1:14" ht="16.5" thickBot="1">
      <c r="A138" s="850" t="s">
        <v>106</v>
      </c>
      <c r="B138" s="851"/>
      <c r="C138" s="852"/>
      <c r="D138" s="732">
        <f>SUM(D134:D137)</f>
        <v>75100</v>
      </c>
      <c r="E138" s="119"/>
      <c r="F138" s="732">
        <f>SUM(F134:F137)</f>
        <v>10000</v>
      </c>
      <c r="G138" s="119"/>
      <c r="H138" s="732">
        <f>SUM(H134:H137)</f>
        <v>10000</v>
      </c>
      <c r="I138" s="119"/>
      <c r="J138" s="732">
        <f>SUM(J134:J137)</f>
        <v>10000</v>
      </c>
      <c r="K138" s="107"/>
      <c r="L138" s="732">
        <f>SUM(L134:L137)</f>
        <v>10000</v>
      </c>
      <c r="M138" s="112"/>
      <c r="N138" s="732">
        <f>SUM(N134:N137)</f>
        <v>10000</v>
      </c>
    </row>
    <row r="139" spans="1:14" ht="16.5" thickBot="1">
      <c r="A139" s="69"/>
      <c r="B139" s="114"/>
      <c r="C139" s="114"/>
      <c r="D139" s="67"/>
      <c r="E139" s="67"/>
      <c r="F139" s="67"/>
      <c r="G139" s="67"/>
      <c r="H139" s="67"/>
      <c r="I139" s="67"/>
      <c r="J139" s="67"/>
      <c r="K139" s="67"/>
      <c r="L139" s="67"/>
      <c r="M139" s="68"/>
      <c r="N139" s="67"/>
    </row>
    <row r="140" spans="1:14" ht="15.75">
      <c r="A140" s="853" t="s">
        <v>418</v>
      </c>
      <c r="B140" s="854"/>
      <c r="C140" s="855"/>
      <c r="D140" s="67"/>
      <c r="E140" s="65"/>
      <c r="F140" s="65"/>
      <c r="G140" s="65"/>
      <c r="H140" s="65"/>
      <c r="I140" s="65"/>
      <c r="J140" s="65"/>
      <c r="K140" s="65"/>
      <c r="L140" s="65"/>
      <c r="M140" s="28"/>
      <c r="N140" s="65"/>
    </row>
    <row r="141" spans="1:14" ht="15.75">
      <c r="A141" s="847" t="s">
        <v>68</v>
      </c>
      <c r="B141" s="848"/>
      <c r="C141" s="849"/>
      <c r="D141" s="86"/>
      <c r="E141" s="109"/>
      <c r="F141" s="86"/>
      <c r="G141" s="109"/>
      <c r="H141" s="86"/>
      <c r="I141" s="109"/>
      <c r="J141" s="86"/>
      <c r="K141" s="110"/>
      <c r="L141" s="86"/>
      <c r="M141" s="28"/>
      <c r="N141" s="86"/>
    </row>
    <row r="142" spans="1:14" ht="15.75">
      <c r="A142" s="847" t="s">
        <v>114</v>
      </c>
      <c r="B142" s="848"/>
      <c r="C142" s="849"/>
      <c r="D142" s="519">
        <f>'Capital Budget '!D20</f>
        <v>0</v>
      </c>
      <c r="E142" s="110"/>
      <c r="F142" s="519">
        <f>'Capital Budget '!F20</f>
        <v>35000</v>
      </c>
      <c r="G142" s="110"/>
      <c r="H142" s="519">
        <f>'Capital Budget '!H20</f>
        <v>25000</v>
      </c>
      <c r="I142" s="110"/>
      <c r="J142" s="519">
        <f>'Capital Budget '!J20</f>
        <v>45000</v>
      </c>
      <c r="K142" s="110"/>
      <c r="L142" s="519">
        <f>'Capital Budget '!L20</f>
        <v>25000</v>
      </c>
      <c r="M142" s="28"/>
      <c r="N142" s="519">
        <f>'Capital Budget '!N20</f>
        <v>0</v>
      </c>
    </row>
    <row r="143" spans="1:14" ht="15.75">
      <c r="A143" s="540" t="s">
        <v>70</v>
      </c>
      <c r="B143" s="541"/>
      <c r="C143" s="542"/>
      <c r="D143" s="86"/>
      <c r="E143" s="110"/>
      <c r="F143" s="86"/>
      <c r="G143" s="110"/>
      <c r="H143" s="86"/>
      <c r="I143" s="110"/>
      <c r="J143" s="86"/>
      <c r="K143" s="110"/>
      <c r="L143" s="86"/>
      <c r="M143" s="28"/>
      <c r="N143" s="86"/>
    </row>
    <row r="144" spans="1:14" ht="16.5" thickBot="1">
      <c r="A144" s="543" t="s">
        <v>70</v>
      </c>
      <c r="B144" s="544"/>
      <c r="C144" s="545"/>
      <c r="D144" s="111"/>
      <c r="E144" s="110"/>
      <c r="F144" s="111"/>
      <c r="G144" s="110"/>
      <c r="H144" s="111"/>
      <c r="I144" s="110"/>
      <c r="J144" s="111"/>
      <c r="K144" s="110"/>
      <c r="L144" s="111"/>
      <c r="M144" s="28"/>
      <c r="N144" s="111"/>
    </row>
    <row r="145" spans="1:14" ht="16.5" thickBot="1">
      <c r="A145" s="850" t="s">
        <v>107</v>
      </c>
      <c r="B145" s="851"/>
      <c r="C145" s="852"/>
      <c r="D145" s="736">
        <f>SUM(D141:D144)</f>
        <v>0</v>
      </c>
      <c r="E145" s="82"/>
      <c r="F145" s="736">
        <f>SUM(F141:F144)</f>
        <v>35000</v>
      </c>
      <c r="G145" s="82"/>
      <c r="H145" s="736">
        <f>SUM(H141:H144)</f>
        <v>25000</v>
      </c>
      <c r="I145" s="82"/>
      <c r="J145" s="736">
        <f>SUM(J141:J144)</f>
        <v>45000</v>
      </c>
      <c r="K145" s="82"/>
      <c r="L145" s="736">
        <f>SUM(L141:L144)</f>
        <v>25000</v>
      </c>
      <c r="M145" s="28"/>
      <c r="N145" s="736">
        <f>SUM(N141:N144)</f>
        <v>0</v>
      </c>
    </row>
    <row r="146" spans="1:14" ht="16.5" thickBot="1">
      <c r="A146" s="115"/>
      <c r="B146" s="116"/>
      <c r="C146" s="116"/>
      <c r="D146" s="117"/>
      <c r="E146" s="117"/>
      <c r="F146" s="117"/>
      <c r="G146" s="117"/>
      <c r="H146" s="117"/>
      <c r="I146" s="117"/>
      <c r="J146" s="117"/>
      <c r="K146" s="117"/>
      <c r="L146" s="117"/>
      <c r="M146" s="118"/>
      <c r="N146" s="117"/>
    </row>
    <row r="147" spans="1:14" ht="16.5" thickBot="1">
      <c r="A147" s="850" t="s">
        <v>69</v>
      </c>
      <c r="B147" s="851"/>
      <c r="C147" s="852"/>
      <c r="D147" s="737">
        <f>D129+D138-D145</f>
        <v>218944</v>
      </c>
      <c r="E147" s="113"/>
      <c r="F147" s="737">
        <f>F129+F138-F145</f>
        <v>77.38399999996182</v>
      </c>
      <c r="G147" s="113"/>
      <c r="H147" s="737">
        <f>H129+H138-H145</f>
        <v>325407.68299999996</v>
      </c>
      <c r="I147" s="113"/>
      <c r="J147" s="737">
        <f>J129+J138-J145</f>
        <v>504285.9195000001</v>
      </c>
      <c r="K147" s="113"/>
      <c r="L147" s="737">
        <f>L129+L138-L145</f>
        <v>770894.6255349996</v>
      </c>
      <c r="M147" s="28"/>
      <c r="N147" s="737">
        <f>N129+N138-N145</f>
        <v>481277.48578424985</v>
      </c>
    </row>
    <row r="148" spans="1:13" ht="15.75">
      <c r="A148" s="69"/>
      <c r="B148" s="114"/>
      <c r="C148" s="114"/>
      <c r="D148" s="119"/>
      <c r="E148" s="114"/>
      <c r="F148" s="119"/>
      <c r="G148" s="114"/>
      <c r="H148" s="119"/>
      <c r="I148" s="114"/>
      <c r="J148" s="119"/>
      <c r="K148" s="114"/>
      <c r="L148" s="119"/>
      <c r="M148" s="68"/>
    </row>
    <row r="149" spans="1:14" ht="15.75">
      <c r="A149" s="69"/>
      <c r="B149" s="69"/>
      <c r="C149" s="69"/>
      <c r="D149" s="120"/>
      <c r="E149" s="69"/>
      <c r="F149" s="120"/>
      <c r="G149" s="69"/>
      <c r="H149" s="120"/>
      <c r="I149" s="69"/>
      <c r="J149" s="120"/>
      <c r="K149" s="69"/>
      <c r="L149" s="120"/>
      <c r="M149" s="68"/>
      <c r="N149" s="120"/>
    </row>
    <row r="150" spans="1:14" ht="15.75">
      <c r="A150" s="69"/>
      <c r="B150" s="69"/>
      <c r="C150" s="69"/>
      <c r="D150" s="120"/>
      <c r="E150" s="69"/>
      <c r="F150" s="120"/>
      <c r="G150" s="69"/>
      <c r="H150" s="120"/>
      <c r="I150" s="69"/>
      <c r="J150" s="120"/>
      <c r="K150" s="69"/>
      <c r="L150" s="120"/>
      <c r="M150" s="68"/>
      <c r="N150" s="120"/>
    </row>
    <row r="151" spans="1:13" ht="15.75">
      <c r="A151" s="69"/>
      <c r="B151" s="69"/>
      <c r="C151" s="69"/>
      <c r="D151" s="120"/>
      <c r="E151" s="69"/>
      <c r="F151" s="120"/>
      <c r="G151" s="69"/>
      <c r="H151" s="120"/>
      <c r="I151" s="69"/>
      <c r="J151" s="120"/>
      <c r="K151" s="69"/>
      <c r="L151" s="120"/>
      <c r="M151" s="68"/>
    </row>
  </sheetData>
  <sheetProtection password="C9A0" sheet="1"/>
  <mergeCells count="2">
    <mergeCell ref="F7:N7"/>
    <mergeCell ref="A1:B1"/>
  </mergeCells>
  <printOptions/>
  <pageMargins left="0.7" right="0.7" top="0.75" bottom="0.75" header="0.3" footer="0.3"/>
  <pageSetup horizontalDpi="600" verticalDpi="600" orientation="landscape" paperSize="5" r:id="rId1"/>
  <headerFooter>
    <oddHeader>&amp;CSection 4.1a
Attachment 28
</oddHeader>
  </headerFooter>
</worksheet>
</file>

<file path=xl/worksheets/sheet9.xml><?xml version="1.0" encoding="utf-8"?>
<worksheet xmlns="http://schemas.openxmlformats.org/spreadsheetml/2006/main" xmlns:r="http://schemas.openxmlformats.org/officeDocument/2006/relationships">
  <dimension ref="B1:M43"/>
  <sheetViews>
    <sheetView zoomScalePageLayoutView="0" workbookViewId="0" topLeftCell="A1">
      <selection activeCell="A1" sqref="A1"/>
    </sheetView>
  </sheetViews>
  <sheetFormatPr defaultColWidth="9.140625" defaultRowHeight="12.75"/>
  <cols>
    <col min="1" max="1" width="2.140625" style="19" customWidth="1"/>
    <col min="2" max="2" width="103.7109375" style="143" customWidth="1"/>
    <col min="3" max="6" width="9.140625" style="168" customWidth="1"/>
    <col min="7" max="22" width="9.140625" style="153" customWidth="1"/>
  </cols>
  <sheetData>
    <row r="1" ht="13.5" thickBot="1">
      <c r="B1" s="159" t="s">
        <v>172</v>
      </c>
    </row>
    <row r="2" ht="15.75" customHeight="1" thickBot="1">
      <c r="B2" s="160" t="e">
        <f>#REF!</f>
        <v>#REF!</v>
      </c>
    </row>
    <row r="3" ht="13.5" thickBot="1">
      <c r="B3" s="161"/>
    </row>
    <row r="4" ht="13.5" thickBot="1">
      <c r="B4" s="149"/>
    </row>
    <row r="5" spans="2:13" ht="29.25" customHeight="1" thickBot="1">
      <c r="B5" s="148" t="s">
        <v>177</v>
      </c>
      <c r="C5" s="169"/>
      <c r="D5" s="169"/>
      <c r="E5" s="169"/>
      <c r="F5" s="169"/>
      <c r="G5" s="147"/>
      <c r="H5" s="147"/>
      <c r="I5" s="147"/>
      <c r="J5" s="147"/>
      <c r="K5" s="147"/>
      <c r="L5" s="147"/>
      <c r="M5" s="147"/>
    </row>
    <row r="6" spans="2:13" ht="60" customHeight="1" thickBot="1">
      <c r="B6" s="164"/>
      <c r="C6" s="169"/>
      <c r="D6" s="169"/>
      <c r="E6" s="169"/>
      <c r="F6" s="169"/>
      <c r="G6" s="147"/>
      <c r="H6" s="147"/>
      <c r="I6" s="147"/>
      <c r="J6" s="147"/>
      <c r="K6" s="147"/>
      <c r="L6" s="147"/>
      <c r="M6" s="147"/>
    </row>
    <row r="7" ht="13.5" thickBot="1">
      <c r="B7" s="155"/>
    </row>
    <row r="8" spans="2:13" ht="18" customHeight="1" thickBot="1">
      <c r="B8" s="148" t="s">
        <v>163</v>
      </c>
      <c r="C8" s="170"/>
      <c r="D8" s="170"/>
      <c r="E8" s="170"/>
      <c r="F8" s="170"/>
      <c r="G8" s="151"/>
      <c r="H8" s="151"/>
      <c r="I8" s="151"/>
      <c r="J8" s="151"/>
      <c r="K8" s="151"/>
      <c r="L8" s="151"/>
      <c r="M8" s="151"/>
    </row>
    <row r="9" spans="2:13" ht="60" customHeight="1" thickBot="1">
      <c r="B9" s="164"/>
      <c r="C9" s="171"/>
      <c r="D9" s="171"/>
      <c r="E9" s="171"/>
      <c r="F9" s="171"/>
      <c r="G9" s="152"/>
      <c r="H9" s="152"/>
      <c r="I9" s="152"/>
      <c r="J9" s="152"/>
      <c r="K9" s="152"/>
      <c r="L9" s="152"/>
      <c r="M9" s="152"/>
    </row>
    <row r="10" ht="13.5" thickBot="1">
      <c r="B10" s="158"/>
    </row>
    <row r="11" spans="2:13" ht="78.75" customHeight="1" thickBot="1">
      <c r="B11" s="163" t="s">
        <v>164</v>
      </c>
      <c r="C11" s="170"/>
      <c r="D11" s="170"/>
      <c r="E11" s="170"/>
      <c r="F11" s="170"/>
      <c r="G11" s="150"/>
      <c r="H11" s="150"/>
      <c r="I11" s="150"/>
      <c r="J11" s="150"/>
      <c r="K11" s="150"/>
      <c r="L11" s="150"/>
      <c r="M11" s="150"/>
    </row>
    <row r="12" spans="2:13" ht="60" customHeight="1" thickBot="1">
      <c r="B12" s="165" t="s">
        <v>176</v>
      </c>
      <c r="C12" s="171"/>
      <c r="D12" s="171"/>
      <c r="E12" s="171"/>
      <c r="F12" s="171"/>
      <c r="G12" s="152"/>
      <c r="H12" s="152"/>
      <c r="I12" s="152"/>
      <c r="J12" s="152"/>
      <c r="K12" s="152"/>
      <c r="L12" s="152"/>
      <c r="M12" s="152"/>
    </row>
    <row r="13" ht="13.5" thickBot="1">
      <c r="B13" s="155"/>
    </row>
    <row r="14" spans="2:13" ht="105.75" customHeight="1" thickBot="1">
      <c r="B14" s="148" t="s">
        <v>165</v>
      </c>
      <c r="C14" s="170"/>
      <c r="D14" s="170"/>
      <c r="E14" s="170"/>
      <c r="F14" s="170"/>
      <c r="G14" s="151"/>
      <c r="H14" s="151"/>
      <c r="I14" s="151"/>
      <c r="J14" s="151"/>
      <c r="K14" s="151"/>
      <c r="L14" s="151"/>
      <c r="M14" s="151"/>
    </row>
    <row r="15" spans="2:13" ht="60" customHeight="1" thickBot="1">
      <c r="B15" s="164"/>
      <c r="C15" s="171"/>
      <c r="D15" s="171"/>
      <c r="E15" s="171"/>
      <c r="F15" s="171"/>
      <c r="G15" s="152"/>
      <c r="H15" s="152"/>
      <c r="I15" s="152"/>
      <c r="J15" s="152"/>
      <c r="K15" s="152"/>
      <c r="L15" s="152"/>
      <c r="M15" s="152"/>
    </row>
    <row r="16" ht="13.5" thickBot="1">
      <c r="B16" s="155"/>
    </row>
    <row r="17" spans="2:13" ht="19.5" customHeight="1" thickBot="1">
      <c r="B17" s="148" t="s">
        <v>166</v>
      </c>
      <c r="C17" s="170"/>
      <c r="D17" s="170"/>
      <c r="E17" s="170"/>
      <c r="F17" s="170"/>
      <c r="G17" s="151"/>
      <c r="H17" s="151"/>
      <c r="I17" s="151"/>
      <c r="J17" s="151"/>
      <c r="K17" s="151"/>
      <c r="L17" s="151"/>
      <c r="M17" s="151"/>
    </row>
    <row r="18" spans="2:13" ht="60" customHeight="1" thickBot="1">
      <c r="B18" s="164"/>
      <c r="C18" s="171"/>
      <c r="D18" s="171"/>
      <c r="E18" s="171"/>
      <c r="F18" s="171"/>
      <c r="G18" s="152"/>
      <c r="H18" s="152"/>
      <c r="I18" s="152"/>
      <c r="J18" s="152"/>
      <c r="K18" s="152"/>
      <c r="L18" s="152"/>
      <c r="M18" s="152"/>
    </row>
    <row r="19" spans="2:13" ht="15" customHeight="1" thickBot="1">
      <c r="B19" s="157"/>
      <c r="C19" s="171"/>
      <c r="D19" s="171"/>
      <c r="E19" s="171"/>
      <c r="F19" s="171"/>
      <c r="G19" s="152"/>
      <c r="H19" s="152"/>
      <c r="I19" s="152"/>
      <c r="J19" s="152"/>
      <c r="K19" s="152"/>
      <c r="L19" s="152"/>
      <c r="M19" s="152"/>
    </row>
    <row r="20" spans="2:13" ht="28.5" customHeight="1" thickBot="1">
      <c r="B20" s="148" t="s">
        <v>167</v>
      </c>
      <c r="C20" s="172"/>
      <c r="D20" s="172"/>
      <c r="E20" s="172"/>
      <c r="F20" s="172"/>
      <c r="G20" s="154"/>
      <c r="H20" s="154"/>
      <c r="I20" s="154"/>
      <c r="J20" s="154"/>
      <c r="K20" s="154"/>
      <c r="L20" s="154"/>
      <c r="M20" s="154"/>
    </row>
    <row r="21" spans="2:13" ht="60" customHeight="1" thickBot="1">
      <c r="B21" s="166"/>
      <c r="C21" s="172"/>
      <c r="D21" s="172"/>
      <c r="E21" s="172"/>
      <c r="F21" s="172"/>
      <c r="G21" s="154"/>
      <c r="H21" s="154"/>
      <c r="I21" s="154"/>
      <c r="J21" s="154"/>
      <c r="K21" s="154"/>
      <c r="L21" s="154"/>
      <c r="M21" s="154"/>
    </row>
    <row r="22" ht="13.5" thickBot="1">
      <c r="B22" s="155"/>
    </row>
    <row r="23" spans="2:13" ht="49.5" customHeight="1" thickBot="1">
      <c r="B23" s="148" t="s">
        <v>168</v>
      </c>
      <c r="C23" s="172"/>
      <c r="D23" s="172"/>
      <c r="E23" s="172"/>
      <c r="F23" s="172"/>
      <c r="G23" s="154"/>
      <c r="H23" s="154"/>
      <c r="I23" s="154"/>
      <c r="J23" s="154"/>
      <c r="K23" s="154"/>
      <c r="L23" s="154"/>
      <c r="M23" s="154"/>
    </row>
    <row r="24" spans="2:13" ht="60" customHeight="1" thickBot="1">
      <c r="B24" s="167"/>
      <c r="C24" s="172"/>
      <c r="D24" s="172"/>
      <c r="E24" s="172"/>
      <c r="F24" s="172"/>
      <c r="G24" s="154"/>
      <c r="H24" s="154"/>
      <c r="I24" s="154"/>
      <c r="J24" s="154"/>
      <c r="K24" s="154"/>
      <c r="L24" s="154"/>
      <c r="M24" s="154"/>
    </row>
    <row r="25" ht="13.5" thickBot="1">
      <c r="B25" s="156"/>
    </row>
    <row r="26" spans="2:13" ht="20.25" customHeight="1" thickBot="1">
      <c r="B26" s="148" t="s">
        <v>169</v>
      </c>
      <c r="C26" s="170"/>
      <c r="D26" s="170"/>
      <c r="E26" s="170"/>
      <c r="F26" s="170"/>
      <c r="G26" s="151"/>
      <c r="H26" s="151"/>
      <c r="I26" s="151"/>
      <c r="J26" s="151"/>
      <c r="K26" s="151"/>
      <c r="L26" s="151"/>
      <c r="M26" s="151"/>
    </row>
    <row r="27" spans="2:13" ht="60" customHeight="1" thickBot="1">
      <c r="B27" s="164"/>
      <c r="C27" s="171"/>
      <c r="D27" s="171"/>
      <c r="E27" s="171"/>
      <c r="F27" s="171"/>
      <c r="G27" s="152"/>
      <c r="H27" s="152"/>
      <c r="I27" s="152"/>
      <c r="J27" s="152"/>
      <c r="K27" s="152"/>
      <c r="L27" s="152"/>
      <c r="M27" s="152"/>
    </row>
    <row r="28" ht="15.75" customHeight="1" thickBot="1">
      <c r="B28" s="155"/>
    </row>
    <row r="29" spans="2:13" ht="32.25" customHeight="1" thickBot="1">
      <c r="B29" s="148" t="s">
        <v>170</v>
      </c>
      <c r="C29" s="172"/>
      <c r="D29" s="172"/>
      <c r="E29" s="172"/>
      <c r="F29" s="172"/>
      <c r="G29" s="154"/>
      <c r="H29" s="154"/>
      <c r="I29" s="154"/>
      <c r="J29" s="154"/>
      <c r="K29" s="154"/>
      <c r="L29" s="154"/>
      <c r="M29" s="154"/>
    </row>
    <row r="30" spans="2:13" ht="60" customHeight="1" thickBot="1">
      <c r="B30" s="167"/>
      <c r="C30" s="172"/>
      <c r="D30" s="172"/>
      <c r="E30" s="172"/>
      <c r="F30" s="172"/>
      <c r="G30" s="154"/>
      <c r="H30" s="154"/>
      <c r="I30" s="154"/>
      <c r="J30" s="154"/>
      <c r="K30" s="154"/>
      <c r="L30" s="154"/>
      <c r="M30" s="154"/>
    </row>
    <row r="31" ht="13.5" thickBot="1">
      <c r="B31" s="155"/>
    </row>
    <row r="32" spans="2:13" ht="30" customHeight="1" thickBot="1">
      <c r="B32" s="148" t="s">
        <v>171</v>
      </c>
      <c r="C32" s="170"/>
      <c r="D32" s="170"/>
      <c r="E32" s="170"/>
      <c r="F32" s="170"/>
      <c r="G32" s="151"/>
      <c r="H32" s="151"/>
      <c r="I32" s="151"/>
      <c r="J32" s="151"/>
      <c r="K32" s="151"/>
      <c r="L32" s="151"/>
      <c r="M32" s="151"/>
    </row>
    <row r="33" spans="2:13" ht="60" customHeight="1" thickBot="1">
      <c r="B33" s="164"/>
      <c r="C33" s="171"/>
      <c r="D33" s="171"/>
      <c r="E33" s="171"/>
      <c r="F33" s="171"/>
      <c r="G33" s="152"/>
      <c r="H33" s="152"/>
      <c r="I33" s="152"/>
      <c r="J33" s="152"/>
      <c r="K33" s="152"/>
      <c r="L33" s="152"/>
      <c r="M33" s="152"/>
    </row>
    <row r="34" ht="13.5" thickBot="1">
      <c r="B34" s="162"/>
    </row>
    <row r="35" spans="2:13" ht="33" customHeight="1" thickBot="1">
      <c r="B35" s="148" t="s">
        <v>173</v>
      </c>
      <c r="C35" s="170"/>
      <c r="D35" s="170"/>
      <c r="E35" s="170"/>
      <c r="F35" s="170"/>
      <c r="G35" s="151"/>
      <c r="H35" s="151"/>
      <c r="I35" s="151"/>
      <c r="J35" s="151"/>
      <c r="K35" s="151"/>
      <c r="L35" s="151"/>
      <c r="M35" s="151"/>
    </row>
    <row r="36" spans="2:13" ht="60" customHeight="1" thickBot="1">
      <c r="B36" s="164"/>
      <c r="C36" s="171"/>
      <c r="D36" s="171"/>
      <c r="E36" s="171"/>
      <c r="F36" s="171"/>
      <c r="G36" s="152"/>
      <c r="H36" s="152"/>
      <c r="I36" s="152"/>
      <c r="J36" s="152"/>
      <c r="K36" s="152"/>
      <c r="L36" s="152"/>
      <c r="M36" s="152"/>
    </row>
    <row r="37" ht="13.5" thickBot="1">
      <c r="B37" s="155"/>
    </row>
    <row r="38" ht="33" customHeight="1" thickBot="1">
      <c r="B38" s="148" t="s">
        <v>174</v>
      </c>
    </row>
    <row r="39" spans="2:13" ht="59.25" customHeight="1" thickBot="1">
      <c r="B39" s="164"/>
      <c r="C39" s="170"/>
      <c r="D39" s="170"/>
      <c r="E39" s="170"/>
      <c r="F39" s="170"/>
      <c r="G39" s="151"/>
      <c r="H39" s="151"/>
      <c r="I39" s="151"/>
      <c r="J39" s="151"/>
      <c r="K39" s="151"/>
      <c r="L39" s="151"/>
      <c r="M39" s="151"/>
    </row>
    <row r="40" spans="2:13" ht="13.5" thickBot="1">
      <c r="B40" s="157"/>
      <c r="C40" s="171"/>
      <c r="D40" s="171"/>
      <c r="E40" s="171"/>
      <c r="F40" s="171"/>
      <c r="G40" s="152"/>
      <c r="H40" s="152"/>
      <c r="I40" s="152"/>
      <c r="J40" s="152"/>
      <c r="K40" s="152"/>
      <c r="L40" s="152"/>
      <c r="M40" s="152"/>
    </row>
    <row r="41" spans="2:13" ht="56.25" customHeight="1" thickBot="1">
      <c r="B41" s="148" t="s">
        <v>175</v>
      </c>
      <c r="C41" s="170"/>
      <c r="D41" s="170"/>
      <c r="E41" s="170"/>
      <c r="F41" s="170"/>
      <c r="G41" s="151"/>
      <c r="H41" s="151"/>
      <c r="I41" s="151"/>
      <c r="J41" s="151"/>
      <c r="K41" s="151"/>
      <c r="L41" s="151"/>
      <c r="M41" s="151"/>
    </row>
    <row r="42" spans="2:13" ht="57.75" customHeight="1" thickBot="1">
      <c r="B42" s="165"/>
      <c r="C42" s="171"/>
      <c r="D42" s="171"/>
      <c r="E42" s="171"/>
      <c r="F42" s="171"/>
      <c r="G42" s="152"/>
      <c r="H42" s="152"/>
      <c r="I42" s="152"/>
      <c r="J42" s="152"/>
      <c r="K42" s="152"/>
      <c r="L42" s="152"/>
      <c r="M42" s="152"/>
    </row>
    <row r="43" ht="13.5" thickBot="1">
      <c r="B43" s="162"/>
    </row>
  </sheetData>
  <sheetProtection password="CD16"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Wendy Stella</cp:lastModifiedBy>
  <cp:lastPrinted>2013-08-07T22:05:08Z</cp:lastPrinted>
  <dcterms:created xsi:type="dcterms:W3CDTF">2008-07-31T19:00:10Z</dcterms:created>
  <dcterms:modified xsi:type="dcterms:W3CDTF">2013-09-28T23:08:00Z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PublishingExpirationDate">
    <vt:lpwstr/>
  </property>
  <property fmtid="{D5CDD505-2E9C-101B-9397-08002B2CF9AE}" pid="4" name="PublishingStartDate">
    <vt:lpwstr/>
  </property>
</Properties>
</file>