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75" windowWidth="14865" windowHeight="7365" firstSheet="4" activeTab="6"/>
  </bookViews>
  <sheets>
    <sheet name="Instructions" sheetId="46" r:id="rId1"/>
    <sheet name="Personnel" sheetId="40" r:id="rId2"/>
    <sheet name="Contractual Clinicians" sheetId="62" r:id="rId3"/>
    <sheet name="Revenues-Per Capita &amp; SPED" sheetId="50" r:id="rId4"/>
    <sheet name="Revenues-Fed, State, &amp; Expan. " sheetId="55" r:id="rId5"/>
    <sheet name="Budget with Assumptions" sheetId="38" r:id="rId6"/>
    <sheet name="Budget Summary " sheetId="59" r:id="rId7"/>
    <sheet name="Loans" sheetId="60" r:id="rId8"/>
    <sheet name="Calculations" sheetId="35" r:id="rId9"/>
    <sheet name="Central Ops Cost" sheetId="63" r:id="rId10"/>
  </sheets>
  <definedNames>
    <definedName name="_xlnm.Print_Titles" localSheetId="6">'Budget Summary '!$A:$A,'Budget Summary '!$7:$9</definedName>
    <definedName name="_xlnm.Print_Titles" localSheetId="5">'Budget with Assumptions'!$A:$A,'Budget with Assumptions'!$7:$9</definedName>
  </definedNames>
  <calcPr calcId="144525"/>
</workbook>
</file>

<file path=xl/calcChain.xml><?xml version="1.0" encoding="utf-8"?>
<calcChain xmlns="http://schemas.openxmlformats.org/spreadsheetml/2006/main">
  <c r="L54" i="59" l="1"/>
  <c r="J24" i="59"/>
  <c r="G73" i="35"/>
  <c r="D73" i="35"/>
  <c r="H45" i="59" s="1"/>
  <c r="C73" i="35"/>
  <c r="F45" i="59"/>
  <c r="G71" i="35"/>
  <c r="C71" i="35"/>
  <c r="D70" i="35"/>
  <c r="E70" i="35"/>
  <c r="C70" i="35"/>
  <c r="D60" i="35"/>
  <c r="D61" i="35" s="1"/>
  <c r="F59" i="35"/>
  <c r="E59" i="35"/>
  <c r="D59" i="35"/>
  <c r="C59" i="35"/>
  <c r="F58" i="35"/>
  <c r="E58" i="35"/>
  <c r="D58" i="35"/>
  <c r="C58" i="35"/>
  <c r="F57" i="35"/>
  <c r="F60" i="35" s="1"/>
  <c r="F61" i="35" s="1"/>
  <c r="E57" i="35"/>
  <c r="E60" i="35" s="1"/>
  <c r="E61" i="35" s="1"/>
  <c r="D57" i="35"/>
  <c r="C57" i="35"/>
  <c r="C60" i="35" s="1"/>
  <c r="C61" i="35" s="1"/>
  <c r="B59" i="35"/>
  <c r="B58" i="35"/>
  <c r="B57" i="35"/>
  <c r="F52" i="35"/>
  <c r="G72" i="35" s="1"/>
  <c r="E52" i="35"/>
  <c r="D52" i="35"/>
  <c r="C52" i="35"/>
  <c r="D71" i="35" s="1"/>
  <c r="B52" i="35"/>
  <c r="C72" i="35" s="1"/>
  <c r="L13" i="35"/>
  <c r="K13" i="35"/>
  <c r="J13" i="35"/>
  <c r="I13" i="35"/>
  <c r="H13" i="35"/>
  <c r="G13" i="35"/>
  <c r="L12" i="35"/>
  <c r="K12" i="35"/>
  <c r="J12" i="35"/>
  <c r="I12" i="35"/>
  <c r="H12" i="35"/>
  <c r="G12" i="35"/>
  <c r="F12" i="35"/>
  <c r="L11" i="35"/>
  <c r="K11" i="35"/>
  <c r="J11" i="35"/>
  <c r="I11" i="35"/>
  <c r="H11" i="35"/>
  <c r="G11" i="35"/>
  <c r="F11" i="35"/>
  <c r="E11" i="35"/>
  <c r="L10" i="35"/>
  <c r="K10" i="35"/>
  <c r="J10" i="35"/>
  <c r="I10" i="35"/>
  <c r="H10" i="35"/>
  <c r="G10" i="35"/>
  <c r="F10" i="35"/>
  <c r="E10" i="35"/>
  <c r="D10" i="35"/>
  <c r="L9" i="35"/>
  <c r="K9" i="35"/>
  <c r="J9" i="35"/>
  <c r="I9" i="35"/>
  <c r="H9" i="35"/>
  <c r="G9" i="35"/>
  <c r="F9" i="35"/>
  <c r="E9" i="35"/>
  <c r="D9" i="35"/>
  <c r="F13" i="35"/>
  <c r="E12" i="35"/>
  <c r="D11" i="35"/>
  <c r="C10" i="35"/>
  <c r="B10" i="35"/>
  <c r="C9" i="35"/>
  <c r="L79" i="63"/>
  <c r="K79" i="63"/>
  <c r="J79" i="63"/>
  <c r="I79" i="63"/>
  <c r="H79" i="63"/>
  <c r="R143" i="38" s="1"/>
  <c r="L143" i="59" s="1"/>
  <c r="G79" i="63"/>
  <c r="F79" i="63"/>
  <c r="E79" i="63"/>
  <c r="D79" i="63"/>
  <c r="C79" i="63"/>
  <c r="L78" i="63"/>
  <c r="K78" i="63"/>
  <c r="J78" i="63"/>
  <c r="I78" i="63"/>
  <c r="H78" i="63"/>
  <c r="G78" i="63"/>
  <c r="F78" i="63"/>
  <c r="E78" i="63"/>
  <c r="D78" i="63"/>
  <c r="C78" i="63"/>
  <c r="L77" i="63"/>
  <c r="K77" i="63"/>
  <c r="J77" i="63"/>
  <c r="I77" i="63"/>
  <c r="H77" i="63"/>
  <c r="G77" i="63"/>
  <c r="F77" i="63"/>
  <c r="E77" i="63"/>
  <c r="D77" i="63"/>
  <c r="C77" i="63"/>
  <c r="J61" i="63"/>
  <c r="I61" i="63"/>
  <c r="F61" i="63"/>
  <c r="E61" i="63"/>
  <c r="J62" i="63"/>
  <c r="I62" i="63"/>
  <c r="F62" i="63"/>
  <c r="E62" i="63"/>
  <c r="J63" i="63"/>
  <c r="I63" i="63"/>
  <c r="F63" i="63"/>
  <c r="E63" i="63"/>
  <c r="I38" i="63"/>
  <c r="E38" i="63"/>
  <c r="L71" i="63"/>
  <c r="L38" i="63" s="1"/>
  <c r="K71" i="63"/>
  <c r="J71" i="63"/>
  <c r="I71" i="63"/>
  <c r="H71" i="63"/>
  <c r="H38" i="63" s="1"/>
  <c r="G71" i="63"/>
  <c r="F71" i="63"/>
  <c r="E71" i="63"/>
  <c r="D71" i="63"/>
  <c r="D38" i="63" s="1"/>
  <c r="C71" i="63"/>
  <c r="D61" i="63" s="1"/>
  <c r="L12" i="63"/>
  <c r="K12" i="63"/>
  <c r="J12" i="63"/>
  <c r="I12" i="63"/>
  <c r="H12" i="63"/>
  <c r="G12" i="63"/>
  <c r="F12" i="63"/>
  <c r="E12" i="63"/>
  <c r="D12" i="63"/>
  <c r="C12" i="63"/>
  <c r="B12" i="63"/>
  <c r="B33" i="63"/>
  <c r="B32" i="63"/>
  <c r="B30" i="63"/>
  <c r="B29" i="63"/>
  <c r="B34" i="63" s="1"/>
  <c r="B28" i="63"/>
  <c r="B27" i="63"/>
  <c r="B26" i="63"/>
  <c r="F33" i="63"/>
  <c r="E33" i="63"/>
  <c r="D33" i="63"/>
  <c r="C33" i="63"/>
  <c r="F32" i="63"/>
  <c r="D32" i="63"/>
  <c r="C32" i="63"/>
  <c r="L31" i="63"/>
  <c r="I31" i="63"/>
  <c r="H31" i="63"/>
  <c r="E31" i="63"/>
  <c r="D31" i="63"/>
  <c r="C31" i="63"/>
  <c r="F30" i="63"/>
  <c r="D30" i="63"/>
  <c r="C30" i="63"/>
  <c r="E29" i="63"/>
  <c r="D29" i="63"/>
  <c r="C29" i="63"/>
  <c r="K28" i="63"/>
  <c r="J28" i="63"/>
  <c r="G28" i="63"/>
  <c r="F28" i="63"/>
  <c r="C28" i="63"/>
  <c r="C34" i="63" s="1"/>
  <c r="C39" i="63" s="1"/>
  <c r="D26" i="63"/>
  <c r="C27" i="63"/>
  <c r="C26" i="63"/>
  <c r="F18" i="63"/>
  <c r="F29" i="63" s="1"/>
  <c r="G22" i="63"/>
  <c r="G33" i="63" s="1"/>
  <c r="F22" i="63"/>
  <c r="G21" i="63"/>
  <c r="H21" i="63" s="1"/>
  <c r="F21" i="63"/>
  <c r="E21" i="63"/>
  <c r="E32" i="63" s="1"/>
  <c r="D20" i="63"/>
  <c r="E20" i="63" s="1"/>
  <c r="F20" i="63" s="1"/>
  <c r="G20" i="63" s="1"/>
  <c r="H20" i="63" s="1"/>
  <c r="I20" i="63" s="1"/>
  <c r="J20" i="63" s="1"/>
  <c r="K20" i="63" s="1"/>
  <c r="L20" i="63" s="1"/>
  <c r="G19" i="63"/>
  <c r="H19" i="63" s="1"/>
  <c r="F19" i="63"/>
  <c r="E19" i="63"/>
  <c r="E30" i="63" s="1"/>
  <c r="D17" i="63"/>
  <c r="E17" i="63" s="1"/>
  <c r="F17" i="63" s="1"/>
  <c r="G17" i="63" s="1"/>
  <c r="H17" i="63" s="1"/>
  <c r="I17" i="63" s="1"/>
  <c r="J17" i="63" s="1"/>
  <c r="K17" i="63" s="1"/>
  <c r="L17" i="63" s="1"/>
  <c r="L28" i="63" s="1"/>
  <c r="D16" i="63"/>
  <c r="D15" i="63"/>
  <c r="E15" i="63" s="1"/>
  <c r="D18" i="63"/>
  <c r="D22" i="63"/>
  <c r="B23" i="63"/>
  <c r="C23" i="63"/>
  <c r="N54" i="59"/>
  <c r="J54" i="59"/>
  <c r="H54" i="59"/>
  <c r="F54" i="59"/>
  <c r="T46" i="38"/>
  <c r="L46" i="59"/>
  <c r="D46" i="59"/>
  <c r="J45" i="59"/>
  <c r="T43" i="38"/>
  <c r="R43" i="38"/>
  <c r="L43" i="59" s="1"/>
  <c r="F43" i="59"/>
  <c r="D43" i="59"/>
  <c r="T119" i="38"/>
  <c r="N119" i="59" s="1"/>
  <c r="R119" i="38"/>
  <c r="H119" i="59"/>
  <c r="F119" i="59"/>
  <c r="H128" i="59"/>
  <c r="F128" i="59"/>
  <c r="T143" i="38"/>
  <c r="N143" i="59" s="1"/>
  <c r="F143" i="59"/>
  <c r="T24" i="38"/>
  <c r="N24" i="59" s="1"/>
  <c r="R24" i="38"/>
  <c r="L24" i="59" s="1"/>
  <c r="B205" i="50"/>
  <c r="J9" i="38"/>
  <c r="Y219" i="50"/>
  <c r="S219" i="50"/>
  <c r="M219" i="50"/>
  <c r="H219" i="50"/>
  <c r="Y188" i="50"/>
  <c r="S188" i="50"/>
  <c r="M188" i="50"/>
  <c r="H188" i="50"/>
  <c r="Z203" i="50"/>
  <c r="Y203" i="50"/>
  <c r="T203" i="50"/>
  <c r="S203" i="50"/>
  <c r="N203" i="50"/>
  <c r="M203" i="50"/>
  <c r="I203" i="50"/>
  <c r="H203" i="50"/>
  <c r="B137" i="50"/>
  <c r="X238" i="50"/>
  <c r="X237" i="50"/>
  <c r="X236" i="50"/>
  <c r="R238" i="50"/>
  <c r="R237" i="50"/>
  <c r="R236" i="50"/>
  <c r="L236" i="50"/>
  <c r="L237" i="50"/>
  <c r="L238" i="50"/>
  <c r="G238" i="50"/>
  <c r="G237" i="50"/>
  <c r="G236" i="50"/>
  <c r="D14" i="62"/>
  <c r="H206" i="50" s="1"/>
  <c r="E14" i="62"/>
  <c r="M206" i="50"/>
  <c r="F14" i="62"/>
  <c r="S206" i="50" s="1"/>
  <c r="G14" i="62"/>
  <c r="Y206" i="50"/>
  <c r="C14" i="62"/>
  <c r="B206" i="50" s="1"/>
  <c r="Y205" i="50"/>
  <c r="Y204" i="50"/>
  <c r="X222" i="50"/>
  <c r="X221" i="50"/>
  <c r="X205" i="50"/>
  <c r="X206" i="50"/>
  <c r="X204" i="50"/>
  <c r="X190" i="50"/>
  <c r="X189" i="50"/>
  <c r="S205" i="50"/>
  <c r="S204" i="50"/>
  <c r="R222" i="50"/>
  <c r="R221" i="50"/>
  <c r="R205" i="50"/>
  <c r="R206" i="50"/>
  <c r="R204" i="50"/>
  <c r="R190" i="50"/>
  <c r="R189" i="50"/>
  <c r="M205" i="50"/>
  <c r="M204" i="50"/>
  <c r="L222" i="50"/>
  <c r="L221" i="50"/>
  <c r="L205" i="50"/>
  <c r="L206" i="50"/>
  <c r="L204" i="50"/>
  <c r="L190" i="50"/>
  <c r="L189" i="50"/>
  <c r="G222" i="50"/>
  <c r="G221" i="50"/>
  <c r="H205" i="50"/>
  <c r="H204" i="50"/>
  <c r="G205" i="50"/>
  <c r="G206" i="50"/>
  <c r="G204" i="50"/>
  <c r="G190" i="50"/>
  <c r="G189" i="50"/>
  <c r="B204" i="50"/>
  <c r="AA205" i="50"/>
  <c r="AA204" i="50"/>
  <c r="U205" i="50"/>
  <c r="U204" i="50"/>
  <c r="O205" i="50"/>
  <c r="O204" i="50"/>
  <c r="J205" i="50"/>
  <c r="J204" i="50"/>
  <c r="D205" i="50"/>
  <c r="D204" i="50"/>
  <c r="A16" i="62"/>
  <c r="A24" i="62" s="1"/>
  <c r="A30" i="62"/>
  <c r="A29" i="62"/>
  <c r="A28" i="62"/>
  <c r="A27" i="62"/>
  <c r="A26" i="62"/>
  <c r="A25" i="62"/>
  <c r="C30" i="62"/>
  <c r="A22" i="62"/>
  <c r="A21" i="62"/>
  <c r="A20" i="62"/>
  <c r="A19" i="62"/>
  <c r="A18" i="62"/>
  <c r="A17" i="62"/>
  <c r="A1" i="62"/>
  <c r="AB96" i="50"/>
  <c r="AB97" i="50"/>
  <c r="AB95" i="50"/>
  <c r="Z94" i="50"/>
  <c r="AA94" i="50"/>
  <c r="AB94" i="50"/>
  <c r="Y94" i="50"/>
  <c r="Y15" i="50"/>
  <c r="Y137" i="50" s="1"/>
  <c r="X12" i="50"/>
  <c r="X13" i="50"/>
  <c r="X14" i="50"/>
  <c r="X15" i="50"/>
  <c r="X16" i="50"/>
  <c r="X11" i="50"/>
  <c r="S15" i="50"/>
  <c r="S105" i="50" s="1"/>
  <c r="R12" i="50"/>
  <c r="R13" i="50"/>
  <c r="R14" i="50"/>
  <c r="R15" i="50"/>
  <c r="R16" i="50"/>
  <c r="R11" i="50"/>
  <c r="L12" i="50"/>
  <c r="L13" i="50"/>
  <c r="L14" i="50"/>
  <c r="L15" i="50"/>
  <c r="L16" i="50"/>
  <c r="L11" i="50"/>
  <c r="M15" i="50"/>
  <c r="M105" i="50"/>
  <c r="H15" i="50"/>
  <c r="H137" i="50" s="1"/>
  <c r="G12" i="50"/>
  <c r="G13" i="50"/>
  <c r="G14" i="50"/>
  <c r="G15" i="50"/>
  <c r="G16" i="50"/>
  <c r="G11" i="50"/>
  <c r="V96" i="50"/>
  <c r="V97" i="50"/>
  <c r="V95" i="50"/>
  <c r="V94" i="50"/>
  <c r="U98" i="50"/>
  <c r="U100" i="50" s="1"/>
  <c r="P96" i="50"/>
  <c r="P97" i="50"/>
  <c r="P95" i="50"/>
  <c r="P98" i="50" s="1"/>
  <c r="M110" i="50" s="1"/>
  <c r="P94" i="50"/>
  <c r="O94" i="50"/>
  <c r="N94" i="50"/>
  <c r="M94" i="50"/>
  <c r="H94" i="50"/>
  <c r="S94" i="50" s="1"/>
  <c r="C40" i="55"/>
  <c r="C41" i="55"/>
  <c r="C35" i="55"/>
  <c r="L14" i="38"/>
  <c r="F14" i="59" s="1"/>
  <c r="L144" i="38"/>
  <c r="F144" i="59" s="1"/>
  <c r="L145" i="38"/>
  <c r="F145" i="59" s="1"/>
  <c r="L147" i="38"/>
  <c r="F147" i="59" s="1"/>
  <c r="L149" i="38"/>
  <c r="F149" i="59" s="1"/>
  <c r="L150" i="38"/>
  <c r="F150" i="59" s="1"/>
  <c r="L151" i="38"/>
  <c r="F151" i="59" s="1"/>
  <c r="L152" i="38"/>
  <c r="F152" i="59" s="1"/>
  <c r="L153" i="38"/>
  <c r="F153" i="59" s="1"/>
  <c r="L154" i="38"/>
  <c r="F154" i="59" s="1"/>
  <c r="L155" i="38"/>
  <c r="F155" i="59" s="1"/>
  <c r="L140" i="38"/>
  <c r="F140" i="59" s="1"/>
  <c r="F122" i="59"/>
  <c r="F123" i="59"/>
  <c r="F124" i="59"/>
  <c r="F125" i="59"/>
  <c r="F126" i="59"/>
  <c r="L127" i="38"/>
  <c r="F127" i="59" s="1"/>
  <c r="L129" i="38"/>
  <c r="F129" i="59" s="1"/>
  <c r="L130" i="38"/>
  <c r="F130" i="59" s="1"/>
  <c r="L131" i="38"/>
  <c r="F131" i="59" s="1"/>
  <c r="L132" i="38"/>
  <c r="F132" i="59" s="1"/>
  <c r="L133" i="38"/>
  <c r="F133" i="59" s="1"/>
  <c r="L134" i="38"/>
  <c r="F134" i="59" s="1"/>
  <c r="L135" i="38"/>
  <c r="F135" i="59" s="1"/>
  <c r="L136" i="38"/>
  <c r="F136" i="59" s="1"/>
  <c r="F96" i="59"/>
  <c r="F97" i="59"/>
  <c r="F103" i="59"/>
  <c r="L104" i="38"/>
  <c r="F104" i="59" s="1"/>
  <c r="L107" i="38"/>
  <c r="F107" i="59" s="1"/>
  <c r="L108" i="38"/>
  <c r="F108" i="59" s="1"/>
  <c r="L109" i="38"/>
  <c r="F109" i="59" s="1"/>
  <c r="L110" i="38"/>
  <c r="F110" i="59" s="1"/>
  <c r="L111" i="38"/>
  <c r="F111" i="59" s="1"/>
  <c r="L112" i="38"/>
  <c r="F112" i="59" s="1"/>
  <c r="L113" i="38"/>
  <c r="F113" i="59" s="1"/>
  <c r="L114" i="38"/>
  <c r="F114" i="59" s="1"/>
  <c r="L85" i="38"/>
  <c r="F85" i="59" s="1"/>
  <c r="F86" i="59"/>
  <c r="L87" i="38"/>
  <c r="F87" i="59" s="1"/>
  <c r="L88" i="38"/>
  <c r="F88" i="59" s="1"/>
  <c r="L89" i="38"/>
  <c r="F89" i="59" s="1"/>
  <c r="L90" i="38"/>
  <c r="F90" i="59" s="1"/>
  <c r="F83" i="59"/>
  <c r="L78" i="38"/>
  <c r="F78" i="59" s="1"/>
  <c r="L79" i="38"/>
  <c r="F79" i="59" s="1"/>
  <c r="L80" i="38"/>
  <c r="F80" i="59" s="1"/>
  <c r="L81" i="38"/>
  <c r="F81" i="59" s="1"/>
  <c r="L53" i="38"/>
  <c r="F53" i="59" s="1"/>
  <c r="L55" i="38"/>
  <c r="F55" i="59" s="1"/>
  <c r="L56" i="38"/>
  <c r="F56" i="59" s="1"/>
  <c r="L57" i="38"/>
  <c r="F57" i="59" s="1"/>
  <c r="L58" i="38"/>
  <c r="F58" i="59" s="1"/>
  <c r="L59" i="38"/>
  <c r="F59" i="59" s="1"/>
  <c r="L60" i="38"/>
  <c r="F60" i="59" s="1"/>
  <c r="L61" i="38"/>
  <c r="F61" i="59" s="1"/>
  <c r="L62" i="38"/>
  <c r="F62" i="59" s="1"/>
  <c r="L52" i="38"/>
  <c r="F52" i="59" s="1"/>
  <c r="L47" i="38"/>
  <c r="F47" i="59" s="1"/>
  <c r="L48" i="38"/>
  <c r="F48" i="59" s="1"/>
  <c r="L50" i="38"/>
  <c r="F50" i="59" s="1"/>
  <c r="B1" i="55"/>
  <c r="S137" i="50"/>
  <c r="Y14" i="50"/>
  <c r="Y79" i="50" s="1"/>
  <c r="Y13" i="50"/>
  <c r="Y73" i="50"/>
  <c r="Y12" i="50"/>
  <c r="Y43" i="50" s="1"/>
  <c r="Y11" i="50"/>
  <c r="Y37" i="50" s="1"/>
  <c r="S14" i="50"/>
  <c r="S79" i="50" s="1"/>
  <c r="S13" i="50"/>
  <c r="S73" i="50" s="1"/>
  <c r="S12" i="50"/>
  <c r="S43" i="50" s="1"/>
  <c r="S11" i="50"/>
  <c r="S37" i="50" s="1"/>
  <c r="M14" i="50"/>
  <c r="M79" i="50" s="1"/>
  <c r="M13" i="50"/>
  <c r="M73" i="50" s="1"/>
  <c r="M12" i="50"/>
  <c r="M43" i="50" s="1"/>
  <c r="M11" i="50"/>
  <c r="M37" i="50" s="1"/>
  <c r="H14" i="50"/>
  <c r="H13" i="50"/>
  <c r="H73" i="50" s="1"/>
  <c r="H12" i="50"/>
  <c r="H43" i="50" s="1"/>
  <c r="H11" i="50"/>
  <c r="H37" i="50" s="1"/>
  <c r="Y16" i="50"/>
  <c r="Y111" i="50" s="1"/>
  <c r="B105" i="50"/>
  <c r="D144" i="59"/>
  <c r="D145" i="59"/>
  <c r="D146" i="59"/>
  <c r="D147" i="59"/>
  <c r="D149" i="59"/>
  <c r="D150" i="59"/>
  <c r="D151" i="59"/>
  <c r="D152" i="59"/>
  <c r="D153" i="59"/>
  <c r="D154" i="59"/>
  <c r="D155" i="59"/>
  <c r="A144" i="59"/>
  <c r="A145" i="59"/>
  <c r="A146" i="59"/>
  <c r="A147" i="59"/>
  <c r="A148" i="59"/>
  <c r="A149" i="59"/>
  <c r="A150" i="59"/>
  <c r="A151" i="59"/>
  <c r="A152" i="59"/>
  <c r="A153" i="59"/>
  <c r="A154" i="59"/>
  <c r="A155" i="59"/>
  <c r="A11" i="59"/>
  <c r="A12" i="59"/>
  <c r="A13" i="59"/>
  <c r="A14" i="59"/>
  <c r="A15" i="59"/>
  <c r="A16" i="59"/>
  <c r="A17" i="59"/>
  <c r="A18" i="59"/>
  <c r="A19" i="59"/>
  <c r="A20" i="59"/>
  <c r="A21" i="59"/>
  <c r="A22" i="59"/>
  <c r="A23" i="59"/>
  <c r="A24" i="59"/>
  <c r="A25" i="59"/>
  <c r="A26" i="59"/>
  <c r="A27" i="59"/>
  <c r="A28" i="59"/>
  <c r="A29" i="59"/>
  <c r="A30" i="59"/>
  <c r="A31" i="59"/>
  <c r="A32" i="59"/>
  <c r="A33" i="59"/>
  <c r="A41" i="59"/>
  <c r="A42" i="59"/>
  <c r="A43" i="59"/>
  <c r="A44" i="59"/>
  <c r="A45" i="59"/>
  <c r="A46" i="59"/>
  <c r="A47" i="59"/>
  <c r="A48" i="59"/>
  <c r="A49" i="59"/>
  <c r="A50" i="59"/>
  <c r="A51" i="59"/>
  <c r="A52" i="59"/>
  <c r="A53" i="59"/>
  <c r="A54" i="59"/>
  <c r="A55" i="59"/>
  <c r="A56" i="59"/>
  <c r="A57" i="59"/>
  <c r="A58" i="59"/>
  <c r="A59" i="59"/>
  <c r="A60" i="59"/>
  <c r="A61" i="59"/>
  <c r="A62" i="59"/>
  <c r="A70" i="59"/>
  <c r="A71" i="59"/>
  <c r="A72" i="59"/>
  <c r="A73" i="59"/>
  <c r="A74" i="59"/>
  <c r="A75" i="59"/>
  <c r="A76" i="59"/>
  <c r="A77" i="59"/>
  <c r="A78" i="59"/>
  <c r="A79" i="59"/>
  <c r="A80" i="59"/>
  <c r="A81" i="59"/>
  <c r="A84" i="59"/>
  <c r="A85" i="59"/>
  <c r="A86" i="59"/>
  <c r="A87" i="59"/>
  <c r="A88" i="59"/>
  <c r="A89" i="59"/>
  <c r="A90" i="59"/>
  <c r="A96" i="59"/>
  <c r="A97" i="59"/>
  <c r="A98" i="59"/>
  <c r="A99" i="59"/>
  <c r="A100" i="59"/>
  <c r="A101" i="59"/>
  <c r="A102" i="59"/>
  <c r="A103" i="59"/>
  <c r="A104" i="59"/>
  <c r="A105" i="59"/>
  <c r="A106" i="59"/>
  <c r="A107" i="59"/>
  <c r="A108" i="59"/>
  <c r="A109" i="59"/>
  <c r="A110" i="59"/>
  <c r="A111" i="59"/>
  <c r="A112" i="59"/>
  <c r="A113" i="59"/>
  <c r="A114" i="59"/>
  <c r="A120" i="59"/>
  <c r="A121" i="59"/>
  <c r="A122" i="59"/>
  <c r="A123" i="59"/>
  <c r="A124" i="59"/>
  <c r="A125" i="59"/>
  <c r="A126" i="59"/>
  <c r="A127" i="59"/>
  <c r="A128" i="59"/>
  <c r="A129" i="59"/>
  <c r="A130" i="59"/>
  <c r="A131" i="59"/>
  <c r="A132" i="59"/>
  <c r="A133" i="59"/>
  <c r="A134" i="59"/>
  <c r="A135" i="59"/>
  <c r="A136" i="59"/>
  <c r="D120" i="59"/>
  <c r="D121" i="59"/>
  <c r="D122" i="59"/>
  <c r="D123" i="59"/>
  <c r="D124" i="59"/>
  <c r="D125" i="59"/>
  <c r="D126" i="59"/>
  <c r="D127" i="59"/>
  <c r="D128" i="59"/>
  <c r="D129" i="59"/>
  <c r="D130" i="59"/>
  <c r="D131" i="59"/>
  <c r="D132" i="59"/>
  <c r="D133" i="59"/>
  <c r="D134" i="59"/>
  <c r="D135" i="59"/>
  <c r="D136" i="59"/>
  <c r="D96" i="59"/>
  <c r="D97" i="59"/>
  <c r="D98" i="59"/>
  <c r="D99" i="59"/>
  <c r="D100" i="59"/>
  <c r="D101" i="59"/>
  <c r="D102" i="59"/>
  <c r="D103" i="59"/>
  <c r="D104" i="59"/>
  <c r="D105" i="59"/>
  <c r="D106" i="59"/>
  <c r="D107" i="59"/>
  <c r="D108" i="59"/>
  <c r="D109" i="59"/>
  <c r="D110" i="59"/>
  <c r="D111" i="59"/>
  <c r="D112" i="59"/>
  <c r="D113" i="59"/>
  <c r="D114" i="59"/>
  <c r="N82" i="59"/>
  <c r="L82" i="59"/>
  <c r="J82" i="59"/>
  <c r="H82" i="59"/>
  <c r="F82" i="59"/>
  <c r="D70" i="59"/>
  <c r="D71" i="59"/>
  <c r="D75" i="59"/>
  <c r="D76" i="59"/>
  <c r="D77" i="59"/>
  <c r="D78" i="59"/>
  <c r="D79" i="59"/>
  <c r="D80" i="59"/>
  <c r="D81" i="59"/>
  <c r="D82" i="59"/>
  <c r="D83" i="59"/>
  <c r="D84" i="59"/>
  <c r="D85" i="59"/>
  <c r="D86" i="59"/>
  <c r="D87" i="59"/>
  <c r="D88" i="59"/>
  <c r="D89" i="59"/>
  <c r="D90" i="59"/>
  <c r="A82" i="59"/>
  <c r="A83" i="59"/>
  <c r="D41" i="59"/>
  <c r="D42" i="59"/>
  <c r="D44" i="59"/>
  <c r="D45" i="59"/>
  <c r="D47" i="59"/>
  <c r="D48" i="59"/>
  <c r="D49" i="59"/>
  <c r="D50" i="59"/>
  <c r="D51" i="59"/>
  <c r="D52" i="59"/>
  <c r="D53" i="59"/>
  <c r="D54" i="59"/>
  <c r="D55" i="59"/>
  <c r="D56" i="59"/>
  <c r="D57" i="59"/>
  <c r="D58" i="59"/>
  <c r="D59" i="59"/>
  <c r="D60" i="59"/>
  <c r="D61" i="59"/>
  <c r="D62" i="59"/>
  <c r="N14" i="59"/>
  <c r="N22" i="59"/>
  <c r="N23" i="59"/>
  <c r="N25" i="59"/>
  <c r="N26" i="59"/>
  <c r="N27" i="59"/>
  <c r="N28" i="59"/>
  <c r="N29" i="59"/>
  <c r="N30" i="59"/>
  <c r="N31" i="59"/>
  <c r="N32" i="59"/>
  <c r="N33" i="59"/>
  <c r="L14" i="59"/>
  <c r="L22" i="59"/>
  <c r="L23" i="59"/>
  <c r="L25" i="59"/>
  <c r="L26" i="59"/>
  <c r="L27" i="59"/>
  <c r="L28" i="59"/>
  <c r="L29" i="59"/>
  <c r="L30" i="59"/>
  <c r="L31" i="59"/>
  <c r="L32" i="59"/>
  <c r="L33" i="59"/>
  <c r="J14" i="59"/>
  <c r="J22" i="59"/>
  <c r="J23" i="59"/>
  <c r="J25" i="59"/>
  <c r="J26" i="59"/>
  <c r="J27" i="59"/>
  <c r="J28" i="59"/>
  <c r="J29" i="59"/>
  <c r="J30" i="59"/>
  <c r="J31" i="59"/>
  <c r="J32" i="59"/>
  <c r="J33" i="59"/>
  <c r="H14" i="59"/>
  <c r="H22" i="59"/>
  <c r="H23" i="59"/>
  <c r="H24" i="59"/>
  <c r="H25" i="59"/>
  <c r="H26" i="59"/>
  <c r="H27" i="59"/>
  <c r="H28" i="59"/>
  <c r="H29" i="59"/>
  <c r="H30" i="59"/>
  <c r="H31" i="59"/>
  <c r="H32" i="59"/>
  <c r="H33" i="59"/>
  <c r="F22" i="59"/>
  <c r="F23" i="59"/>
  <c r="F24" i="59"/>
  <c r="F25" i="59"/>
  <c r="F26" i="59"/>
  <c r="F27" i="59"/>
  <c r="F28" i="59"/>
  <c r="F29" i="59"/>
  <c r="F30" i="59"/>
  <c r="F31" i="59"/>
  <c r="F32" i="59"/>
  <c r="F33" i="59"/>
  <c r="D11" i="59"/>
  <c r="D12" i="59"/>
  <c r="D13" i="59"/>
  <c r="D14" i="59"/>
  <c r="D15" i="59"/>
  <c r="D16" i="59"/>
  <c r="D17" i="59"/>
  <c r="D18" i="59"/>
  <c r="D19" i="59"/>
  <c r="D20" i="59"/>
  <c r="D21" i="59"/>
  <c r="D22" i="59"/>
  <c r="D23" i="59"/>
  <c r="D24" i="59"/>
  <c r="D25" i="59"/>
  <c r="D26" i="59"/>
  <c r="D27" i="59"/>
  <c r="D28" i="59"/>
  <c r="D29" i="59"/>
  <c r="D30" i="59"/>
  <c r="D31" i="59"/>
  <c r="D32" i="59"/>
  <c r="D33" i="59"/>
  <c r="A10" i="59"/>
  <c r="B18" i="60"/>
  <c r="R128" i="38" s="1"/>
  <c r="B1" i="60"/>
  <c r="B35" i="60"/>
  <c r="A1" i="35"/>
  <c r="A143" i="59"/>
  <c r="A119" i="59"/>
  <c r="A138" i="59"/>
  <c r="A92" i="59"/>
  <c r="A64" i="59"/>
  <c r="A116" i="59"/>
  <c r="A95" i="59"/>
  <c r="A69" i="59"/>
  <c r="A40" i="59"/>
  <c r="D9" i="59"/>
  <c r="A1" i="59"/>
  <c r="D143" i="59"/>
  <c r="D140" i="59"/>
  <c r="D119" i="59"/>
  <c r="D95" i="59"/>
  <c r="D40" i="59"/>
  <c r="D10" i="59"/>
  <c r="D163" i="59"/>
  <c r="M96" i="55"/>
  <c r="E191" i="40"/>
  <c r="AA222" i="50"/>
  <c r="AA221" i="50"/>
  <c r="AA190" i="50"/>
  <c r="AA189" i="50"/>
  <c r="U222" i="50"/>
  <c r="U221" i="50"/>
  <c r="U190" i="50"/>
  <c r="U189" i="50"/>
  <c r="O222" i="50"/>
  <c r="O221" i="50"/>
  <c r="O190" i="50"/>
  <c r="O189" i="50"/>
  <c r="J222" i="50"/>
  <c r="J221" i="50"/>
  <c r="J190" i="50"/>
  <c r="J189" i="50"/>
  <c r="J98" i="50"/>
  <c r="J100" i="50" s="1"/>
  <c r="K97" i="50"/>
  <c r="K96" i="50"/>
  <c r="K98" i="50" s="1"/>
  <c r="H110" i="50" s="1"/>
  <c r="K95" i="50"/>
  <c r="E97" i="50"/>
  <c r="E96" i="50"/>
  <c r="E95" i="50"/>
  <c r="D98" i="50"/>
  <c r="D100" i="50" s="1"/>
  <c r="M12" i="55"/>
  <c r="K12" i="55"/>
  <c r="I12" i="55"/>
  <c r="G12" i="55"/>
  <c r="M18" i="55"/>
  <c r="K18" i="55"/>
  <c r="I18" i="55"/>
  <c r="G18" i="55"/>
  <c r="E18" i="55"/>
  <c r="L20" i="55"/>
  <c r="J20" i="55"/>
  <c r="H20" i="55"/>
  <c r="F20" i="55"/>
  <c r="J35" i="38"/>
  <c r="F150" i="40"/>
  <c r="E120" i="40"/>
  <c r="E121" i="40"/>
  <c r="E122" i="40"/>
  <c r="E123" i="40"/>
  <c r="E142" i="40" s="1"/>
  <c r="E124" i="40"/>
  <c r="E125" i="40"/>
  <c r="E126" i="40"/>
  <c r="E127" i="40"/>
  <c r="E128" i="40"/>
  <c r="E129" i="40"/>
  <c r="E130" i="40"/>
  <c r="E131" i="40"/>
  <c r="E132" i="40"/>
  <c r="E133" i="40"/>
  <c r="E134" i="40"/>
  <c r="E135" i="40"/>
  <c r="E136" i="40"/>
  <c r="E137" i="40"/>
  <c r="E138" i="40"/>
  <c r="E139" i="40"/>
  <c r="E140" i="40"/>
  <c r="E141" i="40"/>
  <c r="C103" i="40"/>
  <c r="AA98" i="50"/>
  <c r="AA100" i="50" s="1"/>
  <c r="Z98" i="50"/>
  <c r="Z100" i="50" s="1"/>
  <c r="Y98" i="50"/>
  <c r="Y100" i="50" s="1"/>
  <c r="T98" i="50"/>
  <c r="T100" i="50" s="1"/>
  <c r="S98" i="50"/>
  <c r="S100" i="50" s="1"/>
  <c r="V100" i="50" s="1"/>
  <c r="S104" i="50" s="1"/>
  <c r="M137" i="50"/>
  <c r="N98" i="50"/>
  <c r="N100" i="50" s="1"/>
  <c r="M98" i="50"/>
  <c r="M100" i="50"/>
  <c r="P100" i="50" s="1"/>
  <c r="M104" i="50" s="1"/>
  <c r="M106" i="50" s="1"/>
  <c r="M116" i="50" s="1"/>
  <c r="O98" i="50"/>
  <c r="O100" i="50" s="1"/>
  <c r="I98" i="50"/>
  <c r="I100" i="50" s="1"/>
  <c r="H98" i="50"/>
  <c r="H100" i="50" s="1"/>
  <c r="K100" i="50" s="1"/>
  <c r="H104" i="50" s="1"/>
  <c r="E126" i="50"/>
  <c r="E90" i="55" s="1"/>
  <c r="E127" i="50"/>
  <c r="E128" i="50"/>
  <c r="E92" i="55" s="1"/>
  <c r="E129" i="50"/>
  <c r="E93" i="55" s="1"/>
  <c r="B111" i="50"/>
  <c r="C98" i="50"/>
  <c r="C100" i="50" s="1"/>
  <c r="B98" i="50"/>
  <c r="B100" i="50" s="1"/>
  <c r="M62" i="55"/>
  <c r="M61" i="55"/>
  <c r="M60" i="55"/>
  <c r="M59" i="55"/>
  <c r="K62" i="55"/>
  <c r="K61" i="55"/>
  <c r="K60" i="55"/>
  <c r="K59" i="55"/>
  <c r="M56" i="55"/>
  <c r="M69" i="55" s="1"/>
  <c r="M55" i="55"/>
  <c r="M68" i="55" s="1"/>
  <c r="M54" i="55"/>
  <c r="M67" i="55" s="1"/>
  <c r="M53" i="55"/>
  <c r="M66" i="55" s="1"/>
  <c r="K56" i="55"/>
  <c r="K69" i="55" s="1"/>
  <c r="K55" i="55"/>
  <c r="K68" i="55" s="1"/>
  <c r="K54" i="55"/>
  <c r="K53" i="55"/>
  <c r="K66" i="55" s="1"/>
  <c r="I62" i="55"/>
  <c r="I61" i="55"/>
  <c r="I60" i="55"/>
  <c r="I59" i="55"/>
  <c r="I56" i="55"/>
  <c r="I55" i="55"/>
  <c r="I68" i="55" s="1"/>
  <c r="I54" i="55"/>
  <c r="I67" i="55" s="1"/>
  <c r="I53" i="55"/>
  <c r="I66" i="55"/>
  <c r="G67" i="55"/>
  <c r="G68" i="55"/>
  <c r="G69" i="55"/>
  <c r="G66" i="55"/>
  <c r="E66" i="55"/>
  <c r="E67" i="55"/>
  <c r="E68" i="55"/>
  <c r="E69" i="55"/>
  <c r="C46" i="55"/>
  <c r="M29" i="55"/>
  <c r="K29" i="55"/>
  <c r="I29" i="55"/>
  <c r="G29" i="55"/>
  <c r="M40" i="55"/>
  <c r="I40" i="55"/>
  <c r="E40" i="55"/>
  <c r="C36" i="55"/>
  <c r="C43" i="55" s="1"/>
  <c r="I35" i="55"/>
  <c r="G35" i="55"/>
  <c r="C13" i="55"/>
  <c r="A109" i="40"/>
  <c r="A110" i="40"/>
  <c r="A111" i="40"/>
  <c r="A112" i="40"/>
  <c r="A113" i="40"/>
  <c r="A114" i="40"/>
  <c r="A115" i="40"/>
  <c r="A108" i="40"/>
  <c r="C114" i="40"/>
  <c r="G114" i="40" s="1"/>
  <c r="C110" i="40"/>
  <c r="G110" i="40" s="1"/>
  <c r="G171" i="40" s="1"/>
  <c r="C109" i="40"/>
  <c r="G109" i="40" s="1"/>
  <c r="C108" i="40"/>
  <c r="G108" i="40" s="1"/>
  <c r="C73" i="40"/>
  <c r="E148" i="40"/>
  <c r="E119" i="40"/>
  <c r="E90" i="40"/>
  <c r="E151" i="40"/>
  <c r="E91" i="40"/>
  <c r="E152" i="40" s="1"/>
  <c r="E92" i="40"/>
  <c r="E153" i="40"/>
  <c r="E93" i="40"/>
  <c r="E154" i="40" s="1"/>
  <c r="E94" i="40"/>
  <c r="E155" i="40" s="1"/>
  <c r="E95" i="40"/>
  <c r="E156" i="40" s="1"/>
  <c r="E96" i="40"/>
  <c r="E157" i="40"/>
  <c r="E97" i="40"/>
  <c r="E158" i="40" s="1"/>
  <c r="E159" i="40"/>
  <c r="E160" i="40"/>
  <c r="E161" i="40"/>
  <c r="E162" i="40"/>
  <c r="E102" i="40"/>
  <c r="E163" i="40" s="1"/>
  <c r="E103" i="40"/>
  <c r="E164" i="40" s="1"/>
  <c r="E104" i="40"/>
  <c r="E165" i="40" s="1"/>
  <c r="E166" i="40"/>
  <c r="E167" i="40"/>
  <c r="E168" i="40"/>
  <c r="E108" i="40"/>
  <c r="E169" i="40" s="1"/>
  <c r="E109" i="40"/>
  <c r="E170" i="40" s="1"/>
  <c r="E110" i="40"/>
  <c r="E171" i="40" s="1"/>
  <c r="E111" i="40"/>
  <c r="E172" i="40" s="1"/>
  <c r="E112" i="40"/>
  <c r="E173" i="40"/>
  <c r="E113" i="40"/>
  <c r="E174" i="40" s="1"/>
  <c r="E114" i="40"/>
  <c r="E175" i="40" s="1"/>
  <c r="E115" i="40"/>
  <c r="E176" i="40" s="1"/>
  <c r="E150" i="40"/>
  <c r="O148" i="40"/>
  <c r="O186" i="40" s="1"/>
  <c r="M148" i="40"/>
  <c r="M186" i="40"/>
  <c r="K148" i="40"/>
  <c r="K186" i="40" s="1"/>
  <c r="I148" i="40"/>
  <c r="I186" i="40" s="1"/>
  <c r="G148" i="40"/>
  <c r="G186" i="40" s="1"/>
  <c r="B194" i="40"/>
  <c r="Y222" i="50"/>
  <c r="Y223" i="50" s="1"/>
  <c r="AB228" i="50" s="1"/>
  <c r="Y221" i="50"/>
  <c r="Y190" i="50"/>
  <c r="Y189" i="50"/>
  <c r="S221" i="50"/>
  <c r="S223" i="50" s="1"/>
  <c r="V228" i="50" s="1"/>
  <c r="S222" i="50"/>
  <c r="S190" i="50"/>
  <c r="S189" i="50"/>
  <c r="M222" i="50"/>
  <c r="M221" i="50"/>
  <c r="M190" i="50"/>
  <c r="M189" i="50"/>
  <c r="H222" i="50"/>
  <c r="H223" i="50" s="1"/>
  <c r="K228" i="50" s="1"/>
  <c r="H221" i="50"/>
  <c r="H190" i="50"/>
  <c r="H189" i="50"/>
  <c r="B222" i="50"/>
  <c r="B223" i="50" s="1"/>
  <c r="E228" i="50" s="1"/>
  <c r="B221" i="50"/>
  <c r="B190" i="50"/>
  <c r="B189" i="50"/>
  <c r="A1" i="40"/>
  <c r="A1" i="50"/>
  <c r="H140" i="38"/>
  <c r="A140" i="59" s="1"/>
  <c r="J163" i="38"/>
  <c r="E118" i="40"/>
  <c r="E61" i="40"/>
  <c r="L9" i="38"/>
  <c r="Y161" i="50"/>
  <c r="AA130" i="50"/>
  <c r="AA132" i="50" s="1"/>
  <c r="Z130" i="50"/>
  <c r="Z132" i="50" s="1"/>
  <c r="Y130" i="50"/>
  <c r="Y132" i="50" s="1"/>
  <c r="AB129" i="50"/>
  <c r="M93" i="55" s="1"/>
  <c r="AB128" i="50"/>
  <c r="M92" i="55" s="1"/>
  <c r="AB127" i="50"/>
  <c r="M91" i="55"/>
  <c r="AB126" i="50"/>
  <c r="Z66" i="50"/>
  <c r="Z68" i="50" s="1"/>
  <c r="Y66" i="50"/>
  <c r="Y68" i="50" s="1"/>
  <c r="AA65" i="50"/>
  <c r="AA64" i="50"/>
  <c r="M83" i="55" s="1"/>
  <c r="AA63" i="50"/>
  <c r="M82" i="55" s="1"/>
  <c r="AA62" i="50"/>
  <c r="AA61" i="50"/>
  <c r="M80" i="55" s="1"/>
  <c r="Z30" i="50"/>
  <c r="Z32" i="50" s="1"/>
  <c r="Y30" i="50"/>
  <c r="AA29" i="50"/>
  <c r="M79" i="55"/>
  <c r="AA28" i="50"/>
  <c r="M78" i="55" s="1"/>
  <c r="AA27" i="50"/>
  <c r="M77" i="55"/>
  <c r="AA26" i="50"/>
  <c r="M76" i="55" s="1"/>
  <c r="S161" i="50"/>
  <c r="U130" i="50"/>
  <c r="U132" i="50" s="1"/>
  <c r="T130" i="50"/>
  <c r="T132" i="50" s="1"/>
  <c r="S130" i="50"/>
  <c r="S132" i="50" s="1"/>
  <c r="V129" i="50"/>
  <c r="K93" i="55" s="1"/>
  <c r="V128" i="50"/>
  <c r="K92" i="55" s="1"/>
  <c r="V127" i="50"/>
  <c r="K91" i="55" s="1"/>
  <c r="V126" i="50"/>
  <c r="K90" i="55" s="1"/>
  <c r="T66" i="50"/>
  <c r="T68" i="50" s="1"/>
  <c r="S66" i="50"/>
  <c r="S68" i="50"/>
  <c r="U65" i="50"/>
  <c r="K84" i="55" s="1"/>
  <c r="U64" i="50"/>
  <c r="U63" i="50"/>
  <c r="K82" i="55"/>
  <c r="U62" i="50"/>
  <c r="U61" i="50"/>
  <c r="K80" i="55" s="1"/>
  <c r="T30" i="50"/>
  <c r="S30" i="50"/>
  <c r="S32" i="50" s="1"/>
  <c r="U29" i="50"/>
  <c r="K79" i="55" s="1"/>
  <c r="U28" i="50"/>
  <c r="K78" i="55" s="1"/>
  <c r="U27" i="50"/>
  <c r="K77" i="55" s="1"/>
  <c r="U26" i="50"/>
  <c r="K76" i="55" s="1"/>
  <c r="M161" i="50"/>
  <c r="O130" i="50"/>
  <c r="O132" i="50" s="1"/>
  <c r="N130" i="50"/>
  <c r="N132" i="50" s="1"/>
  <c r="M130" i="50"/>
  <c r="M132" i="50" s="1"/>
  <c r="P129" i="50"/>
  <c r="I93" i="55" s="1"/>
  <c r="P128" i="50"/>
  <c r="I92" i="55" s="1"/>
  <c r="P127" i="50"/>
  <c r="I91" i="55" s="1"/>
  <c r="P126" i="50"/>
  <c r="I90" i="55" s="1"/>
  <c r="N66" i="50"/>
  <c r="N68" i="50" s="1"/>
  <c r="M66" i="50"/>
  <c r="M68" i="50" s="1"/>
  <c r="O65" i="50"/>
  <c r="I84" i="55" s="1"/>
  <c r="O64" i="50"/>
  <c r="I83" i="55" s="1"/>
  <c r="O63" i="50"/>
  <c r="O62" i="50"/>
  <c r="O61" i="50"/>
  <c r="I80" i="55" s="1"/>
  <c r="N30" i="50"/>
  <c r="M30" i="50"/>
  <c r="O29" i="50"/>
  <c r="I79" i="55"/>
  <c r="O28" i="50"/>
  <c r="I78" i="55" s="1"/>
  <c r="O27" i="50"/>
  <c r="I77" i="55" s="1"/>
  <c r="O26" i="50"/>
  <c r="I76" i="55" s="1"/>
  <c r="H161" i="50"/>
  <c r="J130" i="50"/>
  <c r="J132" i="50" s="1"/>
  <c r="I130" i="50"/>
  <c r="I132" i="50" s="1"/>
  <c r="H130" i="50"/>
  <c r="H132" i="50" s="1"/>
  <c r="K129" i="50"/>
  <c r="G93" i="55" s="1"/>
  <c r="K128" i="50"/>
  <c r="G92" i="55" s="1"/>
  <c r="K127" i="50"/>
  <c r="G91" i="55" s="1"/>
  <c r="K126" i="50"/>
  <c r="G90" i="55" s="1"/>
  <c r="H79" i="50"/>
  <c r="I66" i="50"/>
  <c r="I68" i="50" s="1"/>
  <c r="H66" i="50"/>
  <c r="H68" i="50"/>
  <c r="J65" i="50"/>
  <c r="G84" i="55" s="1"/>
  <c r="J64" i="50"/>
  <c r="G83" i="55" s="1"/>
  <c r="J63" i="50"/>
  <c r="J62" i="50"/>
  <c r="J61" i="50"/>
  <c r="I30" i="50"/>
  <c r="I32" i="50" s="1"/>
  <c r="H30" i="50"/>
  <c r="J29" i="50"/>
  <c r="G79" i="55" s="1"/>
  <c r="J28" i="50"/>
  <c r="G78" i="55"/>
  <c r="J27" i="50"/>
  <c r="G77" i="55" s="1"/>
  <c r="J26" i="50"/>
  <c r="G76" i="55" s="1"/>
  <c r="D222" i="50"/>
  <c r="D221" i="50"/>
  <c r="D190" i="50"/>
  <c r="D189" i="50"/>
  <c r="B161" i="50"/>
  <c r="D130" i="50"/>
  <c r="D132" i="50" s="1"/>
  <c r="C130" i="50"/>
  <c r="C132" i="50" s="1"/>
  <c r="B130" i="50"/>
  <c r="B132" i="50" s="1"/>
  <c r="B79" i="50"/>
  <c r="B73" i="50"/>
  <c r="C66" i="50"/>
  <c r="C68" i="50" s="1"/>
  <c r="B66" i="50"/>
  <c r="B68" i="50" s="1"/>
  <c r="D65" i="50"/>
  <c r="E84" i="55" s="1"/>
  <c r="D64" i="50"/>
  <c r="E83" i="55" s="1"/>
  <c r="D63" i="50"/>
  <c r="D62" i="50"/>
  <c r="E81" i="55" s="1"/>
  <c r="D61" i="50"/>
  <c r="E80" i="55" s="1"/>
  <c r="B43" i="50"/>
  <c r="B37" i="50"/>
  <c r="C30" i="50"/>
  <c r="B30" i="50"/>
  <c r="B32" i="50" s="1"/>
  <c r="D32" i="50" s="1"/>
  <c r="B36" i="50" s="1"/>
  <c r="B38" i="50" s="1"/>
  <c r="B48" i="50" s="1"/>
  <c r="D29" i="50"/>
  <c r="E79" i="55" s="1"/>
  <c r="D28" i="50"/>
  <c r="E78" i="55"/>
  <c r="D27" i="50"/>
  <c r="E77" i="55" s="1"/>
  <c r="D26" i="50"/>
  <c r="E76" i="55" s="1"/>
  <c r="A120" i="40"/>
  <c r="A121" i="40"/>
  <c r="A122" i="40"/>
  <c r="A123" i="40"/>
  <c r="A124" i="40"/>
  <c r="A125" i="40"/>
  <c r="A126" i="40"/>
  <c r="A127" i="40"/>
  <c r="A128" i="40"/>
  <c r="A129" i="40"/>
  <c r="A130" i="40"/>
  <c r="A131" i="40"/>
  <c r="A132" i="40"/>
  <c r="A133" i="40"/>
  <c r="A134" i="40"/>
  <c r="A135" i="40"/>
  <c r="A136" i="40"/>
  <c r="A137" i="40"/>
  <c r="A138" i="40"/>
  <c r="A139" i="40"/>
  <c r="A140" i="40"/>
  <c r="A141" i="40"/>
  <c r="A149" i="40"/>
  <c r="A150" i="40"/>
  <c r="A151" i="40"/>
  <c r="A152" i="40"/>
  <c r="A153" i="40"/>
  <c r="A154" i="40"/>
  <c r="A155" i="40"/>
  <c r="A156" i="40"/>
  <c r="A157" i="40"/>
  <c r="A158" i="40"/>
  <c r="A159" i="40"/>
  <c r="A160" i="40"/>
  <c r="A161" i="40"/>
  <c r="A162" i="40"/>
  <c r="A163" i="40"/>
  <c r="A164" i="40"/>
  <c r="A165" i="40"/>
  <c r="A166" i="40"/>
  <c r="A167" i="40"/>
  <c r="A168" i="40"/>
  <c r="A169" i="40"/>
  <c r="A170" i="40"/>
  <c r="A171" i="40"/>
  <c r="A172" i="40"/>
  <c r="A173" i="40"/>
  <c r="A174" i="40"/>
  <c r="A175" i="40"/>
  <c r="A176" i="40"/>
  <c r="A119" i="40"/>
  <c r="A118" i="40"/>
  <c r="A90" i="40"/>
  <c r="A91" i="40"/>
  <c r="A92" i="40"/>
  <c r="A93" i="40"/>
  <c r="A94" i="40"/>
  <c r="A95" i="40"/>
  <c r="A96" i="40"/>
  <c r="A97" i="40"/>
  <c r="A98" i="40"/>
  <c r="A99" i="40"/>
  <c r="A100" i="40"/>
  <c r="A101" i="40"/>
  <c r="A102" i="40"/>
  <c r="A103" i="40"/>
  <c r="A104" i="40"/>
  <c r="A105" i="40"/>
  <c r="A106" i="40"/>
  <c r="A107" i="40"/>
  <c r="A89" i="40"/>
  <c r="A88" i="40"/>
  <c r="A86" i="40"/>
  <c r="A87" i="40"/>
  <c r="A84" i="40"/>
  <c r="A85" i="40"/>
  <c r="A81" i="40"/>
  <c r="A82" i="40"/>
  <c r="A83" i="40"/>
  <c r="A66" i="40"/>
  <c r="A67" i="40"/>
  <c r="A68" i="40"/>
  <c r="A69" i="40"/>
  <c r="A70" i="40"/>
  <c r="A71" i="40"/>
  <c r="A72" i="40"/>
  <c r="A73" i="40"/>
  <c r="A74" i="40"/>
  <c r="A75" i="40"/>
  <c r="A76" i="40"/>
  <c r="A77" i="40"/>
  <c r="A78" i="40"/>
  <c r="A79" i="40"/>
  <c r="A80" i="40"/>
  <c r="A65" i="40"/>
  <c r="J116" i="38"/>
  <c r="J138" i="38"/>
  <c r="A64" i="40"/>
  <c r="C65" i="40"/>
  <c r="C121" i="40" s="1"/>
  <c r="C66" i="40"/>
  <c r="G120" i="40" s="1"/>
  <c r="C67" i="40"/>
  <c r="C68" i="40"/>
  <c r="C124" i="40" s="1"/>
  <c r="C69" i="40"/>
  <c r="C70" i="40"/>
  <c r="K124" i="40" s="1"/>
  <c r="C71" i="40"/>
  <c r="G125" i="40" s="1"/>
  <c r="C72" i="40"/>
  <c r="C128" i="40" s="1"/>
  <c r="C74" i="40"/>
  <c r="C132" i="40" s="1"/>
  <c r="G128" i="40"/>
  <c r="C75" i="40"/>
  <c r="G129" i="40" s="1"/>
  <c r="C76" i="40"/>
  <c r="C134" i="40" s="1"/>
  <c r="C77" i="40"/>
  <c r="C78" i="40"/>
  <c r="C136" i="40" s="1"/>
  <c r="C79" i="40"/>
  <c r="C80" i="40"/>
  <c r="G80" i="40" s="1"/>
  <c r="C81" i="40"/>
  <c r="G81" i="40" s="1"/>
  <c r="C82" i="40"/>
  <c r="C140" i="40"/>
  <c r="C83" i="40"/>
  <c r="G83" i="40" s="1"/>
  <c r="C84" i="40"/>
  <c r="G84" i="40" s="1"/>
  <c r="C85" i="40"/>
  <c r="G85" i="40" s="1"/>
  <c r="C86" i="40"/>
  <c r="C87" i="40"/>
  <c r="C89" i="40"/>
  <c r="C154" i="40" s="1"/>
  <c r="C90" i="40"/>
  <c r="C91" i="40"/>
  <c r="C92" i="40"/>
  <c r="C93" i="40"/>
  <c r="C158" i="40" s="1"/>
  <c r="C94" i="40"/>
  <c r="C95" i="40"/>
  <c r="C96" i="40"/>
  <c r="C97" i="40"/>
  <c r="I158" i="40" s="1"/>
  <c r="C98" i="40"/>
  <c r="C99" i="40"/>
  <c r="C164" i="40" s="1"/>
  <c r="C100" i="40"/>
  <c r="C167" i="40" s="1"/>
  <c r="C101" i="40"/>
  <c r="C166" i="40" s="1"/>
  <c r="C102" i="40"/>
  <c r="K163" i="40" s="1"/>
  <c r="C104" i="40"/>
  <c r="C169" i="40" s="1"/>
  <c r="C105" i="40"/>
  <c r="C106" i="40"/>
  <c r="C171" i="40" s="1"/>
  <c r="C107" i="40"/>
  <c r="C172" i="40" s="1"/>
  <c r="C111" i="40"/>
  <c r="C173" i="40" s="1"/>
  <c r="C112" i="40"/>
  <c r="G112" i="40" s="1"/>
  <c r="G173" i="40" s="1"/>
  <c r="C174" i="40"/>
  <c r="C113" i="40"/>
  <c r="C175" i="40" s="1"/>
  <c r="C115" i="40"/>
  <c r="C176" i="40" s="1"/>
  <c r="C191" i="40"/>
  <c r="G191" i="40"/>
  <c r="L175" i="38" s="1"/>
  <c r="L84" i="38" s="1"/>
  <c r="F84" i="59" s="1"/>
  <c r="I191" i="40"/>
  <c r="H176" i="59" s="1"/>
  <c r="K191" i="40"/>
  <c r="J176" i="59" s="1"/>
  <c r="M191" i="40"/>
  <c r="R175" i="38" s="1"/>
  <c r="R84" i="38" s="1"/>
  <c r="L84" i="59" s="1"/>
  <c r="R109" i="38"/>
  <c r="L109" i="59" s="1"/>
  <c r="O191" i="40"/>
  <c r="N176" i="59" s="1"/>
  <c r="C153" i="40"/>
  <c r="C199" i="40"/>
  <c r="C197" i="40"/>
  <c r="C195" i="40"/>
  <c r="C137" i="40"/>
  <c r="G79" i="40"/>
  <c r="C155" i="40"/>
  <c r="M81" i="55"/>
  <c r="G111" i="40"/>
  <c r="T109" i="38"/>
  <c r="N109" i="59" s="1"/>
  <c r="P108" i="38"/>
  <c r="J108" i="59" s="1"/>
  <c r="N109" i="38"/>
  <c r="H109" i="59" s="1"/>
  <c r="I156" i="40"/>
  <c r="C160" i="40"/>
  <c r="C32" i="50"/>
  <c r="G81" i="55"/>
  <c r="C141" i="40"/>
  <c r="H105" i="50"/>
  <c r="T110" i="38"/>
  <c r="N110" i="59" s="1"/>
  <c r="I112" i="40"/>
  <c r="K112" i="40" s="1"/>
  <c r="K173" i="40" s="1"/>
  <c r="G155" i="40"/>
  <c r="F9" i="59"/>
  <c r="F175" i="59" s="1"/>
  <c r="E8" i="55"/>
  <c r="E16" i="55" s="1"/>
  <c r="A7" i="50"/>
  <c r="P9" i="59"/>
  <c r="V39" i="59" s="1"/>
  <c r="L174" i="38"/>
  <c r="G6" i="40"/>
  <c r="N57" i="38"/>
  <c r="H57" i="59" s="1"/>
  <c r="N55" i="38"/>
  <c r="H55" i="59" s="1"/>
  <c r="R110" i="38"/>
  <c r="L110" i="59" s="1"/>
  <c r="T108" i="38"/>
  <c r="N108" i="59" s="1"/>
  <c r="T55" i="38"/>
  <c r="N55" i="59" s="1"/>
  <c r="T57" i="38"/>
  <c r="N57" i="59" s="1"/>
  <c r="T56" i="38"/>
  <c r="N56" i="59" s="1"/>
  <c r="N56" i="38"/>
  <c r="H56" i="59" s="1"/>
  <c r="N108" i="38"/>
  <c r="H108" i="59" s="1"/>
  <c r="N110" i="38"/>
  <c r="H110" i="59" s="1"/>
  <c r="R56" i="38"/>
  <c r="L56" i="59" s="1"/>
  <c r="R108" i="38"/>
  <c r="L108" i="59" s="1"/>
  <c r="R55" i="38"/>
  <c r="L55" i="59" s="1"/>
  <c r="C126" i="40"/>
  <c r="P57" i="38"/>
  <c r="J57" i="59" s="1"/>
  <c r="P110" i="38"/>
  <c r="J110" i="59" s="1"/>
  <c r="P55" i="38"/>
  <c r="J55" i="59" s="1"/>
  <c r="P109" i="38"/>
  <c r="J109" i="59" s="1"/>
  <c r="P56" i="38"/>
  <c r="J56" i="59" s="1"/>
  <c r="R57" i="38"/>
  <c r="L57" i="59" s="1"/>
  <c r="R104" i="38"/>
  <c r="L104" i="59" s="1"/>
  <c r="R53" i="38"/>
  <c r="L53" i="59" s="1"/>
  <c r="R48" i="38"/>
  <c r="L48" i="59" s="1"/>
  <c r="R129" i="38"/>
  <c r="L129" i="59" s="1"/>
  <c r="R147" i="38"/>
  <c r="L147" i="59" s="1"/>
  <c r="R124" i="38"/>
  <c r="L124" i="59" s="1"/>
  <c r="R59" i="38"/>
  <c r="L59" i="59" s="1"/>
  <c r="R130" i="38"/>
  <c r="L130" i="59" s="1"/>
  <c r="R132" i="38"/>
  <c r="L132" i="59" s="1"/>
  <c r="R134" i="38"/>
  <c r="L134" i="59" s="1"/>
  <c r="R107" i="38"/>
  <c r="L107" i="59" s="1"/>
  <c r="R114" i="38"/>
  <c r="L114" i="59" s="1"/>
  <c r="R151" i="38"/>
  <c r="L151" i="59" s="1"/>
  <c r="R113" i="38"/>
  <c r="L113" i="59" s="1"/>
  <c r="R47" i="38"/>
  <c r="L47" i="59" s="1"/>
  <c r="R60" i="38"/>
  <c r="L60" i="59" s="1"/>
  <c r="R123" i="38"/>
  <c r="L123" i="59" s="1"/>
  <c r="R133" i="38"/>
  <c r="L133" i="59" s="1"/>
  <c r="R131" i="38"/>
  <c r="L131" i="59" s="1"/>
  <c r="R62" i="38"/>
  <c r="L62" i="59" s="1"/>
  <c r="R125" i="38"/>
  <c r="L125" i="59" s="1"/>
  <c r="R150" i="38"/>
  <c r="L150" i="59" s="1"/>
  <c r="R126" i="38"/>
  <c r="L126" i="59" s="1"/>
  <c r="L98" i="59"/>
  <c r="R155" i="38"/>
  <c r="L155" i="59" s="1"/>
  <c r="R112" i="38"/>
  <c r="L112" i="59" s="1"/>
  <c r="L103" i="59"/>
  <c r="R50" i="38"/>
  <c r="L50" i="59" s="1"/>
  <c r="R52" i="38"/>
  <c r="L52" i="59" s="1"/>
  <c r="R144" i="38"/>
  <c r="L144" i="59" s="1"/>
  <c r="R146" i="38"/>
  <c r="L146" i="59" s="1"/>
  <c r="R135" i="38"/>
  <c r="L135" i="59" s="1"/>
  <c r="R153" i="38"/>
  <c r="L153" i="59" s="1"/>
  <c r="R136" i="38"/>
  <c r="L136" i="59" s="1"/>
  <c r="R149" i="38"/>
  <c r="L149" i="59" s="1"/>
  <c r="R61" i="38"/>
  <c r="L61" i="59" s="1"/>
  <c r="R58" i="38"/>
  <c r="L58" i="59" s="1"/>
  <c r="R140" i="38"/>
  <c r="L140" i="59" s="1"/>
  <c r="R122" i="38"/>
  <c r="L122" i="59" s="1"/>
  <c r="L96" i="59"/>
  <c r="R127" i="38"/>
  <c r="L127" i="59" s="1"/>
  <c r="R145" i="38"/>
  <c r="L145" i="59" s="1"/>
  <c r="L128" i="59"/>
  <c r="R152" i="38"/>
  <c r="L152" i="59" s="1"/>
  <c r="R111" i="38"/>
  <c r="L111" i="59" s="1"/>
  <c r="R154" i="38"/>
  <c r="L154" i="59" s="1"/>
  <c r="N146" i="38"/>
  <c r="H146" i="59" s="1"/>
  <c r="N129" i="38"/>
  <c r="H129" i="59" s="1"/>
  <c r="N47" i="38"/>
  <c r="H47" i="59" s="1"/>
  <c r="N147" i="38"/>
  <c r="H147" i="59" s="1"/>
  <c r="H126" i="59"/>
  <c r="N145" i="38"/>
  <c r="H145" i="59" s="1"/>
  <c r="N133" i="38"/>
  <c r="H133" i="59" s="1"/>
  <c r="N151" i="38"/>
  <c r="H151" i="59" s="1"/>
  <c r="N153" i="38"/>
  <c r="H153" i="59" s="1"/>
  <c r="N112" i="38"/>
  <c r="H112" i="59" s="1"/>
  <c r="N152" i="38"/>
  <c r="H152" i="59" s="1"/>
  <c r="N154" i="38"/>
  <c r="H154" i="59" s="1"/>
  <c r="N113" i="38"/>
  <c r="H113" i="59" s="1"/>
  <c r="H122" i="59"/>
  <c r="N140" i="38"/>
  <c r="H140" i="59" s="1"/>
  <c r="H125" i="59"/>
  <c r="N61" i="38"/>
  <c r="H61" i="59" s="1"/>
  <c r="N130" i="38"/>
  <c r="H130" i="59" s="1"/>
  <c r="H123" i="59"/>
  <c r="N144" i="38"/>
  <c r="H144" i="59" s="1"/>
  <c r="H97" i="59"/>
  <c r="N50" i="38"/>
  <c r="H50" i="59" s="1"/>
  <c r="N60" i="38"/>
  <c r="H60" i="59" s="1"/>
  <c r="H103" i="59"/>
  <c r="N149" i="38"/>
  <c r="H149" i="59" s="1"/>
  <c r="N131" i="38"/>
  <c r="H131" i="59" s="1"/>
  <c r="N104" i="38"/>
  <c r="H104" i="59" s="1"/>
  <c r="N58" i="38"/>
  <c r="H58" i="59" s="1"/>
  <c r="N62" i="38"/>
  <c r="H62" i="59" s="1"/>
  <c r="N127" i="38"/>
  <c r="H127" i="59" s="1"/>
  <c r="N107" i="38"/>
  <c r="H107" i="59" s="1"/>
  <c r="N111" i="38"/>
  <c r="H111" i="59" s="1"/>
  <c r="N114" i="38"/>
  <c r="H114" i="59" s="1"/>
  <c r="N134" i="38"/>
  <c r="H134" i="59" s="1"/>
  <c r="N135" i="38"/>
  <c r="H135" i="59" s="1"/>
  <c r="N136" i="38"/>
  <c r="H136" i="59" s="1"/>
  <c r="N155" i="38"/>
  <c r="H155" i="59" s="1"/>
  <c r="N59" i="38"/>
  <c r="H59" i="59" s="1"/>
  <c r="H98" i="59"/>
  <c r="H124" i="59"/>
  <c r="N150" i="38"/>
  <c r="H150" i="59" s="1"/>
  <c r="N132" i="38"/>
  <c r="H132" i="59" s="1"/>
  <c r="H43" i="59"/>
  <c r="N48" i="38"/>
  <c r="H48" i="59" s="1"/>
  <c r="N52" i="38"/>
  <c r="H52" i="59" s="1"/>
  <c r="H96" i="59"/>
  <c r="N53" i="38"/>
  <c r="H53" i="59" s="1"/>
  <c r="T140" i="38"/>
  <c r="N140" i="59" s="1"/>
  <c r="N98" i="59"/>
  <c r="N43" i="59"/>
  <c r="T132" i="38"/>
  <c r="N132" i="59" s="1"/>
  <c r="T61" i="38"/>
  <c r="N61" i="59" s="1"/>
  <c r="T53" i="38"/>
  <c r="T62" i="38"/>
  <c r="N62" i="59" s="1"/>
  <c r="T127" i="38"/>
  <c r="N127" i="59" s="1"/>
  <c r="N97" i="59"/>
  <c r="T59" i="38"/>
  <c r="N59" i="59" s="1"/>
  <c r="N96" i="59"/>
  <c r="T47" i="38"/>
  <c r="N47" i="59" s="1"/>
  <c r="T123" i="38"/>
  <c r="N123" i="59" s="1"/>
  <c r="T126" i="38"/>
  <c r="N126" i="59" s="1"/>
  <c r="T149" i="38"/>
  <c r="N149" i="59" s="1"/>
  <c r="T122" i="38"/>
  <c r="N122" i="59" s="1"/>
  <c r="T48" i="38"/>
  <c r="N48" i="59" s="1"/>
  <c r="T145" i="38"/>
  <c r="N145" i="59" s="1"/>
  <c r="T150" i="38"/>
  <c r="N150" i="59" s="1"/>
  <c r="T131" i="38"/>
  <c r="N131" i="59" s="1"/>
  <c r="T52" i="38"/>
  <c r="N52" i="59" s="1"/>
  <c r="T50" i="38"/>
  <c r="N50" i="59" s="1"/>
  <c r="T147" i="38"/>
  <c r="N147" i="59" s="1"/>
  <c r="T135" i="38"/>
  <c r="N135" i="59" s="1"/>
  <c r="T154" i="38"/>
  <c r="N154" i="59" s="1"/>
  <c r="T112" i="38"/>
  <c r="N112" i="59" s="1"/>
  <c r="T114" i="38"/>
  <c r="N114" i="59" s="1"/>
  <c r="T151" i="38"/>
  <c r="N151" i="59" s="1"/>
  <c r="T134" i="38"/>
  <c r="N134" i="59" s="1"/>
  <c r="T152" i="38"/>
  <c r="N152" i="59" s="1"/>
  <c r="T153" i="38"/>
  <c r="N153" i="59" s="1"/>
  <c r="T111" i="38"/>
  <c r="N111" i="59" s="1"/>
  <c r="T136" i="38"/>
  <c r="N136" i="59" s="1"/>
  <c r="T155" i="38"/>
  <c r="N155" i="59" s="1"/>
  <c r="T113" i="38"/>
  <c r="N113" i="59" s="1"/>
  <c r="T60" i="38"/>
  <c r="N60" i="59" s="1"/>
  <c r="N103" i="59"/>
  <c r="T144" i="38"/>
  <c r="N144" i="59" s="1"/>
  <c r="T130" i="38"/>
  <c r="N130" i="59" s="1"/>
  <c r="T125" i="38"/>
  <c r="N125" i="59" s="1"/>
  <c r="T58" i="38"/>
  <c r="N58" i="59" s="1"/>
  <c r="T124" i="38"/>
  <c r="N124" i="59" s="1"/>
  <c r="T146" i="38"/>
  <c r="N146" i="59" s="1"/>
  <c r="T129" i="38"/>
  <c r="N129" i="59" s="1"/>
  <c r="T104" i="38"/>
  <c r="N104" i="59" s="1"/>
  <c r="T133" i="38"/>
  <c r="N133" i="59" s="1"/>
  <c r="T107" i="38"/>
  <c r="N107" i="59" s="1"/>
  <c r="J103" i="59"/>
  <c r="P130" i="38"/>
  <c r="J130" i="59" s="1"/>
  <c r="J119" i="59"/>
  <c r="J123" i="59"/>
  <c r="P47" i="38"/>
  <c r="J47" i="59" s="1"/>
  <c r="P60" i="38"/>
  <c r="J60" i="59" s="1"/>
  <c r="J98" i="59"/>
  <c r="P147" i="38"/>
  <c r="J147" i="59" s="1"/>
  <c r="P133" i="38"/>
  <c r="J133" i="59" s="1"/>
  <c r="P107" i="38"/>
  <c r="J107" i="59" s="1"/>
  <c r="P153" i="38"/>
  <c r="J153" i="59" s="1"/>
  <c r="P154" i="38"/>
  <c r="J154" i="59" s="1"/>
  <c r="P155" i="38"/>
  <c r="J155" i="59" s="1"/>
  <c r="P136" i="38"/>
  <c r="J136" i="59" s="1"/>
  <c r="J43" i="59"/>
  <c r="P140" i="38"/>
  <c r="J140" i="59" s="1"/>
  <c r="P53" i="38"/>
  <c r="J53" i="59" s="1"/>
  <c r="P144" i="38"/>
  <c r="J144" i="59" s="1"/>
  <c r="P127" i="38"/>
  <c r="J127" i="59" s="1"/>
  <c r="P104" i="38"/>
  <c r="J104" i="59" s="1"/>
  <c r="P150" i="38"/>
  <c r="J150" i="59" s="1"/>
  <c r="P149" i="38"/>
  <c r="J149" i="59" s="1"/>
  <c r="P131" i="38"/>
  <c r="J131" i="59" s="1"/>
  <c r="J96" i="59"/>
  <c r="P145" i="38"/>
  <c r="J145" i="59" s="1"/>
  <c r="P146" i="38"/>
  <c r="J146" i="59" s="1"/>
  <c r="P151" i="38"/>
  <c r="J151" i="59" s="1"/>
  <c r="P152" i="38"/>
  <c r="J152" i="59" s="1"/>
  <c r="P111" i="38"/>
  <c r="J111" i="59" s="1"/>
  <c r="P112" i="38"/>
  <c r="J112" i="59" s="1"/>
  <c r="P113" i="38"/>
  <c r="J113" i="59" s="1"/>
  <c r="P134" i="38"/>
  <c r="J134" i="59" s="1"/>
  <c r="P135" i="38"/>
  <c r="J135" i="59" s="1"/>
  <c r="P114" i="38"/>
  <c r="J114" i="59" s="1"/>
  <c r="J97" i="59"/>
  <c r="P58" i="38"/>
  <c r="J58" i="59" s="1"/>
  <c r="P59" i="38"/>
  <c r="J59" i="59" s="1"/>
  <c r="P48" i="38"/>
  <c r="J48" i="59" s="1"/>
  <c r="J124" i="59"/>
  <c r="J126" i="59"/>
  <c r="J128" i="59"/>
  <c r="P129" i="38"/>
  <c r="J129" i="59" s="1"/>
  <c r="P52" i="38"/>
  <c r="J52" i="59" s="1"/>
  <c r="P50" i="38"/>
  <c r="J50" i="59" s="1"/>
  <c r="P61" i="38"/>
  <c r="J61" i="59" s="1"/>
  <c r="P132" i="38"/>
  <c r="J132" i="59" s="1"/>
  <c r="J125" i="59"/>
  <c r="J122" i="59"/>
  <c r="P62" i="38"/>
  <c r="J62" i="59" s="1"/>
  <c r="N81" i="38"/>
  <c r="H81" i="59" s="1"/>
  <c r="N78" i="38"/>
  <c r="H78" i="59" s="1"/>
  <c r="H83" i="59"/>
  <c r="N86" i="38"/>
  <c r="H86" i="59" s="1"/>
  <c r="N80" i="38"/>
  <c r="H80" i="59" s="1"/>
  <c r="N89" i="38"/>
  <c r="H89" i="59" s="1"/>
  <c r="N79" i="38"/>
  <c r="H79" i="59" s="1"/>
  <c r="N87" i="38"/>
  <c r="H87" i="59" s="1"/>
  <c r="N85" i="38"/>
  <c r="H85" i="59" s="1"/>
  <c r="N88" i="38"/>
  <c r="H88" i="59" s="1"/>
  <c r="N90" i="38"/>
  <c r="H90" i="59" s="1"/>
  <c r="P89" i="38"/>
  <c r="J89" i="59" s="1"/>
  <c r="P85" i="38"/>
  <c r="J85" i="59" s="1"/>
  <c r="P79" i="38"/>
  <c r="J79" i="59" s="1"/>
  <c r="P80" i="38"/>
  <c r="J80" i="59" s="1"/>
  <c r="J86" i="59"/>
  <c r="J83" i="59"/>
  <c r="P88" i="38"/>
  <c r="J88" i="59" s="1"/>
  <c r="P81" i="38"/>
  <c r="J81" i="59" s="1"/>
  <c r="P87" i="38"/>
  <c r="J87" i="59" s="1"/>
  <c r="P78" i="38"/>
  <c r="J78" i="59" s="1"/>
  <c r="P90" i="38"/>
  <c r="J90" i="59" s="1"/>
  <c r="R81" i="38"/>
  <c r="L81" i="59" s="1"/>
  <c r="R78" i="38"/>
  <c r="L78" i="59" s="1"/>
  <c r="R88" i="38"/>
  <c r="L88" i="59" s="1"/>
  <c r="R79" i="38"/>
  <c r="L79" i="59" s="1"/>
  <c r="R87" i="38"/>
  <c r="L87" i="59" s="1"/>
  <c r="L83" i="59"/>
  <c r="R90" i="38"/>
  <c r="L90" i="59" s="1"/>
  <c r="R85" i="38"/>
  <c r="L85" i="59" s="1"/>
  <c r="L86" i="59"/>
  <c r="R89" i="38"/>
  <c r="L89" i="59" s="1"/>
  <c r="R80" i="38"/>
  <c r="L80" i="59" s="1"/>
  <c r="T80" i="38"/>
  <c r="N80" i="59" s="1"/>
  <c r="T90" i="38"/>
  <c r="N90" i="59" s="1"/>
  <c r="T81" i="38"/>
  <c r="N81" i="59" s="1"/>
  <c r="T78" i="38"/>
  <c r="N78" i="59" s="1"/>
  <c r="T88" i="38"/>
  <c r="N88" i="59" s="1"/>
  <c r="N86" i="59"/>
  <c r="N83" i="59"/>
  <c r="T79" i="38"/>
  <c r="N79" i="59" s="1"/>
  <c r="T85" i="38"/>
  <c r="N85" i="59" s="1"/>
  <c r="T87" i="38"/>
  <c r="N87" i="59" s="1"/>
  <c r="T89" i="38"/>
  <c r="N89" i="59" s="1"/>
  <c r="H16" i="50"/>
  <c r="H143" i="50"/>
  <c r="M16" i="50"/>
  <c r="M111" i="50" s="1"/>
  <c r="S16" i="50"/>
  <c r="S111" i="50" s="1"/>
  <c r="C26" i="62"/>
  <c r="C28" i="62"/>
  <c r="E27" i="55"/>
  <c r="D26" i="62"/>
  <c r="C29" i="62"/>
  <c r="C27" i="62"/>
  <c r="C25" i="62"/>
  <c r="D30" i="62"/>
  <c r="D28" i="62"/>
  <c r="E26" i="62"/>
  <c r="E28" i="62"/>
  <c r="E30" i="62"/>
  <c r="D25" i="62"/>
  <c r="D27" i="62"/>
  <c r="D29" i="62"/>
  <c r="E29" i="62"/>
  <c r="E27" i="62"/>
  <c r="E31" i="62"/>
  <c r="P51" i="38" s="1"/>
  <c r="J51" i="59" s="1"/>
  <c r="E25" i="62"/>
  <c r="F30" i="62"/>
  <c r="G30" i="62"/>
  <c r="F28" i="62"/>
  <c r="G28" i="62"/>
  <c r="F26" i="62"/>
  <c r="G26" i="62"/>
  <c r="F25" i="62"/>
  <c r="G25" i="62"/>
  <c r="F27" i="62"/>
  <c r="G27" i="62"/>
  <c r="F29" i="62"/>
  <c r="G29" i="62"/>
  <c r="G130" i="40"/>
  <c r="G165" i="40"/>
  <c r="T32" i="50"/>
  <c r="K81" i="55"/>
  <c r="Y32" i="50"/>
  <c r="AA32" i="50" s="1"/>
  <c r="Y36" i="50" s="1"/>
  <c r="Y38" i="50" s="1"/>
  <c r="Y48" i="50" s="1"/>
  <c r="AA30" i="50"/>
  <c r="Y42" i="50" s="1"/>
  <c r="Y44" i="50" s="1"/>
  <c r="Y49" i="50" s="1"/>
  <c r="C163" i="40"/>
  <c r="C139" i="40"/>
  <c r="C151" i="40"/>
  <c r="G86" i="40"/>
  <c r="I125" i="40"/>
  <c r="C127" i="40"/>
  <c r="H32" i="50"/>
  <c r="J30" i="50"/>
  <c r="M32" i="50"/>
  <c r="G113" i="40"/>
  <c r="G150" i="40"/>
  <c r="C138" i="40"/>
  <c r="N9" i="38"/>
  <c r="G8" i="55" s="1"/>
  <c r="G46" i="55" s="1"/>
  <c r="C7" i="62"/>
  <c r="H111" i="50"/>
  <c r="B143" i="50"/>
  <c r="I82" i="55"/>
  <c r="M84" i="55"/>
  <c r="C123" i="40"/>
  <c r="AB98" i="50"/>
  <c r="Y110" i="50" s="1"/>
  <c r="Y112" i="50" s="1"/>
  <c r="Y117" i="50" s="1"/>
  <c r="V98" i="50"/>
  <c r="S110" i="50"/>
  <c r="AA66" i="50"/>
  <c r="Y78" i="50" s="1"/>
  <c r="Y80" i="50" s="1"/>
  <c r="Y85" i="50" s="1"/>
  <c r="O68" i="50"/>
  <c r="M72" i="50" s="1"/>
  <c r="J46" i="59"/>
  <c r="N46" i="59"/>
  <c r="H46" i="59"/>
  <c r="Y143" i="50"/>
  <c r="G156" i="40"/>
  <c r="M34" i="55"/>
  <c r="K39" i="55"/>
  <c r="I39" i="55"/>
  <c r="I41" i="55" s="1"/>
  <c r="G39" i="55"/>
  <c r="G41" i="55" s="1"/>
  <c r="J121" i="59"/>
  <c r="J120" i="59"/>
  <c r="F121" i="59"/>
  <c r="H120" i="59"/>
  <c r="T121" i="38"/>
  <c r="N121" i="59" s="1"/>
  <c r="T120" i="38"/>
  <c r="N120" i="59" s="1"/>
  <c r="R121" i="38"/>
  <c r="L121" i="59" s="1"/>
  <c r="R120" i="38"/>
  <c r="L120" i="59" s="1"/>
  <c r="M39" i="55"/>
  <c r="M41" i="55" s="1"/>
  <c r="K34" i="55"/>
  <c r="I34" i="55"/>
  <c r="I36" i="55" s="1"/>
  <c r="G34" i="55"/>
  <c r="G36" i="55" s="1"/>
  <c r="K155" i="40"/>
  <c r="I155" i="40"/>
  <c r="C162" i="40"/>
  <c r="I80" i="40"/>
  <c r="K80" i="40" s="1"/>
  <c r="M80" i="40" s="1"/>
  <c r="G134" i="40"/>
  <c r="G115" i="40"/>
  <c r="K150" i="40"/>
  <c r="C150" i="40"/>
  <c r="G82" i="40"/>
  <c r="G163" i="40"/>
  <c r="I85" i="40"/>
  <c r="K85" i="40" s="1"/>
  <c r="G139" i="40"/>
  <c r="C133" i="40"/>
  <c r="M95" i="40"/>
  <c r="M156" i="40" s="1"/>
  <c r="K156" i="40"/>
  <c r="G158" i="40"/>
  <c r="I151" i="40"/>
  <c r="I190" i="50" s="1"/>
  <c r="G151" i="40"/>
  <c r="C190" i="50" s="1"/>
  <c r="I129" i="40"/>
  <c r="G121" i="40"/>
  <c r="C221" i="50" s="1"/>
  <c r="I121" i="40"/>
  <c r="I221" i="50" s="1"/>
  <c r="M67" i="40"/>
  <c r="K121" i="40"/>
  <c r="N221" i="50" s="1"/>
  <c r="G40" i="55"/>
  <c r="K40" i="55"/>
  <c r="N174" i="38"/>
  <c r="I6" i="40"/>
  <c r="I61" i="40" s="1"/>
  <c r="F31" i="62"/>
  <c r="T206" i="50" s="1"/>
  <c r="V206" i="50" s="1"/>
  <c r="M103" i="40"/>
  <c r="G164" i="40"/>
  <c r="G124" i="40"/>
  <c r="I120" i="40"/>
  <c r="I189" i="50" s="1"/>
  <c r="O95" i="40"/>
  <c r="O156" i="40" s="1"/>
  <c r="H42" i="50"/>
  <c r="H44" i="50" s="1"/>
  <c r="H49" i="50" s="1"/>
  <c r="S143" i="50"/>
  <c r="G140" i="40"/>
  <c r="I86" i="40"/>
  <c r="I140" i="40" s="1"/>
  <c r="M143" i="50"/>
  <c r="G159" i="40"/>
  <c r="I164" i="40"/>
  <c r="I159" i="40"/>
  <c r="K120" i="40"/>
  <c r="I124" i="40"/>
  <c r="B43" i="63" l="1"/>
  <c r="B76" i="63" s="1"/>
  <c r="D148" i="59" s="1"/>
  <c r="B44" i="63"/>
  <c r="F15" i="63"/>
  <c r="E26" i="63"/>
  <c r="C40" i="63"/>
  <c r="E16" i="63"/>
  <c r="D27" i="63"/>
  <c r="D34" i="63" s="1"/>
  <c r="D39" i="63" s="1"/>
  <c r="I21" i="63"/>
  <c r="H32" i="63"/>
  <c r="Y50" i="50"/>
  <c r="T10" i="38" s="1"/>
  <c r="N10" i="59" s="1"/>
  <c r="D31" i="62"/>
  <c r="I206" i="50" s="1"/>
  <c r="K206" i="50" s="1"/>
  <c r="J66" i="50"/>
  <c r="H78" i="50" s="1"/>
  <c r="H80" i="50" s="1"/>
  <c r="H85" i="50" s="1"/>
  <c r="G70" i="55"/>
  <c r="N20" i="38" s="1"/>
  <c r="H20" i="59" s="1"/>
  <c r="K61" i="63"/>
  <c r="K62" i="63"/>
  <c r="K63" i="63"/>
  <c r="Q9" i="59"/>
  <c r="W39" i="59" s="1"/>
  <c r="N206" i="50"/>
  <c r="P206" i="50" s="1"/>
  <c r="M36" i="55"/>
  <c r="M43" i="55" s="1"/>
  <c r="T15" i="38" s="1"/>
  <c r="N15" i="59" s="1"/>
  <c r="U66" i="50"/>
  <c r="S78" i="50" s="1"/>
  <c r="S80" i="50" s="1"/>
  <c r="S85" i="50" s="1"/>
  <c r="G172" i="40"/>
  <c r="I111" i="40"/>
  <c r="I172" i="40" s="1"/>
  <c r="K35" i="55"/>
  <c r="M35" i="55"/>
  <c r="E35" i="55"/>
  <c r="M112" i="50"/>
  <c r="M117" i="50" s="1"/>
  <c r="M118" i="50" s="1"/>
  <c r="P12" i="38" s="1"/>
  <c r="J12" i="59" s="1"/>
  <c r="H22" i="63"/>
  <c r="G30" i="63"/>
  <c r="G32" i="63"/>
  <c r="J38" i="63"/>
  <c r="E73" i="35"/>
  <c r="E71" i="35"/>
  <c r="B60" i="35"/>
  <c r="B61" i="35" s="1"/>
  <c r="E72" i="35"/>
  <c r="I19" i="63"/>
  <c r="H30" i="63"/>
  <c r="F70" i="35"/>
  <c r="F73" i="35"/>
  <c r="F72" i="35"/>
  <c r="R45" i="38" s="1"/>
  <c r="L45" i="59" s="1"/>
  <c r="S112" i="50"/>
  <c r="S117" i="50" s="1"/>
  <c r="E70" i="55"/>
  <c r="L20" i="38" s="1"/>
  <c r="F20" i="59" s="1"/>
  <c r="I70" i="55"/>
  <c r="P20" i="38" s="1"/>
  <c r="J20" i="59" s="1"/>
  <c r="I69" i="55"/>
  <c r="G61" i="63"/>
  <c r="G62" i="63"/>
  <c r="G63" i="63"/>
  <c r="F38" i="63"/>
  <c r="F71" i="35"/>
  <c r="I134" i="40"/>
  <c r="K36" i="55"/>
  <c r="K41" i="55"/>
  <c r="D30" i="50"/>
  <c r="B42" i="50" s="1"/>
  <c r="B44" i="50" s="1"/>
  <c r="B49" i="50" s="1"/>
  <c r="B50" i="50" s="1"/>
  <c r="L10" i="38" s="1"/>
  <c r="F10" i="59" s="1"/>
  <c r="M70" i="55"/>
  <c r="T20" i="38" s="1"/>
  <c r="N20" i="59" s="1"/>
  <c r="C36" i="63"/>
  <c r="C45" i="63" s="1"/>
  <c r="C38" i="63"/>
  <c r="D62" i="63"/>
  <c r="D63" i="63"/>
  <c r="G38" i="63"/>
  <c r="H61" i="63"/>
  <c r="H62" i="63"/>
  <c r="H63" i="63"/>
  <c r="K38" i="63"/>
  <c r="L61" i="63"/>
  <c r="L62" i="63"/>
  <c r="L63" i="63"/>
  <c r="E82" i="55"/>
  <c r="E85" i="55" s="1"/>
  <c r="K83" i="55"/>
  <c r="K67" i="55"/>
  <c r="T128" i="38"/>
  <c r="N128" i="59" s="1"/>
  <c r="N138" i="59" s="1"/>
  <c r="G18" i="63"/>
  <c r="E28" i="63"/>
  <c r="I28" i="63"/>
  <c r="G31" i="63"/>
  <c r="K31" i="63"/>
  <c r="G70" i="35"/>
  <c r="D72" i="35"/>
  <c r="J32" i="50"/>
  <c r="H36" i="50" s="1"/>
  <c r="H38" i="50" s="1"/>
  <c r="H48" i="50" s="1"/>
  <c r="H50" i="50" s="1"/>
  <c r="N10" i="38" s="1"/>
  <c r="H10" i="59" s="1"/>
  <c r="G82" i="55"/>
  <c r="J68" i="50"/>
  <c r="H72" i="50" s="1"/>
  <c r="U30" i="50"/>
  <c r="U68" i="50"/>
  <c r="S72" i="50" s="1"/>
  <c r="S74" i="50" s="1"/>
  <c r="S84" i="50" s="1"/>
  <c r="S86" i="50" s="1"/>
  <c r="R11" i="38" s="1"/>
  <c r="L11" i="59" s="1"/>
  <c r="E98" i="50"/>
  <c r="B110" i="50" s="1"/>
  <c r="B112" i="50" s="1"/>
  <c r="B117" i="50" s="1"/>
  <c r="M74" i="50"/>
  <c r="M84" i="50" s="1"/>
  <c r="D28" i="63"/>
  <c r="D36" i="63" s="1"/>
  <c r="D46" i="63" s="1"/>
  <c r="H28" i="63"/>
  <c r="F31" i="63"/>
  <c r="J31" i="63"/>
  <c r="V130" i="50"/>
  <c r="S142" i="50" s="1"/>
  <c r="S144" i="50" s="1"/>
  <c r="S149" i="50" s="1"/>
  <c r="I139" i="40"/>
  <c r="K86" i="40"/>
  <c r="K140" i="40" s="1"/>
  <c r="I173" i="40"/>
  <c r="M223" i="50"/>
  <c r="P228" i="50" s="1"/>
  <c r="S207" i="50"/>
  <c r="V214" i="50" s="1"/>
  <c r="P130" i="50"/>
  <c r="M142" i="50" s="1"/>
  <c r="M144" i="50" s="1"/>
  <c r="M149" i="50" s="1"/>
  <c r="K132" i="50"/>
  <c r="H136" i="50" s="1"/>
  <c r="H138" i="50" s="1"/>
  <c r="H148" i="50" s="1"/>
  <c r="K130" i="50"/>
  <c r="H142" i="50" s="1"/>
  <c r="H144" i="50" s="1"/>
  <c r="H149" i="50" s="1"/>
  <c r="I119" i="40"/>
  <c r="E89" i="55"/>
  <c r="K134" i="40"/>
  <c r="M94" i="40"/>
  <c r="M155" i="40" s="1"/>
  <c r="M86" i="40"/>
  <c r="M140" i="40" s="1"/>
  <c r="K125" i="40"/>
  <c r="M207" i="50"/>
  <c r="P214" i="50" s="1"/>
  <c r="G16" i="55"/>
  <c r="G89" i="55"/>
  <c r="T45" i="38"/>
  <c r="N45" i="59" s="1"/>
  <c r="I132" i="40"/>
  <c r="I118" i="40"/>
  <c r="S191" i="50"/>
  <c r="V198" i="50" s="1"/>
  <c r="H191" i="50"/>
  <c r="K198" i="50" s="1"/>
  <c r="B207" i="50"/>
  <c r="E214" i="50" s="1"/>
  <c r="D23" i="63"/>
  <c r="E23" i="63"/>
  <c r="J157" i="38"/>
  <c r="L75" i="38"/>
  <c r="F75" i="59" s="1"/>
  <c r="G166" i="40"/>
  <c r="C170" i="40"/>
  <c r="R101" i="38"/>
  <c r="L101" i="59" s="1"/>
  <c r="L98" i="38"/>
  <c r="F98" i="59" s="1"/>
  <c r="L176" i="59"/>
  <c r="R95" i="38"/>
  <c r="L95" i="59" s="1"/>
  <c r="R105" i="38"/>
  <c r="L105" i="59" s="1"/>
  <c r="J64" i="38"/>
  <c r="L105" i="38"/>
  <c r="F105" i="59" s="1"/>
  <c r="L101" i="38"/>
  <c r="F101" i="59" s="1"/>
  <c r="G27" i="55"/>
  <c r="B191" i="50"/>
  <c r="E198" i="50" s="1"/>
  <c r="K221" i="50"/>
  <c r="R75" i="38"/>
  <c r="L75" i="59" s="1"/>
  <c r="L95" i="38"/>
  <c r="F95" i="59" s="1"/>
  <c r="P221" i="50"/>
  <c r="K190" i="50"/>
  <c r="AB130" i="50"/>
  <c r="Y168" i="50" s="1"/>
  <c r="Y170" i="50" s="1"/>
  <c r="T16" i="38" s="1"/>
  <c r="N16" i="59" s="1"/>
  <c r="P132" i="50"/>
  <c r="M136" i="50" s="1"/>
  <c r="M138" i="50" s="1"/>
  <c r="M148" i="50" s="1"/>
  <c r="I94" i="55"/>
  <c r="I43" i="55"/>
  <c r="P15" i="38" s="1"/>
  <c r="J15" i="59" s="1"/>
  <c r="G94" i="55"/>
  <c r="E190" i="50"/>
  <c r="E132" i="50"/>
  <c r="B136" i="50" s="1"/>
  <c r="B138" i="50" s="1"/>
  <c r="B148" i="50" s="1"/>
  <c r="G43" i="55"/>
  <c r="N15" i="38" s="1"/>
  <c r="H15" i="59" s="1"/>
  <c r="I110" i="40"/>
  <c r="I109" i="40"/>
  <c r="G170" i="40"/>
  <c r="M102" i="40"/>
  <c r="M163" i="40" s="1"/>
  <c r="I163" i="40"/>
  <c r="C165" i="40"/>
  <c r="G161" i="40"/>
  <c r="G132" i="40"/>
  <c r="G127" i="40"/>
  <c r="I127" i="40"/>
  <c r="G119" i="40"/>
  <c r="T175" i="38"/>
  <c r="P175" i="38"/>
  <c r="H207" i="50"/>
  <c r="K214" i="50" s="1"/>
  <c r="N175" i="38"/>
  <c r="N189" i="50"/>
  <c r="P189" i="50" s="1"/>
  <c r="M164" i="40"/>
  <c r="O103" i="40"/>
  <c r="O164" i="40" s="1"/>
  <c r="K189" i="50"/>
  <c r="I191" i="50"/>
  <c r="M134" i="40"/>
  <c r="O80" i="40"/>
  <c r="O134" i="40" s="1"/>
  <c r="K119" i="40"/>
  <c r="G135" i="40"/>
  <c r="I81" i="40"/>
  <c r="I84" i="40"/>
  <c r="G138" i="40"/>
  <c r="C125" i="40"/>
  <c r="M90" i="40"/>
  <c r="K151" i="40"/>
  <c r="N190" i="50" s="1"/>
  <c r="P190" i="50" s="1"/>
  <c r="G176" i="40"/>
  <c r="I115" i="40"/>
  <c r="I113" i="40"/>
  <c r="G174" i="40"/>
  <c r="M121" i="40"/>
  <c r="T221" i="50" s="1"/>
  <c r="O67" i="40"/>
  <c r="O121" i="40" s="1"/>
  <c r="Z221" i="50" s="1"/>
  <c r="E221" i="50"/>
  <c r="O102" i="40"/>
  <c r="O163" i="40" s="1"/>
  <c r="M85" i="40"/>
  <c r="K139" i="40"/>
  <c r="G61" i="40"/>
  <c r="G118" i="40"/>
  <c r="A9" i="50"/>
  <c r="A21" i="50"/>
  <c r="I79" i="40"/>
  <c r="G133" i="40"/>
  <c r="C161" i="40"/>
  <c r="G153" i="40"/>
  <c r="C152" i="40"/>
  <c r="G87" i="40"/>
  <c r="I108" i="40"/>
  <c r="G169" i="40"/>
  <c r="I114" i="40"/>
  <c r="G175" i="40"/>
  <c r="K164" i="40"/>
  <c r="C31" i="62"/>
  <c r="H74" i="50"/>
  <c r="H84" i="50" s="1"/>
  <c r="H86" i="50" s="1"/>
  <c r="N11" i="38" s="1"/>
  <c r="H11" i="59" s="1"/>
  <c r="E181" i="40"/>
  <c r="E188" i="40" s="1"/>
  <c r="S106" i="50"/>
  <c r="S116" i="50" s="1"/>
  <c r="S118" i="50" s="1"/>
  <c r="R12" i="38" s="1"/>
  <c r="L12" i="59" s="1"/>
  <c r="M71" i="40"/>
  <c r="C135" i="40"/>
  <c r="G136" i="40"/>
  <c r="I82" i="40"/>
  <c r="G168" i="40"/>
  <c r="C189" i="50"/>
  <c r="C191" i="50" s="1"/>
  <c r="K159" i="40"/>
  <c r="F120" i="59"/>
  <c r="F138" i="59" s="1"/>
  <c r="L138" i="38"/>
  <c r="G137" i="40"/>
  <c r="I83" i="40"/>
  <c r="S42" i="50"/>
  <c r="S44" i="50" s="1"/>
  <c r="S49" i="50" s="1"/>
  <c r="Y142" i="50"/>
  <c r="Y144" i="50" s="1"/>
  <c r="Y149" i="50" s="1"/>
  <c r="Y156" i="50"/>
  <c r="E100" i="50"/>
  <c r="B104" i="50" s="1"/>
  <c r="B106" i="50" s="1"/>
  <c r="B116" i="50" s="1"/>
  <c r="R51" i="38"/>
  <c r="L51" i="59" s="1"/>
  <c r="V132" i="50"/>
  <c r="S136" i="50" s="1"/>
  <c r="S138" i="50" s="1"/>
  <c r="S148" i="50" s="1"/>
  <c r="H106" i="50"/>
  <c r="H116" i="50" s="1"/>
  <c r="H118" i="50" s="1"/>
  <c r="N12" i="38" s="1"/>
  <c r="H12" i="59" s="1"/>
  <c r="C156" i="40"/>
  <c r="O66" i="50"/>
  <c r="M78" i="50" s="1"/>
  <c r="M80" i="50" s="1"/>
  <c r="M85" i="50" s="1"/>
  <c r="M86" i="50" s="1"/>
  <c r="P11" i="38" s="1"/>
  <c r="J11" i="59" s="1"/>
  <c r="I81" i="55"/>
  <c r="I85" i="55" s="1"/>
  <c r="E130" i="50"/>
  <c r="B142" i="50" s="1"/>
  <c r="B144" i="50" s="1"/>
  <c r="B149" i="50" s="1"/>
  <c r="E91" i="55"/>
  <c r="E94" i="55" s="1"/>
  <c r="E39" i="55" s="1"/>
  <c r="E41" i="55" s="1"/>
  <c r="H112" i="50"/>
  <c r="H117" i="50" s="1"/>
  <c r="M112" i="40"/>
  <c r="K43" i="55"/>
  <c r="R15" i="38" s="1"/>
  <c r="L15" i="59" s="1"/>
  <c r="K94" i="55"/>
  <c r="O30" i="50"/>
  <c r="N32" i="50"/>
  <c r="O32" i="50" s="1"/>
  <c r="M36" i="50" s="1"/>
  <c r="M38" i="50" s="1"/>
  <c r="M48" i="50" s="1"/>
  <c r="G75" i="55"/>
  <c r="G33" i="55"/>
  <c r="H9" i="59"/>
  <c r="H175" i="59" s="1"/>
  <c r="G7" i="50"/>
  <c r="G21" i="50" s="1"/>
  <c r="P9" i="38"/>
  <c r="D7" i="62"/>
  <c r="I130" i="40"/>
  <c r="K85" i="55"/>
  <c r="M85" i="55"/>
  <c r="AB100" i="50"/>
  <c r="Y104" i="50" s="1"/>
  <c r="I150" i="40"/>
  <c r="D66" i="50"/>
  <c r="C122" i="40"/>
  <c r="C130" i="40" s="1"/>
  <c r="G31" i="62"/>
  <c r="G80" i="55"/>
  <c r="D68" i="50"/>
  <c r="B72" i="50" s="1"/>
  <c r="B74" i="50" s="1"/>
  <c r="B84" i="50" s="1"/>
  <c r="U32" i="50"/>
  <c r="S36" i="50" s="1"/>
  <c r="S38" i="50" s="1"/>
  <c r="S48" i="50" s="1"/>
  <c r="AA68" i="50"/>
  <c r="Y72" i="50" s="1"/>
  <c r="Y74" i="50" s="1"/>
  <c r="Y84" i="50" s="1"/>
  <c r="Y86" i="50" s="1"/>
  <c r="T11" i="38" s="1"/>
  <c r="N11" i="59" s="1"/>
  <c r="AB132" i="50"/>
  <c r="Y136" i="50" s="1"/>
  <c r="Y138" i="50" s="1"/>
  <c r="Y148" i="50" s="1"/>
  <c r="K70" i="55"/>
  <c r="R20" i="38" s="1"/>
  <c r="L20" i="59" s="1"/>
  <c r="D64" i="59"/>
  <c r="D157" i="59"/>
  <c r="M90" i="55"/>
  <c r="M94" i="55" s="1"/>
  <c r="F176" i="59"/>
  <c r="C159" i="40"/>
  <c r="Y105" i="50"/>
  <c r="Y207" i="50"/>
  <c r="AB214" i="50" s="1"/>
  <c r="C157" i="40"/>
  <c r="M191" i="50"/>
  <c r="P198" i="50" s="1"/>
  <c r="Y191" i="50"/>
  <c r="AB198" i="50" s="1"/>
  <c r="N53" i="59"/>
  <c r="H143" i="59"/>
  <c r="N157" i="38"/>
  <c r="L97" i="59"/>
  <c r="L119" i="59"/>
  <c r="R138" i="38"/>
  <c r="D35" i="59"/>
  <c r="T138" i="38"/>
  <c r="N138" i="38"/>
  <c r="H121" i="59"/>
  <c r="F46" i="59"/>
  <c r="P138" i="38"/>
  <c r="P157" i="38"/>
  <c r="J143" i="59"/>
  <c r="D116" i="59"/>
  <c r="J138" i="59"/>
  <c r="E33" i="55"/>
  <c r="E46" i="55"/>
  <c r="E75" i="55"/>
  <c r="D138" i="59"/>
  <c r="D43" i="63" l="1"/>
  <c r="D76" i="63" s="1"/>
  <c r="H148" i="59" s="1"/>
  <c r="D40" i="63"/>
  <c r="D44" i="63"/>
  <c r="D45" i="63"/>
  <c r="J19" i="63"/>
  <c r="I30" i="63"/>
  <c r="I22" i="63"/>
  <c r="H33" i="63"/>
  <c r="F26" i="63"/>
  <c r="G15" i="63"/>
  <c r="M97" i="55"/>
  <c r="N178" i="59" s="1"/>
  <c r="Z53" i="59" s="1"/>
  <c r="G85" i="55"/>
  <c r="J21" i="63"/>
  <c r="I32" i="63"/>
  <c r="N51" i="38"/>
  <c r="H51" i="59" s="1"/>
  <c r="S50" i="50"/>
  <c r="R10" i="38" s="1"/>
  <c r="L10" i="59" s="1"/>
  <c r="Y106" i="50"/>
  <c r="Y116" i="50" s="1"/>
  <c r="Y118" i="50" s="1"/>
  <c r="T12" i="38" s="1"/>
  <c r="N12" i="59" s="1"/>
  <c r="B118" i="50"/>
  <c r="L12" i="38" s="1"/>
  <c r="F12" i="59" s="1"/>
  <c r="K111" i="40"/>
  <c r="F16" i="63"/>
  <c r="E27" i="63"/>
  <c r="E34" i="63"/>
  <c r="E39" i="63" s="1"/>
  <c r="E36" i="63"/>
  <c r="E47" i="63" s="1"/>
  <c r="G29" i="63"/>
  <c r="H18" i="63"/>
  <c r="C43" i="63"/>
  <c r="C76" i="63" s="1"/>
  <c r="F148" i="59" s="1"/>
  <c r="C44" i="63"/>
  <c r="S156" i="50"/>
  <c r="S168" i="50"/>
  <c r="S170" i="50" s="1"/>
  <c r="R16" i="38" s="1"/>
  <c r="L16" i="59" s="1"/>
  <c r="M150" i="50"/>
  <c r="P13" i="38" s="1"/>
  <c r="J13" i="59" s="1"/>
  <c r="H150" i="50"/>
  <c r="N13" i="38" s="1"/>
  <c r="H13" i="59" s="1"/>
  <c r="H156" i="50"/>
  <c r="H168" i="50"/>
  <c r="H170" i="50" s="1"/>
  <c r="N16" i="38" s="1"/>
  <c r="H16" i="59" s="1"/>
  <c r="O86" i="40"/>
  <c r="O140" i="40" s="1"/>
  <c r="O94" i="40"/>
  <c r="O155" i="40" s="1"/>
  <c r="K129" i="40"/>
  <c r="M75" i="40"/>
  <c r="M97" i="40"/>
  <c r="K158" i="40"/>
  <c r="I97" i="55"/>
  <c r="I28" i="55" s="1"/>
  <c r="I30" i="55" s="1"/>
  <c r="P19" i="38" s="1"/>
  <c r="J19" i="59" s="1"/>
  <c r="K97" i="55"/>
  <c r="K17" i="55" s="1"/>
  <c r="K19" i="55" s="1"/>
  <c r="K20" i="55" s="1"/>
  <c r="K22" i="55" s="1"/>
  <c r="K23" i="55" s="1"/>
  <c r="K24" i="55" s="1"/>
  <c r="R18" i="38" s="1"/>
  <c r="L18" i="59" s="1"/>
  <c r="M132" i="40"/>
  <c r="C187" i="40"/>
  <c r="G162" i="40"/>
  <c r="E189" i="50"/>
  <c r="E191" i="50" s="1"/>
  <c r="B197" i="50" s="1"/>
  <c r="F23" i="63"/>
  <c r="I166" i="40"/>
  <c r="G167" i="40"/>
  <c r="N75" i="38"/>
  <c r="H75" i="59" s="1"/>
  <c r="N105" i="38"/>
  <c r="H105" i="59" s="1"/>
  <c r="N101" i="38"/>
  <c r="H101" i="59" s="1"/>
  <c r="N84" i="38"/>
  <c r="H84" i="59" s="1"/>
  <c r="N95" i="38"/>
  <c r="H95" i="59" s="1"/>
  <c r="P101" i="38"/>
  <c r="J101" i="59" s="1"/>
  <c r="P95" i="38"/>
  <c r="J95" i="59" s="1"/>
  <c r="P75" i="38"/>
  <c r="J75" i="59" s="1"/>
  <c r="P105" i="38"/>
  <c r="J105" i="59" s="1"/>
  <c r="P84" i="38"/>
  <c r="J84" i="59" s="1"/>
  <c r="T105" i="38"/>
  <c r="N105" i="59" s="1"/>
  <c r="T95" i="38"/>
  <c r="N95" i="59" s="1"/>
  <c r="T101" i="38"/>
  <c r="N101" i="59" s="1"/>
  <c r="T84" i="38"/>
  <c r="N84" i="59" s="1"/>
  <c r="T75" i="38"/>
  <c r="N75" i="59" s="1"/>
  <c r="K191" i="50"/>
  <c r="H197" i="50" s="1"/>
  <c r="K28" i="55"/>
  <c r="K30" i="55" s="1"/>
  <c r="R19" i="38" s="1"/>
  <c r="L19" i="59" s="1"/>
  <c r="G97" i="55"/>
  <c r="G17" i="55" s="1"/>
  <c r="G19" i="55" s="1"/>
  <c r="G20" i="55" s="1"/>
  <c r="G22" i="55" s="1"/>
  <c r="G23" i="55" s="1"/>
  <c r="G24" i="55" s="1"/>
  <c r="N18" i="38" s="1"/>
  <c r="H18" i="59" s="1"/>
  <c r="B150" i="50"/>
  <c r="L13" i="38" s="1"/>
  <c r="F13" i="59" s="1"/>
  <c r="I171" i="40"/>
  <c r="K110" i="40"/>
  <c r="I170" i="40"/>
  <c r="K109" i="40"/>
  <c r="I161" i="40"/>
  <c r="G160" i="40"/>
  <c r="G122" i="40"/>
  <c r="O66" i="40"/>
  <c r="O120" i="40" s="1"/>
  <c r="Z189" i="50" s="1"/>
  <c r="AB189" i="50" s="1"/>
  <c r="M120" i="40"/>
  <c r="T189" i="50" s="1"/>
  <c r="V189" i="50" s="1"/>
  <c r="K130" i="40"/>
  <c r="M76" i="40"/>
  <c r="G154" i="40"/>
  <c r="I165" i="40"/>
  <c r="K82" i="40"/>
  <c r="I136" i="40"/>
  <c r="I169" i="40"/>
  <c r="K108" i="40"/>
  <c r="K79" i="40"/>
  <c r="I133" i="40"/>
  <c r="K84" i="40"/>
  <c r="I138" i="40"/>
  <c r="R9" i="59"/>
  <c r="X39" i="59" s="1"/>
  <c r="P174" i="38"/>
  <c r="E7" i="62"/>
  <c r="R9" i="38"/>
  <c r="L7" i="50"/>
  <c r="K6" i="40"/>
  <c r="I8" i="55"/>
  <c r="J9" i="59"/>
  <c r="J175" i="59" s="1"/>
  <c r="O112" i="40"/>
  <c r="O173" i="40" s="1"/>
  <c r="M173" i="40"/>
  <c r="G152" i="40"/>
  <c r="E199" i="40"/>
  <c r="J73" i="38" s="1"/>
  <c r="D73" i="59" s="1"/>
  <c r="E189" i="40"/>
  <c r="E203" i="40"/>
  <c r="J72" i="38" s="1"/>
  <c r="D72" i="59" s="1"/>
  <c r="M119" i="40"/>
  <c r="O65" i="40"/>
  <c r="O119" i="40" s="1"/>
  <c r="B168" i="50"/>
  <c r="B170" i="50" s="1"/>
  <c r="L16" i="38" s="1"/>
  <c r="F16" i="59" s="1"/>
  <c r="B156" i="50"/>
  <c r="B78" i="50"/>
  <c r="B80" i="50" s="1"/>
  <c r="B85" i="50" s="1"/>
  <c r="B86" i="50" s="1"/>
  <c r="L11" i="38" s="1"/>
  <c r="F11" i="59" s="1"/>
  <c r="M124" i="40"/>
  <c r="O70" i="40"/>
  <c r="O124" i="40" s="1"/>
  <c r="O98" i="40"/>
  <c r="O159" i="40" s="1"/>
  <c r="M159" i="40"/>
  <c r="K127" i="40"/>
  <c r="K114" i="40"/>
  <c r="I175" i="40"/>
  <c r="G157" i="40"/>
  <c r="C205" i="50" s="1"/>
  <c r="E205" i="50" s="1"/>
  <c r="V221" i="50"/>
  <c r="I174" i="40"/>
  <c r="K113" i="40"/>
  <c r="O90" i="40"/>
  <c r="O151" i="40" s="1"/>
  <c r="Z190" i="50" s="1"/>
  <c r="M151" i="40"/>
  <c r="T190" i="50" s="1"/>
  <c r="G9" i="50"/>
  <c r="P191" i="50"/>
  <c r="M197" i="50" s="1"/>
  <c r="Y150" i="50"/>
  <c r="T13" i="38" s="1"/>
  <c r="N13" i="59" s="1"/>
  <c r="S150" i="50"/>
  <c r="R13" i="38" s="1"/>
  <c r="L13" i="59" s="1"/>
  <c r="Z206" i="50"/>
  <c r="AB206" i="50" s="1"/>
  <c r="T51" i="38"/>
  <c r="I128" i="40"/>
  <c r="I168" i="40"/>
  <c r="G131" i="40"/>
  <c r="M125" i="40"/>
  <c r="O71" i="40"/>
  <c r="O125" i="40" s="1"/>
  <c r="I153" i="40"/>
  <c r="M139" i="40"/>
  <c r="O85" i="40"/>
  <c r="O139" i="40" s="1"/>
  <c r="I160" i="40"/>
  <c r="G126" i="40"/>
  <c r="K83" i="40"/>
  <c r="I137" i="40"/>
  <c r="K115" i="40"/>
  <c r="I176" i="40"/>
  <c r="M168" i="50"/>
  <c r="M170" i="50" s="1"/>
  <c r="P16" i="38" s="1"/>
  <c r="J16" i="59" s="1"/>
  <c r="M156" i="50"/>
  <c r="M42" i="50"/>
  <c r="M44" i="50" s="1"/>
  <c r="M49" i="50" s="1"/>
  <c r="M50" i="50" s="1"/>
  <c r="P10" i="38" s="1"/>
  <c r="J10" i="59" s="1"/>
  <c r="O89" i="40"/>
  <c r="O150" i="40" s="1"/>
  <c r="M150" i="40"/>
  <c r="C206" i="50"/>
  <c r="E206" i="50" s="1"/>
  <c r="L51" i="38"/>
  <c r="I87" i="40"/>
  <c r="G141" i="40"/>
  <c r="AB221" i="50"/>
  <c r="G123" i="40"/>
  <c r="I135" i="40"/>
  <c r="K81" i="40"/>
  <c r="N191" i="50"/>
  <c r="L138" i="59"/>
  <c r="M17" i="55"/>
  <c r="M19" i="55" s="1"/>
  <c r="M20" i="55" s="1"/>
  <c r="M22" i="55" s="1"/>
  <c r="M23" i="55" s="1"/>
  <c r="M24" i="55" s="1"/>
  <c r="T18" i="38" s="1"/>
  <c r="N18" i="59" s="1"/>
  <c r="H138" i="59"/>
  <c r="E97" i="55"/>
  <c r="E34" i="55"/>
  <c r="E36" i="55" s="1"/>
  <c r="E43" i="55" s="1"/>
  <c r="L15" i="38" s="1"/>
  <c r="H157" i="59"/>
  <c r="M28" i="55" l="1"/>
  <c r="M30" i="55" s="1"/>
  <c r="T19" i="38" s="1"/>
  <c r="N19" i="59" s="1"/>
  <c r="T177" i="38"/>
  <c r="T41" i="38" s="1"/>
  <c r="N41" i="59" s="1"/>
  <c r="Z41" i="59" s="1"/>
  <c r="M9" i="55"/>
  <c r="M11" i="55" s="1"/>
  <c r="M13" i="55" s="1"/>
  <c r="T17" i="38" s="1"/>
  <c r="G16" i="63"/>
  <c r="F27" i="63"/>
  <c r="K172" i="40"/>
  <c r="M111" i="40"/>
  <c r="J22" i="63"/>
  <c r="I33" i="63"/>
  <c r="E46" i="63"/>
  <c r="E45" i="63"/>
  <c r="E43" i="63"/>
  <c r="E76" i="63" s="1"/>
  <c r="J148" i="59" s="1"/>
  <c r="J157" i="59" s="1"/>
  <c r="E40" i="63"/>
  <c r="E44" i="63"/>
  <c r="G26" i="63"/>
  <c r="H15" i="63"/>
  <c r="I18" i="63"/>
  <c r="H29" i="63"/>
  <c r="K21" i="63"/>
  <c r="J32" i="63"/>
  <c r="F34" i="63"/>
  <c r="F39" i="63" s="1"/>
  <c r="K19" i="63"/>
  <c r="J30" i="63"/>
  <c r="I17" i="55"/>
  <c r="I19" i="55" s="1"/>
  <c r="I20" i="55" s="1"/>
  <c r="I22" i="55" s="1"/>
  <c r="I23" i="55" s="1"/>
  <c r="I24" i="55" s="1"/>
  <c r="P18" i="38" s="1"/>
  <c r="J18" i="59" s="1"/>
  <c r="H178" i="59"/>
  <c r="W143" i="59" s="1"/>
  <c r="N177" i="38"/>
  <c r="N42" i="38" s="1"/>
  <c r="H42" i="59" s="1"/>
  <c r="G9" i="55"/>
  <c r="G11" i="55" s="1"/>
  <c r="G13" i="55" s="1"/>
  <c r="N17" i="38" s="1"/>
  <c r="H17" i="59" s="1"/>
  <c r="O97" i="40"/>
  <c r="O158" i="40" s="1"/>
  <c r="M158" i="40"/>
  <c r="M129" i="40"/>
  <c r="O75" i="40"/>
  <c r="O129" i="40" s="1"/>
  <c r="J178" i="59"/>
  <c r="X143" i="59" s="1"/>
  <c r="I9" i="55"/>
  <c r="I11" i="55" s="1"/>
  <c r="I13" i="55" s="1"/>
  <c r="P17" i="38" s="1"/>
  <c r="J17" i="59" s="1"/>
  <c r="R177" i="38"/>
  <c r="L178" i="59"/>
  <c r="K9" i="55"/>
  <c r="K11" i="55" s="1"/>
  <c r="K13" i="55" s="1"/>
  <c r="R17" i="38" s="1"/>
  <c r="L17" i="59" s="1"/>
  <c r="P177" i="38"/>
  <c r="P49" i="38" s="1"/>
  <c r="J49" i="59" s="1"/>
  <c r="G28" i="55"/>
  <c r="G30" i="55" s="1"/>
  <c r="N19" i="38" s="1"/>
  <c r="H19" i="59" s="1"/>
  <c r="O78" i="40"/>
  <c r="O132" i="40" s="1"/>
  <c r="K132" i="40"/>
  <c r="I162" i="40"/>
  <c r="K166" i="40"/>
  <c r="I167" i="40"/>
  <c r="T42" i="38"/>
  <c r="N42" i="59" s="1"/>
  <c r="Z42" i="59" s="1"/>
  <c r="T44" i="38"/>
  <c r="N44" i="59" s="1"/>
  <c r="Z44" i="59" s="1"/>
  <c r="T100" i="38"/>
  <c r="N100" i="59" s="1"/>
  <c r="Z100" i="59" s="1"/>
  <c r="T102" i="38"/>
  <c r="N102" i="59" s="1"/>
  <c r="Z102" i="59" s="1"/>
  <c r="T49" i="38"/>
  <c r="N49" i="59" s="1"/>
  <c r="Z49" i="59" s="1"/>
  <c r="T99" i="38"/>
  <c r="N99" i="59" s="1"/>
  <c r="Z99" i="59" s="1"/>
  <c r="E197" i="50"/>
  <c r="B198" i="50" s="1"/>
  <c r="C236" i="50" s="1"/>
  <c r="K197" i="50"/>
  <c r="H198" i="50" s="1"/>
  <c r="I236" i="50" s="1"/>
  <c r="P197" i="50"/>
  <c r="M198" i="50" s="1"/>
  <c r="N236" i="50" s="1"/>
  <c r="K171" i="40"/>
  <c r="M110" i="40"/>
  <c r="K170" i="40"/>
  <c r="M109" i="40"/>
  <c r="I122" i="40"/>
  <c r="I141" i="40"/>
  <c r="K87" i="40"/>
  <c r="K168" i="40"/>
  <c r="N51" i="59"/>
  <c r="K174" i="40"/>
  <c r="M113" i="40"/>
  <c r="O73" i="40"/>
  <c r="O127" i="40" s="1"/>
  <c r="M127" i="40"/>
  <c r="K118" i="40"/>
  <c r="K61" i="40"/>
  <c r="I154" i="40"/>
  <c r="G184" i="40"/>
  <c r="G142" i="40"/>
  <c r="C204" i="50"/>
  <c r="I126" i="40"/>
  <c r="K160" i="40"/>
  <c r="K128" i="40"/>
  <c r="M74" i="40"/>
  <c r="AB190" i="50"/>
  <c r="AB191" i="50" s="1"/>
  <c r="Z191" i="50"/>
  <c r="K175" i="40"/>
  <c r="M114" i="40"/>
  <c r="I152" i="40"/>
  <c r="I46" i="55"/>
  <c r="I75" i="55"/>
  <c r="I89" i="55"/>
  <c r="I33" i="55"/>
  <c r="I16" i="55"/>
  <c r="I27" i="55"/>
  <c r="K138" i="40"/>
  <c r="M84" i="40"/>
  <c r="M104" i="40"/>
  <c r="K165" i="40"/>
  <c r="M92" i="40"/>
  <c r="K153" i="40"/>
  <c r="I131" i="40"/>
  <c r="V190" i="50"/>
  <c r="V191" i="50" s="1"/>
  <c r="T191" i="50"/>
  <c r="J69" i="38"/>
  <c r="E201" i="40"/>
  <c r="J74" i="38" s="1"/>
  <c r="D74" i="59" s="1"/>
  <c r="C222" i="50"/>
  <c r="G181" i="40"/>
  <c r="G188" i="40" s="1"/>
  <c r="T9" i="38"/>
  <c r="S9" i="59"/>
  <c r="Y39" i="59" s="1"/>
  <c r="F7" i="62"/>
  <c r="M6" i="40"/>
  <c r="L9" i="59"/>
  <c r="L175" i="59" s="1"/>
  <c r="R174" i="38"/>
  <c r="R7" i="50"/>
  <c r="K8" i="55"/>
  <c r="M108" i="40"/>
  <c r="K169" i="40"/>
  <c r="M130" i="40"/>
  <c r="O76" i="40"/>
  <c r="O130" i="40" s="1"/>
  <c r="I123" i="40"/>
  <c r="M81" i="40"/>
  <c r="K135" i="40"/>
  <c r="F51" i="59"/>
  <c r="M115" i="40"/>
  <c r="K176" i="40"/>
  <c r="M83" i="40"/>
  <c r="K137" i="40"/>
  <c r="I157" i="40"/>
  <c r="I205" i="50" s="1"/>
  <c r="K205" i="50" s="1"/>
  <c r="L9" i="50"/>
  <c r="L21" i="50"/>
  <c r="K133" i="40"/>
  <c r="M79" i="40"/>
  <c r="M82" i="40"/>
  <c r="K136" i="40"/>
  <c r="F15" i="59"/>
  <c r="N17" i="59"/>
  <c r="Z121" i="59"/>
  <c r="Z81" i="59"/>
  <c r="Z146" i="59"/>
  <c r="Z150" i="59"/>
  <c r="Z46" i="59"/>
  <c r="Z45" i="59"/>
  <c r="Z112" i="59"/>
  <c r="Z79" i="59"/>
  <c r="Z86" i="59"/>
  <c r="Z55" i="59"/>
  <c r="Z147" i="59"/>
  <c r="Z123" i="59"/>
  <c r="Z85" i="59"/>
  <c r="Z98" i="59"/>
  <c r="Z153" i="59"/>
  <c r="Z54" i="59"/>
  <c r="Z51" i="59"/>
  <c r="Z129" i="59"/>
  <c r="Z60" i="59"/>
  <c r="Z62" i="59"/>
  <c r="Z135" i="59"/>
  <c r="Z97" i="59"/>
  <c r="Z104" i="59"/>
  <c r="Z127" i="59"/>
  <c r="Z114" i="59"/>
  <c r="Z122" i="59"/>
  <c r="Z132" i="59"/>
  <c r="Z136" i="59"/>
  <c r="Z110" i="59"/>
  <c r="Z57" i="59"/>
  <c r="Z84" i="59"/>
  <c r="Z103" i="59"/>
  <c r="Z96" i="59"/>
  <c r="Z58" i="59"/>
  <c r="Z145" i="59"/>
  <c r="Z109" i="59"/>
  <c r="Z87" i="59"/>
  <c r="Z95" i="59"/>
  <c r="Z80" i="59"/>
  <c r="Z48" i="59"/>
  <c r="Z130" i="59"/>
  <c r="Z113" i="59"/>
  <c r="Z52" i="59"/>
  <c r="Z152" i="59"/>
  <c r="Z124" i="59"/>
  <c r="Z59" i="59"/>
  <c r="Z90" i="59"/>
  <c r="Z125" i="59"/>
  <c r="Z140" i="59"/>
  <c r="Z144" i="59"/>
  <c r="Z78" i="59"/>
  <c r="Z155" i="59"/>
  <c r="Z154" i="59"/>
  <c r="Z75" i="59"/>
  <c r="Z50" i="59"/>
  <c r="Z88" i="59"/>
  <c r="Z133" i="59"/>
  <c r="Z131" i="59"/>
  <c r="Z108" i="59"/>
  <c r="Z120" i="59"/>
  <c r="Z111" i="59"/>
  <c r="Z61" i="59"/>
  <c r="Z43" i="59"/>
  <c r="Z56" i="59"/>
  <c r="Z47" i="59"/>
  <c r="Z83" i="59"/>
  <c r="Z101" i="59"/>
  <c r="Z119" i="59"/>
  <c r="Z143" i="59"/>
  <c r="Z126" i="59"/>
  <c r="Z89" i="59"/>
  <c r="Z149" i="59"/>
  <c r="Z107" i="59"/>
  <c r="Z128" i="59"/>
  <c r="Z105" i="59"/>
  <c r="Z134" i="59"/>
  <c r="Z82" i="59"/>
  <c r="Z151" i="59"/>
  <c r="E9" i="55"/>
  <c r="E11" i="55" s="1"/>
  <c r="E13" i="55" s="1"/>
  <c r="L17" i="38" s="1"/>
  <c r="E28" i="55"/>
  <c r="E30" i="55" s="1"/>
  <c r="L19" i="38" s="1"/>
  <c r="F19" i="59" s="1"/>
  <c r="L177" i="38"/>
  <c r="F178" i="59"/>
  <c r="E17" i="55"/>
  <c r="E19" i="55" s="1"/>
  <c r="E20" i="55" s="1"/>
  <c r="E22" i="55" s="1"/>
  <c r="E23" i="55" s="1"/>
  <c r="E24" i="55" s="1"/>
  <c r="L18" i="38" s="1"/>
  <c r="F18" i="59" s="1"/>
  <c r="I15" i="63" l="1"/>
  <c r="H26" i="63"/>
  <c r="K22" i="63"/>
  <c r="J33" i="63"/>
  <c r="H16" i="63"/>
  <c r="G27" i="63"/>
  <c r="G34" i="63" s="1"/>
  <c r="G39" i="63" s="1"/>
  <c r="L21" i="63"/>
  <c r="L32" i="63" s="1"/>
  <c r="K32" i="63"/>
  <c r="O111" i="40"/>
  <c r="O172" i="40" s="1"/>
  <c r="M172" i="40"/>
  <c r="G23" i="63"/>
  <c r="L19" i="63"/>
  <c r="L30" i="63" s="1"/>
  <c r="K30" i="63"/>
  <c r="T40" i="38"/>
  <c r="N40" i="59" s="1"/>
  <c r="Z40" i="59" s="1"/>
  <c r="Z64" i="59" s="1"/>
  <c r="F47" i="63"/>
  <c r="F44" i="63"/>
  <c r="F46" i="63"/>
  <c r="F45" i="63"/>
  <c r="F43" i="63"/>
  <c r="F76" i="63" s="1"/>
  <c r="R148" i="38" s="1"/>
  <c r="F40" i="63"/>
  <c r="J18" i="63"/>
  <c r="I29" i="63"/>
  <c r="X155" i="59"/>
  <c r="X145" i="59"/>
  <c r="X135" i="59"/>
  <c r="X86" i="59"/>
  <c r="X104" i="59"/>
  <c r="X51" i="59"/>
  <c r="X46" i="59"/>
  <c r="X60" i="59"/>
  <c r="X153" i="59"/>
  <c r="X144" i="59"/>
  <c r="X150" i="59"/>
  <c r="X57" i="59"/>
  <c r="X133" i="59"/>
  <c r="X108" i="59"/>
  <c r="X89" i="59"/>
  <c r="X53" i="59"/>
  <c r="X134" i="59"/>
  <c r="X129" i="59"/>
  <c r="X75" i="59"/>
  <c r="X58" i="59"/>
  <c r="X131" i="59"/>
  <c r="X140" i="59"/>
  <c r="X87" i="59"/>
  <c r="X80" i="59"/>
  <c r="X78" i="59"/>
  <c r="X83" i="59"/>
  <c r="X62" i="59"/>
  <c r="X54" i="59"/>
  <c r="X90" i="59"/>
  <c r="X81" i="59"/>
  <c r="P41" i="38"/>
  <c r="J41" i="59" s="1"/>
  <c r="X41" i="59" s="1"/>
  <c r="X97" i="59"/>
  <c r="X125" i="59"/>
  <c r="X43" i="59"/>
  <c r="X56" i="59"/>
  <c r="X110" i="59"/>
  <c r="X50" i="59"/>
  <c r="X111" i="59"/>
  <c r="X124" i="59"/>
  <c r="X52" i="59"/>
  <c r="X82" i="59"/>
  <c r="P42" i="38"/>
  <c r="J42" i="59" s="1"/>
  <c r="X42" i="59" s="1"/>
  <c r="P99" i="38"/>
  <c r="J99" i="59" s="1"/>
  <c r="X99" i="59" s="1"/>
  <c r="P44" i="38"/>
  <c r="J44" i="59" s="1"/>
  <c r="X44" i="59" s="1"/>
  <c r="P40" i="38"/>
  <c r="J40" i="59" s="1"/>
  <c r="P100" i="38"/>
  <c r="J100" i="59" s="1"/>
  <c r="X100" i="59" s="1"/>
  <c r="X152" i="59"/>
  <c r="X128" i="59"/>
  <c r="X126" i="59"/>
  <c r="X107" i="59"/>
  <c r="X113" i="59"/>
  <c r="X84" i="59"/>
  <c r="X121" i="59"/>
  <c r="X147" i="59"/>
  <c r="X127" i="59"/>
  <c r="X149" i="59"/>
  <c r="X112" i="59"/>
  <c r="X103" i="59"/>
  <c r="X136" i="59"/>
  <c r="X101" i="59"/>
  <c r="X146" i="59"/>
  <c r="X48" i="59"/>
  <c r="X123" i="59"/>
  <c r="X151" i="59"/>
  <c r="X154" i="59"/>
  <c r="X95" i="59"/>
  <c r="X120" i="59"/>
  <c r="X85" i="59"/>
  <c r="X130" i="59"/>
  <c r="X45" i="59"/>
  <c r="X61" i="59"/>
  <c r="X132" i="59"/>
  <c r="X98" i="59"/>
  <c r="X59" i="59"/>
  <c r="X148" i="59"/>
  <c r="X105" i="59"/>
  <c r="X109" i="59"/>
  <c r="X55" i="59"/>
  <c r="X119" i="59"/>
  <c r="X47" i="59"/>
  <c r="X96" i="59"/>
  <c r="X88" i="59"/>
  <c r="X114" i="59"/>
  <c r="X79" i="59"/>
  <c r="X122" i="59"/>
  <c r="P102" i="38"/>
  <c r="J102" i="59" s="1"/>
  <c r="X102" i="59" s="1"/>
  <c r="W47" i="59"/>
  <c r="W56" i="59"/>
  <c r="W131" i="59"/>
  <c r="W97" i="59"/>
  <c r="W127" i="59"/>
  <c r="N49" i="38"/>
  <c r="H49" i="59" s="1"/>
  <c r="W49" i="59" s="1"/>
  <c r="N44" i="38"/>
  <c r="H44" i="59" s="1"/>
  <c r="W55" i="59"/>
  <c r="W53" i="59"/>
  <c r="W144" i="59"/>
  <c r="W153" i="59"/>
  <c r="W130" i="59"/>
  <c r="W112" i="59"/>
  <c r="W101" i="59"/>
  <c r="W79" i="59"/>
  <c r="N40" i="38"/>
  <c r="W57" i="59"/>
  <c r="W120" i="59"/>
  <c r="W42" i="59"/>
  <c r="W95" i="59"/>
  <c r="W90" i="59"/>
  <c r="W148" i="59"/>
  <c r="W151" i="59"/>
  <c r="N102" i="38"/>
  <c r="H102" i="59" s="1"/>
  <c r="W102" i="59" s="1"/>
  <c r="W119" i="59"/>
  <c r="W82" i="59"/>
  <c r="W84" i="59"/>
  <c r="W132" i="59"/>
  <c r="W126" i="59"/>
  <c r="W110" i="59"/>
  <c r="W125" i="59"/>
  <c r="W62" i="59"/>
  <c r="W113" i="59"/>
  <c r="W122" i="59"/>
  <c r="W98" i="59"/>
  <c r="W50" i="59"/>
  <c r="W150" i="59"/>
  <c r="W154" i="59"/>
  <c r="W136" i="59"/>
  <c r="W81" i="59"/>
  <c r="W83" i="59"/>
  <c r="W87" i="59"/>
  <c r="W111" i="59"/>
  <c r="W45" i="59"/>
  <c r="W43" i="59"/>
  <c r="W89" i="59"/>
  <c r="W147" i="59"/>
  <c r="W75" i="59"/>
  <c r="W108" i="59"/>
  <c r="W52" i="59"/>
  <c r="W133" i="59"/>
  <c r="W146" i="59"/>
  <c r="W103" i="59"/>
  <c r="W104" i="59"/>
  <c r="W48" i="59"/>
  <c r="W107" i="59"/>
  <c r="W135" i="59"/>
  <c r="N41" i="38"/>
  <c r="H41" i="59" s="1"/>
  <c r="W41" i="59" s="1"/>
  <c r="N100" i="38"/>
  <c r="H100" i="59" s="1"/>
  <c r="W100" i="59" s="1"/>
  <c r="W61" i="59"/>
  <c r="W80" i="59"/>
  <c r="W105" i="59"/>
  <c r="W129" i="59"/>
  <c r="W54" i="59"/>
  <c r="W109" i="59"/>
  <c r="W123" i="59"/>
  <c r="W44" i="59"/>
  <c r="W152" i="59"/>
  <c r="W145" i="59"/>
  <c r="W124" i="59"/>
  <c r="W51" i="59"/>
  <c r="W128" i="59"/>
  <c r="W86" i="59"/>
  <c r="W60" i="59"/>
  <c r="W58" i="59"/>
  <c r="W85" i="59"/>
  <c r="W88" i="59"/>
  <c r="W134" i="59"/>
  <c r="W59" i="59"/>
  <c r="W78" i="59"/>
  <c r="W96" i="59"/>
  <c r="W140" i="59"/>
  <c r="W46" i="59"/>
  <c r="W155" i="59"/>
  <c r="W114" i="59"/>
  <c r="W149" i="59"/>
  <c r="W121" i="59"/>
  <c r="N99" i="38"/>
  <c r="H99" i="59" s="1"/>
  <c r="W99" i="59" s="1"/>
  <c r="X49" i="59"/>
  <c r="G183" i="40"/>
  <c r="G187" i="40" s="1"/>
  <c r="G189" i="40" s="1"/>
  <c r="B42" i="35"/>
  <c r="R99" i="38"/>
  <c r="L99" i="59" s="1"/>
  <c r="Y99" i="59" s="1"/>
  <c r="R44" i="38"/>
  <c r="L44" i="59" s="1"/>
  <c r="Y44" i="59" s="1"/>
  <c r="R49" i="38"/>
  <c r="L49" i="59" s="1"/>
  <c r="Y49" i="59" s="1"/>
  <c r="R42" i="38"/>
  <c r="L42" i="59" s="1"/>
  <c r="Y42" i="59" s="1"/>
  <c r="R40" i="38"/>
  <c r="R100" i="38"/>
  <c r="L100" i="59" s="1"/>
  <c r="Y100" i="59" s="1"/>
  <c r="R102" i="38"/>
  <c r="L102" i="59" s="1"/>
  <c r="Y102" i="59" s="1"/>
  <c r="R41" i="38"/>
  <c r="L41" i="59" s="1"/>
  <c r="Y41" i="59" s="1"/>
  <c r="Y152" i="59"/>
  <c r="Y53" i="59"/>
  <c r="Y48" i="59"/>
  <c r="Y60" i="59"/>
  <c r="Y149" i="59"/>
  <c r="Y123" i="59"/>
  <c r="Y154" i="59"/>
  <c r="Y57" i="59"/>
  <c r="Y147" i="59"/>
  <c r="Y83" i="59"/>
  <c r="Y131" i="59"/>
  <c r="Y89" i="59"/>
  <c r="Y96" i="59"/>
  <c r="Y95" i="59"/>
  <c r="Y105" i="59"/>
  <c r="Y140" i="59"/>
  <c r="Y121" i="59"/>
  <c r="Y133" i="59"/>
  <c r="Y135" i="59"/>
  <c r="Y150" i="59"/>
  <c r="Y87" i="59"/>
  <c r="Y81" i="59"/>
  <c r="Y127" i="59"/>
  <c r="Y124" i="59"/>
  <c r="Y125" i="59"/>
  <c r="Y107" i="59"/>
  <c r="Y78" i="59"/>
  <c r="Y45" i="59"/>
  <c r="Y145" i="59"/>
  <c r="Y103" i="59"/>
  <c r="Y85" i="59"/>
  <c r="Y58" i="59"/>
  <c r="Y55" i="59"/>
  <c r="Y112" i="59"/>
  <c r="Y98" i="59"/>
  <c r="Y155" i="59"/>
  <c r="Y84" i="59"/>
  <c r="Y75" i="59"/>
  <c r="Y62" i="59"/>
  <c r="Y80" i="59"/>
  <c r="Y47" i="59"/>
  <c r="Y61" i="59"/>
  <c r="Y132" i="59"/>
  <c r="Y82" i="59"/>
  <c r="Y114" i="59"/>
  <c r="Y56" i="59"/>
  <c r="Y146" i="59"/>
  <c r="Y111" i="59"/>
  <c r="Y86" i="59"/>
  <c r="Y143" i="59"/>
  <c r="Y79" i="59"/>
  <c r="Y122" i="59"/>
  <c r="Y136" i="59"/>
  <c r="Y129" i="59"/>
  <c r="Y108" i="59"/>
  <c r="Y52" i="59"/>
  <c r="Y144" i="59"/>
  <c r="Y113" i="59"/>
  <c r="Y134" i="59"/>
  <c r="Y59" i="59"/>
  <c r="Y126" i="59"/>
  <c r="Y50" i="59"/>
  <c r="Y104" i="59"/>
  <c r="Y151" i="59"/>
  <c r="Y128" i="59"/>
  <c r="Y43" i="59"/>
  <c r="Y101" i="59"/>
  <c r="Y109" i="59"/>
  <c r="Y130" i="59"/>
  <c r="Y54" i="59"/>
  <c r="Y153" i="59"/>
  <c r="Y90" i="59"/>
  <c r="Y110" i="59"/>
  <c r="Y51" i="59"/>
  <c r="Y119" i="59"/>
  <c r="Y97" i="59"/>
  <c r="Y88" i="59"/>
  <c r="Y46" i="59"/>
  <c r="Y120" i="59"/>
  <c r="K162" i="40"/>
  <c r="H23" i="63"/>
  <c r="M166" i="40"/>
  <c r="O105" i="40"/>
  <c r="O166" i="40" s="1"/>
  <c r="K167" i="40"/>
  <c r="L100" i="38"/>
  <c r="F100" i="59" s="1"/>
  <c r="V100" i="59" s="1"/>
  <c r="L42" i="38"/>
  <c r="F42" i="59" s="1"/>
  <c r="V42" i="59" s="1"/>
  <c r="L99" i="38"/>
  <c r="F99" i="59" s="1"/>
  <c r="V99" i="59" s="1"/>
  <c r="L41" i="38"/>
  <c r="F41" i="59" s="1"/>
  <c r="V41" i="59" s="1"/>
  <c r="L40" i="38"/>
  <c r="L102" i="38"/>
  <c r="F102" i="59" s="1"/>
  <c r="V102" i="59" s="1"/>
  <c r="L44" i="38"/>
  <c r="F44" i="59" s="1"/>
  <c r="V44" i="59" s="1"/>
  <c r="L49" i="38"/>
  <c r="F49" i="59" s="1"/>
  <c r="V49" i="59" s="1"/>
  <c r="N64" i="59"/>
  <c r="Z138" i="59"/>
  <c r="O110" i="40"/>
  <c r="O171" i="40" s="1"/>
  <c r="M171" i="40"/>
  <c r="M170" i="40"/>
  <c r="O109" i="40"/>
  <c r="O170" i="40" s="1"/>
  <c r="K161" i="40"/>
  <c r="K122" i="40"/>
  <c r="O83" i="40"/>
  <c r="O137" i="40" s="1"/>
  <c r="M137" i="40"/>
  <c r="K33" i="55"/>
  <c r="K27" i="55"/>
  <c r="K46" i="55"/>
  <c r="K89" i="55"/>
  <c r="K75" i="55"/>
  <c r="K16" i="55"/>
  <c r="M61" i="40"/>
  <c r="M118" i="40"/>
  <c r="M175" i="40"/>
  <c r="O114" i="40"/>
  <c r="O175" i="40" s="1"/>
  <c r="K126" i="40"/>
  <c r="M72" i="40"/>
  <c r="M133" i="40"/>
  <c r="O79" i="40"/>
  <c r="O133" i="40" s="1"/>
  <c r="K123" i="40"/>
  <c r="M169" i="40"/>
  <c r="O108" i="40"/>
  <c r="O169" i="40" s="1"/>
  <c r="T9" i="59"/>
  <c r="Z39" i="59" s="1"/>
  <c r="O6" i="40"/>
  <c r="G7" i="62"/>
  <c r="N9" i="59"/>
  <c r="N175" i="59" s="1"/>
  <c r="M8" i="55"/>
  <c r="T174" i="38"/>
  <c r="X7" i="50"/>
  <c r="S197" i="50"/>
  <c r="V197" i="50"/>
  <c r="O92" i="40"/>
  <c r="O153" i="40" s="1"/>
  <c r="M153" i="40"/>
  <c r="M91" i="40"/>
  <c r="K152" i="40"/>
  <c r="AB197" i="50"/>
  <c r="Y197" i="50"/>
  <c r="M174" i="40"/>
  <c r="O113" i="40"/>
  <c r="O174" i="40" s="1"/>
  <c r="M136" i="40"/>
  <c r="O82" i="40"/>
  <c r="O136" i="40" s="1"/>
  <c r="O115" i="40"/>
  <c r="O176" i="40" s="1"/>
  <c r="M176" i="40"/>
  <c r="O81" i="40"/>
  <c r="O135" i="40" s="1"/>
  <c r="M135" i="40"/>
  <c r="M138" i="40"/>
  <c r="O84" i="40"/>
  <c r="O138" i="40" s="1"/>
  <c r="I222" i="50"/>
  <c r="I181" i="40"/>
  <c r="I188" i="40" s="1"/>
  <c r="O99" i="40"/>
  <c r="O160" i="40" s="1"/>
  <c r="M160" i="40"/>
  <c r="C207" i="50"/>
  <c r="E204" i="50"/>
  <c r="E207" i="50" s="1"/>
  <c r="M93" i="40"/>
  <c r="K154" i="40"/>
  <c r="M96" i="40"/>
  <c r="K157" i="40"/>
  <c r="I204" i="50"/>
  <c r="I142" i="40"/>
  <c r="I184" i="40"/>
  <c r="G199" i="40"/>
  <c r="L73" i="38" s="1"/>
  <c r="F73" i="59" s="1"/>
  <c r="V73" i="59" s="1"/>
  <c r="G203" i="40"/>
  <c r="L72" i="38" s="1"/>
  <c r="F72" i="59" s="1"/>
  <c r="V72" i="59" s="1"/>
  <c r="O74" i="40"/>
  <c r="O128" i="40" s="1"/>
  <c r="M128" i="40"/>
  <c r="O107" i="40"/>
  <c r="O168" i="40" s="1"/>
  <c r="M168" i="40"/>
  <c r="D69" i="59"/>
  <c r="D92" i="59" s="1"/>
  <c r="D159" i="59" s="1"/>
  <c r="D161" i="59" s="1"/>
  <c r="D164" i="59" s="1"/>
  <c r="D165" i="59" s="1"/>
  <c r="F163" i="59" s="1"/>
  <c r="J92" i="38"/>
  <c r="J159" i="38" s="1"/>
  <c r="J161" i="38" s="1"/>
  <c r="J164" i="38" s="1"/>
  <c r="J165" i="38" s="1"/>
  <c r="L163" i="38" s="1"/>
  <c r="R9" i="50"/>
  <c r="R21" i="50"/>
  <c r="E222" i="50"/>
  <c r="E223" i="50" s="1"/>
  <c r="C223" i="50"/>
  <c r="M77" i="40"/>
  <c r="K131" i="40"/>
  <c r="M165" i="40"/>
  <c r="O104" i="40"/>
  <c r="O165" i="40" s="1"/>
  <c r="M87" i="40"/>
  <c r="K141" i="40"/>
  <c r="V134" i="59"/>
  <c r="V56" i="59"/>
  <c r="V89" i="59"/>
  <c r="V150" i="59"/>
  <c r="V55" i="59"/>
  <c r="V155" i="59"/>
  <c r="V133" i="59"/>
  <c r="V130" i="59"/>
  <c r="V120" i="59"/>
  <c r="V132" i="59"/>
  <c r="V80" i="59"/>
  <c r="V135" i="59"/>
  <c r="V148" i="59"/>
  <c r="V112" i="59"/>
  <c r="V107" i="59"/>
  <c r="V143" i="59"/>
  <c r="V85" i="59"/>
  <c r="V128" i="59"/>
  <c r="V45" i="59"/>
  <c r="V90" i="59"/>
  <c r="V79" i="59"/>
  <c r="V131" i="59"/>
  <c r="V96" i="59"/>
  <c r="V119" i="59"/>
  <c r="V125" i="59"/>
  <c r="V82" i="59"/>
  <c r="V103" i="59"/>
  <c r="V114" i="59"/>
  <c r="V111" i="59"/>
  <c r="V126" i="59"/>
  <c r="V113" i="59"/>
  <c r="V149" i="59"/>
  <c r="V123" i="59"/>
  <c r="V105" i="59"/>
  <c r="V51" i="59"/>
  <c r="V104" i="59"/>
  <c r="V86" i="59"/>
  <c r="V58" i="59"/>
  <c r="V57" i="59"/>
  <c r="V140" i="59"/>
  <c r="V48" i="59"/>
  <c r="V43" i="59"/>
  <c r="V61" i="59"/>
  <c r="V78" i="59"/>
  <c r="V136" i="59"/>
  <c r="V81" i="59"/>
  <c r="V95" i="59"/>
  <c r="V59" i="59"/>
  <c r="V50" i="59"/>
  <c r="V54" i="59"/>
  <c r="V83" i="59"/>
  <c r="V151" i="59"/>
  <c r="V124" i="59"/>
  <c r="V60" i="59"/>
  <c r="V122" i="59"/>
  <c r="V47" i="59"/>
  <c r="V101" i="59"/>
  <c r="V153" i="59"/>
  <c r="V97" i="59"/>
  <c r="V129" i="59"/>
  <c r="V144" i="59"/>
  <c r="V53" i="59"/>
  <c r="V98" i="59"/>
  <c r="V121" i="59"/>
  <c r="V62" i="59"/>
  <c r="V84" i="59"/>
  <c r="V152" i="59"/>
  <c r="V87" i="59"/>
  <c r="V147" i="59"/>
  <c r="V154" i="59"/>
  <c r="V145" i="59"/>
  <c r="V108" i="59"/>
  <c r="V88" i="59"/>
  <c r="V75" i="59"/>
  <c r="V52" i="59"/>
  <c r="V109" i="59"/>
  <c r="V110" i="59"/>
  <c r="V127" i="59"/>
  <c r="V46" i="59"/>
  <c r="F17" i="59"/>
  <c r="G40" i="63" l="1"/>
  <c r="G47" i="63"/>
  <c r="G44" i="63"/>
  <c r="G46" i="63"/>
  <c r="G43" i="63"/>
  <c r="G76" i="63" s="1"/>
  <c r="T148" i="38" s="1"/>
  <c r="G45" i="63"/>
  <c r="L22" i="63"/>
  <c r="L33" i="63" s="1"/>
  <c r="K33" i="63"/>
  <c r="H34" i="63"/>
  <c r="H39" i="63" s="1"/>
  <c r="L148" i="59"/>
  <c r="R157" i="38"/>
  <c r="T64" i="38"/>
  <c r="K18" i="63"/>
  <c r="J29" i="63"/>
  <c r="I16" i="63"/>
  <c r="H27" i="63"/>
  <c r="J15" i="63"/>
  <c r="I26" i="63"/>
  <c r="P64" i="38"/>
  <c r="X138" i="59"/>
  <c r="X157" i="59"/>
  <c r="N64" i="38"/>
  <c r="H40" i="59"/>
  <c r="W40" i="59" s="1"/>
  <c r="W64" i="59" s="1"/>
  <c r="W157" i="59"/>
  <c r="W138" i="59"/>
  <c r="N205" i="50"/>
  <c r="P205" i="50" s="1"/>
  <c r="I183" i="40"/>
  <c r="I185" i="40" s="1"/>
  <c r="I197" i="40" s="1"/>
  <c r="N70" i="38" s="1"/>
  <c r="H70" i="59" s="1"/>
  <c r="W70" i="59" s="1"/>
  <c r="C42" i="35"/>
  <c r="G185" i="40"/>
  <c r="G197" i="40" s="1"/>
  <c r="L70" i="38" s="1"/>
  <c r="F70" i="59" s="1"/>
  <c r="V70" i="59" s="1"/>
  <c r="G195" i="40"/>
  <c r="L71" i="38" s="1"/>
  <c r="F71" i="59" s="1"/>
  <c r="V71" i="59" s="1"/>
  <c r="B39" i="35"/>
  <c r="B40" i="35"/>
  <c r="B36" i="35"/>
  <c r="B38" i="35"/>
  <c r="L40" i="59"/>
  <c r="R64" i="38"/>
  <c r="Y138" i="59"/>
  <c r="O101" i="40"/>
  <c r="O162" i="40" s="1"/>
  <c r="M162" i="40"/>
  <c r="O106" i="40"/>
  <c r="O167" i="40" s="1"/>
  <c r="M167" i="40"/>
  <c r="J64" i="59"/>
  <c r="X40" i="59"/>
  <c r="X64" i="59" s="1"/>
  <c r="F40" i="59"/>
  <c r="L64" i="38"/>
  <c r="Y198" i="50"/>
  <c r="Z236" i="50" s="1"/>
  <c r="V138" i="59"/>
  <c r="M161" i="40"/>
  <c r="O100" i="40"/>
  <c r="O161" i="40" s="1"/>
  <c r="O68" i="40"/>
  <c r="O122" i="40" s="1"/>
  <c r="M122" i="40"/>
  <c r="I207" i="50"/>
  <c r="K204" i="50"/>
  <c r="K207" i="50" s="1"/>
  <c r="I223" i="50"/>
  <c r="K222" i="50"/>
  <c r="K223" i="50" s="1"/>
  <c r="N222" i="50"/>
  <c r="K181" i="40"/>
  <c r="K188" i="40" s="1"/>
  <c r="M16" i="55"/>
  <c r="M75" i="55"/>
  <c r="M27" i="55"/>
  <c r="M33" i="55"/>
  <c r="M46" i="55"/>
  <c r="M89" i="55"/>
  <c r="M123" i="40"/>
  <c r="O69" i="40"/>
  <c r="O123" i="40" s="1"/>
  <c r="I199" i="40"/>
  <c r="N73" i="38" s="1"/>
  <c r="H73" i="59" s="1"/>
  <c r="W73" i="59" s="1"/>
  <c r="I203" i="40"/>
  <c r="N72" i="38" s="1"/>
  <c r="H72" i="59" s="1"/>
  <c r="W72" i="59" s="1"/>
  <c r="O118" i="40"/>
  <c r="O61" i="40"/>
  <c r="K184" i="40"/>
  <c r="N204" i="50"/>
  <c r="K142" i="40"/>
  <c r="O72" i="40"/>
  <c r="O126" i="40" s="1"/>
  <c r="M126" i="40"/>
  <c r="O96" i="40"/>
  <c r="O157" i="40" s="1"/>
  <c r="M157" i="40"/>
  <c r="M154" i="40"/>
  <c r="O93" i="40"/>
  <c r="O154" i="40" s="1"/>
  <c r="X9" i="50"/>
  <c r="X21" i="50"/>
  <c r="E227" i="50"/>
  <c r="B227" i="50"/>
  <c r="B213" i="50"/>
  <c r="E213" i="50"/>
  <c r="O87" i="40"/>
  <c r="O141" i="40" s="1"/>
  <c r="M141" i="40"/>
  <c r="M131" i="40"/>
  <c r="O77" i="40"/>
  <c r="O131" i="40" s="1"/>
  <c r="G201" i="40"/>
  <c r="L74" i="38" s="1"/>
  <c r="F74" i="59" s="1"/>
  <c r="L176" i="38"/>
  <c r="F177" i="59"/>
  <c r="L69" i="38"/>
  <c r="O91" i="40"/>
  <c r="O152" i="40" s="1"/>
  <c r="M152" i="40"/>
  <c r="S198" i="50"/>
  <c r="T236" i="50" s="1"/>
  <c r="J16" i="63" l="1"/>
  <c r="I27" i="63"/>
  <c r="I34" i="63"/>
  <c r="I39" i="63" s="1"/>
  <c r="L157" i="59"/>
  <c r="Y148" i="59"/>
  <c r="Y157" i="59" s="1"/>
  <c r="I23" i="63"/>
  <c r="K15" i="63"/>
  <c r="J26" i="63"/>
  <c r="L18" i="63"/>
  <c r="L29" i="63" s="1"/>
  <c r="K29" i="63"/>
  <c r="H43" i="63"/>
  <c r="H76" i="63" s="1"/>
  <c r="H40" i="63"/>
  <c r="H46" i="63"/>
  <c r="H45" i="63"/>
  <c r="H44" i="63"/>
  <c r="H47" i="63"/>
  <c r="N148" i="59"/>
  <c r="T157" i="38"/>
  <c r="H64" i="59"/>
  <c r="I187" i="40"/>
  <c r="I189" i="40" s="1"/>
  <c r="H177" i="59" s="1"/>
  <c r="I195" i="40"/>
  <c r="N71" i="38" s="1"/>
  <c r="H71" i="59" s="1"/>
  <c r="W71" i="59" s="1"/>
  <c r="Z205" i="50"/>
  <c r="AB205" i="50" s="1"/>
  <c r="C36" i="35"/>
  <c r="C39" i="35"/>
  <c r="C40" i="35"/>
  <c r="C38" i="35"/>
  <c r="K183" i="40"/>
  <c r="K185" i="40" s="1"/>
  <c r="K197" i="40" s="1"/>
  <c r="P70" i="38" s="1"/>
  <c r="J70" i="59" s="1"/>
  <c r="X70" i="59" s="1"/>
  <c r="D42" i="35"/>
  <c r="T205" i="50"/>
  <c r="V205" i="50" s="1"/>
  <c r="Y40" i="59"/>
  <c r="Y64" i="59" s="1"/>
  <c r="L64" i="59"/>
  <c r="V74" i="59"/>
  <c r="B37" i="35"/>
  <c r="J23" i="63"/>
  <c r="L77" i="38"/>
  <c r="F77" i="59" s="1"/>
  <c r="V77" i="59" s="1"/>
  <c r="L76" i="38"/>
  <c r="F76" i="59" s="1"/>
  <c r="V76" i="59" s="1"/>
  <c r="F64" i="59"/>
  <c r="V40" i="59"/>
  <c r="V64" i="59" s="1"/>
  <c r="B228" i="50"/>
  <c r="C238" i="50" s="1"/>
  <c r="B214" i="50"/>
  <c r="C237" i="50" s="1"/>
  <c r="T204" i="50"/>
  <c r="M142" i="40"/>
  <c r="F69" i="59"/>
  <c r="O184" i="40"/>
  <c r="O142" i="40"/>
  <c r="Z204" i="50"/>
  <c r="K203" i="40"/>
  <c r="P72" i="38" s="1"/>
  <c r="J72" i="59" s="1"/>
  <c r="X72" i="59" s="1"/>
  <c r="K199" i="40"/>
  <c r="P73" i="38" s="1"/>
  <c r="J73" i="59" s="1"/>
  <c r="X73" i="59" s="1"/>
  <c r="H213" i="50"/>
  <c r="K213" i="50"/>
  <c r="Z222" i="50"/>
  <c r="O181" i="40"/>
  <c r="O188" i="40" s="1"/>
  <c r="N207" i="50"/>
  <c r="P204" i="50"/>
  <c r="P207" i="50" s="1"/>
  <c r="M184" i="40"/>
  <c r="P222" i="50"/>
  <c r="P223" i="50" s="1"/>
  <c r="N223" i="50"/>
  <c r="T222" i="50"/>
  <c r="M181" i="40"/>
  <c r="M188" i="40" s="1"/>
  <c r="H227" i="50"/>
  <c r="K227" i="50"/>
  <c r="I46" i="63" l="1"/>
  <c r="I45" i="63"/>
  <c r="I43" i="63"/>
  <c r="I76" i="63" s="1"/>
  <c r="I47" i="63"/>
  <c r="I44" i="63"/>
  <c r="I40" i="63"/>
  <c r="J34" i="63"/>
  <c r="J39" i="63" s="1"/>
  <c r="L15" i="63"/>
  <c r="L26" i="63" s="1"/>
  <c r="K26" i="63"/>
  <c r="N157" i="59"/>
  <c r="Z148" i="59"/>
  <c r="Z157" i="59" s="1"/>
  <c r="K16" i="63"/>
  <c r="J27" i="63"/>
  <c r="K195" i="40"/>
  <c r="P71" i="38" s="1"/>
  <c r="J71" i="59" s="1"/>
  <c r="X71" i="59" s="1"/>
  <c r="N176" i="38"/>
  <c r="N76" i="38" s="1"/>
  <c r="H76" i="59" s="1"/>
  <c r="W76" i="59" s="1"/>
  <c r="I201" i="40"/>
  <c r="N74" i="38" s="1"/>
  <c r="H74" i="59" s="1"/>
  <c r="C37" i="35" s="1"/>
  <c r="C41" i="35" s="1"/>
  <c r="C43" i="35" s="1"/>
  <c r="N69" i="38"/>
  <c r="H69" i="59" s="1"/>
  <c r="K187" i="40"/>
  <c r="K189" i="40" s="1"/>
  <c r="K201" i="40" s="1"/>
  <c r="P74" i="38" s="1"/>
  <c r="J74" i="59" s="1"/>
  <c r="D37" i="35" s="1"/>
  <c r="O183" i="40"/>
  <c r="O187" i="40" s="1"/>
  <c r="O189" i="40" s="1"/>
  <c r="F42" i="35"/>
  <c r="D36" i="35"/>
  <c r="D40" i="35"/>
  <c r="D38" i="35"/>
  <c r="D39" i="35"/>
  <c r="M183" i="40"/>
  <c r="M187" i="40" s="1"/>
  <c r="M189" i="40" s="1"/>
  <c r="E42" i="35"/>
  <c r="K23" i="63"/>
  <c r="L92" i="38"/>
  <c r="C239" i="50"/>
  <c r="L21" i="38" s="1"/>
  <c r="L106" i="38" s="1"/>
  <c r="F106" i="59" s="1"/>
  <c r="P213" i="50"/>
  <c r="M213" i="50"/>
  <c r="AB204" i="50"/>
  <c r="AB207" i="50" s="1"/>
  <c r="Z207" i="50"/>
  <c r="F92" i="59"/>
  <c r="V69" i="59"/>
  <c r="V92" i="59" s="1"/>
  <c r="V222" i="50"/>
  <c r="V223" i="50" s="1"/>
  <c r="T223" i="50"/>
  <c r="AB222" i="50"/>
  <c r="AB223" i="50" s="1"/>
  <c r="Z223" i="50"/>
  <c r="M203" i="40"/>
  <c r="R72" i="38" s="1"/>
  <c r="L72" i="59" s="1"/>
  <c r="M199" i="40"/>
  <c r="R73" i="38" s="1"/>
  <c r="L73" i="59" s="1"/>
  <c r="O203" i="40"/>
  <c r="T72" i="38" s="1"/>
  <c r="N72" i="59" s="1"/>
  <c r="O199" i="40"/>
  <c r="T73" i="38" s="1"/>
  <c r="N73" i="59" s="1"/>
  <c r="T207" i="50"/>
  <c r="V204" i="50"/>
  <c r="V207" i="50" s="1"/>
  <c r="H228" i="50"/>
  <c r="I238" i="50" s="1"/>
  <c r="P227" i="50"/>
  <c r="M227" i="50"/>
  <c r="H214" i="50"/>
  <c r="I237" i="50" s="1"/>
  <c r="L16" i="63" l="1"/>
  <c r="L27" i="63" s="1"/>
  <c r="K27" i="63"/>
  <c r="J47" i="63"/>
  <c r="J44" i="63"/>
  <c r="J46" i="63"/>
  <c r="J45" i="63"/>
  <c r="J40" i="63"/>
  <c r="J43" i="63"/>
  <c r="J76" i="63" s="1"/>
  <c r="L34" i="63"/>
  <c r="L39" i="63" s="1"/>
  <c r="L23" i="63"/>
  <c r="K34" i="63"/>
  <c r="K39" i="63" s="1"/>
  <c r="J177" i="59"/>
  <c r="W74" i="59"/>
  <c r="N77" i="38"/>
  <c r="H77" i="59" s="1"/>
  <c r="W77" i="59" s="1"/>
  <c r="O195" i="40"/>
  <c r="T71" i="38" s="1"/>
  <c r="N71" i="59" s="1"/>
  <c r="Z71" i="59" s="1"/>
  <c r="O185" i="40"/>
  <c r="O197" i="40" s="1"/>
  <c r="T70" i="38" s="1"/>
  <c r="N70" i="59" s="1"/>
  <c r="Z70" i="59" s="1"/>
  <c r="M195" i="40"/>
  <c r="R71" i="38" s="1"/>
  <c r="L71" i="59" s="1"/>
  <c r="Y71" i="59" s="1"/>
  <c r="P176" i="38"/>
  <c r="P76" i="38" s="1"/>
  <c r="J76" i="59" s="1"/>
  <c r="X76" i="59" s="1"/>
  <c r="P69" i="38"/>
  <c r="J69" i="59" s="1"/>
  <c r="E36" i="35"/>
  <c r="E39" i="35"/>
  <c r="E38" i="35"/>
  <c r="E40" i="35"/>
  <c r="M185" i="40"/>
  <c r="M197" i="40" s="1"/>
  <c r="R70" i="38" s="1"/>
  <c r="L70" i="59" s="1"/>
  <c r="Y70" i="59" s="1"/>
  <c r="F38" i="35"/>
  <c r="F36" i="35"/>
  <c r="F39" i="35"/>
  <c r="F40" i="35"/>
  <c r="D41" i="35"/>
  <c r="D43" i="35" s="1"/>
  <c r="P77" i="38"/>
  <c r="J77" i="59" s="1"/>
  <c r="X77" i="59" s="1"/>
  <c r="L35" i="38"/>
  <c r="F21" i="59"/>
  <c r="F35" i="59" s="1"/>
  <c r="P21" i="59" s="1"/>
  <c r="I239" i="50"/>
  <c r="N21" i="38" s="1"/>
  <c r="N35" i="38" s="1"/>
  <c r="L116" i="38"/>
  <c r="X74" i="59"/>
  <c r="Y72" i="59"/>
  <c r="AB227" i="50"/>
  <c r="Y227" i="50"/>
  <c r="S213" i="50"/>
  <c r="V213" i="50"/>
  <c r="Y73" i="59"/>
  <c r="R69" i="38"/>
  <c r="L177" i="59"/>
  <c r="R176" i="38"/>
  <c r="M201" i="40"/>
  <c r="R74" i="38" s="1"/>
  <c r="L74" i="59" s="1"/>
  <c r="E37" i="35" s="1"/>
  <c r="W69" i="59"/>
  <c r="Z72" i="59"/>
  <c r="F116" i="59"/>
  <c r="V106" i="59"/>
  <c r="V116" i="59" s="1"/>
  <c r="S227" i="50"/>
  <c r="V227" i="50"/>
  <c r="AB213" i="50"/>
  <c r="Y213" i="50"/>
  <c r="M228" i="50"/>
  <c r="N238" i="50" s="1"/>
  <c r="M214" i="50"/>
  <c r="N237" i="50" s="1"/>
  <c r="T69" i="38"/>
  <c r="N177" i="59"/>
  <c r="T176" i="38"/>
  <c r="O201" i="40"/>
  <c r="T74" i="38" s="1"/>
  <c r="N74" i="59" s="1"/>
  <c r="F37" i="35" s="1"/>
  <c r="Z73" i="59"/>
  <c r="K40" i="63" l="1"/>
  <c r="K47" i="63"/>
  <c r="K44" i="63"/>
  <c r="K46" i="63"/>
  <c r="K45" i="63"/>
  <c r="K43" i="63"/>
  <c r="K76" i="63" s="1"/>
  <c r="L43" i="63"/>
  <c r="L76" i="63" s="1"/>
  <c r="L40" i="63"/>
  <c r="L47" i="63"/>
  <c r="L44" i="63"/>
  <c r="L46" i="63"/>
  <c r="L45" i="63"/>
  <c r="H92" i="59"/>
  <c r="W92" i="59"/>
  <c r="N92" i="38"/>
  <c r="E41" i="35"/>
  <c r="E43" i="35" s="1"/>
  <c r="F41" i="35"/>
  <c r="F43" i="35" s="1"/>
  <c r="R76" i="38"/>
  <c r="L76" i="59" s="1"/>
  <c r="Y76" i="59" s="1"/>
  <c r="R77" i="38"/>
  <c r="L77" i="59" s="1"/>
  <c r="Y77" i="59" s="1"/>
  <c r="P92" i="38"/>
  <c r="T77" i="38"/>
  <c r="N77" i="59" s="1"/>
  <c r="Z77" i="59" s="1"/>
  <c r="T76" i="38"/>
  <c r="N76" i="59" s="1"/>
  <c r="Z76" i="59" s="1"/>
  <c r="H21" i="59"/>
  <c r="H35" i="59" s="1"/>
  <c r="Q21" i="59" s="1"/>
  <c r="S228" i="50"/>
  <c r="T238" i="50" s="1"/>
  <c r="N106" i="38"/>
  <c r="N116" i="38" s="1"/>
  <c r="P19" i="59"/>
  <c r="P16" i="59"/>
  <c r="P22" i="59"/>
  <c r="P23" i="59"/>
  <c r="P14" i="59"/>
  <c r="P18" i="59"/>
  <c r="P15" i="59"/>
  <c r="P17" i="59"/>
  <c r="P12" i="59"/>
  <c r="P33" i="59"/>
  <c r="P27" i="59"/>
  <c r="P10" i="59"/>
  <c r="P26" i="59"/>
  <c r="P31" i="59"/>
  <c r="P32" i="59"/>
  <c r="P29" i="59"/>
  <c r="P13" i="59"/>
  <c r="P11" i="59"/>
  <c r="P28" i="59"/>
  <c r="P20" i="59"/>
  <c r="P30" i="59"/>
  <c r="P24" i="59"/>
  <c r="P25" i="59"/>
  <c r="Y214" i="50"/>
  <c r="Z237" i="50" s="1"/>
  <c r="S214" i="50"/>
  <c r="T237" i="50" s="1"/>
  <c r="J92" i="59"/>
  <c r="X69" i="59"/>
  <c r="X92" i="59" s="1"/>
  <c r="N69" i="59"/>
  <c r="Y74" i="59"/>
  <c r="L69" i="59"/>
  <c r="Z74" i="59"/>
  <c r="N239" i="50"/>
  <c r="P21" i="38" s="1"/>
  <c r="P35" i="38" s="1"/>
  <c r="Y228" i="50"/>
  <c r="Z238" i="50" s="1"/>
  <c r="N159" i="38" l="1"/>
  <c r="N161" i="38" s="1"/>
  <c r="N164" i="38" s="1"/>
  <c r="H106" i="59"/>
  <c r="H116" i="59" s="1"/>
  <c r="H159" i="59" s="1"/>
  <c r="T92" i="38"/>
  <c r="R92" i="38"/>
  <c r="T239" i="50"/>
  <c r="R21" i="38" s="1"/>
  <c r="R106" i="38" s="1"/>
  <c r="L106" i="59" s="1"/>
  <c r="P35" i="59"/>
  <c r="Q17" i="59"/>
  <c r="Q24" i="59"/>
  <c r="Q28" i="59"/>
  <c r="Q23" i="59"/>
  <c r="Q20" i="59"/>
  <c r="Q22" i="59"/>
  <c r="Q18" i="59"/>
  <c r="Q14" i="59"/>
  <c r="Q11" i="59"/>
  <c r="Q25" i="59"/>
  <c r="Q27" i="59"/>
  <c r="Q13" i="59"/>
  <c r="Q31" i="59"/>
  <c r="Q10" i="59"/>
  <c r="Q16" i="59"/>
  <c r="Q12" i="59"/>
  <c r="Q15" i="59"/>
  <c r="Q19" i="59"/>
  <c r="Q29" i="59"/>
  <c r="Q32" i="59"/>
  <c r="Q30" i="59"/>
  <c r="Q33" i="59"/>
  <c r="Q26" i="59"/>
  <c r="Z239" i="50"/>
  <c r="T21" i="38" s="1"/>
  <c r="T106" i="38" s="1"/>
  <c r="Y69" i="59"/>
  <c r="Y92" i="59" s="1"/>
  <c r="L92" i="59"/>
  <c r="N92" i="59"/>
  <c r="Z69" i="59"/>
  <c r="Z92" i="59" s="1"/>
  <c r="J21" i="59"/>
  <c r="P106" i="38"/>
  <c r="W106" i="59" l="1"/>
  <c r="W116" i="59" s="1"/>
  <c r="W159" i="59" s="1"/>
  <c r="L21" i="59"/>
  <c r="L35" i="59" s="1"/>
  <c r="S21" i="59" s="1"/>
  <c r="R35" i="38"/>
  <c r="R116" i="38"/>
  <c r="R159" i="38" s="1"/>
  <c r="Q35" i="59"/>
  <c r="N21" i="59"/>
  <c r="T35" i="38"/>
  <c r="J35" i="59"/>
  <c r="R21" i="59" s="1"/>
  <c r="L116" i="59"/>
  <c r="L159" i="59" s="1"/>
  <c r="S106" i="59" s="1"/>
  <c r="Y106" i="59"/>
  <c r="Y116" i="59" s="1"/>
  <c r="Y159" i="59" s="1"/>
  <c r="N106" i="59"/>
  <c r="T116" i="38"/>
  <c r="T159" i="38" s="1"/>
  <c r="J106" i="59"/>
  <c r="P116" i="38"/>
  <c r="P159" i="38" s="1"/>
  <c r="P161" i="38" s="1"/>
  <c r="P164" i="38" s="1"/>
  <c r="Q106" i="59"/>
  <c r="Q113" i="59"/>
  <c r="Q57" i="59"/>
  <c r="Q87" i="59"/>
  <c r="Q135" i="59"/>
  <c r="Q140" i="59"/>
  <c r="Q107" i="59"/>
  <c r="Q104" i="59"/>
  <c r="Q127" i="59"/>
  <c r="Q80" i="59"/>
  <c r="Q145" i="59"/>
  <c r="Q61" i="59"/>
  <c r="Q130" i="59"/>
  <c r="Q70" i="59"/>
  <c r="Q82" i="59"/>
  <c r="Q101" i="59"/>
  <c r="Q90" i="59"/>
  <c r="Q144" i="59"/>
  <c r="Q129" i="59"/>
  <c r="Q89" i="59"/>
  <c r="Q47" i="59"/>
  <c r="Q148" i="59"/>
  <c r="Q71" i="59"/>
  <c r="Q44" i="59"/>
  <c r="Q143" i="59"/>
  <c r="Q147" i="59"/>
  <c r="Q78" i="59"/>
  <c r="Q86" i="59"/>
  <c r="Q40" i="59"/>
  <c r="Q153" i="59"/>
  <c r="Q102" i="59"/>
  <c r="Q126" i="59"/>
  <c r="Q114" i="59"/>
  <c r="Q83" i="59"/>
  <c r="Q43" i="59"/>
  <c r="Q72" i="59"/>
  <c r="Q151" i="59"/>
  <c r="Q48" i="59"/>
  <c r="Q133" i="59"/>
  <c r="Q131" i="59"/>
  <c r="Q46" i="59"/>
  <c r="Q128" i="59"/>
  <c r="Q54" i="59"/>
  <c r="Q150" i="59"/>
  <c r="Q108" i="59"/>
  <c r="Q45" i="59"/>
  <c r="Q112" i="59"/>
  <c r="Q122" i="59"/>
  <c r="Q99" i="59"/>
  <c r="Q79" i="59"/>
  <c r="Q123" i="59"/>
  <c r="Q98" i="59"/>
  <c r="Q119" i="59"/>
  <c r="Q96" i="59"/>
  <c r="Q62" i="59"/>
  <c r="Q124" i="59"/>
  <c r="Q154" i="59"/>
  <c r="Q109" i="59"/>
  <c r="Q77" i="59"/>
  <c r="Q155" i="59"/>
  <c r="Q105" i="59"/>
  <c r="Q56" i="59"/>
  <c r="Q49" i="59"/>
  <c r="Q97" i="59"/>
  <c r="Q60" i="59"/>
  <c r="Q59" i="59"/>
  <c r="Q75" i="59"/>
  <c r="Q152" i="59"/>
  <c r="Q121" i="59"/>
  <c r="Q81" i="59"/>
  <c r="Q110" i="59"/>
  <c r="Q95" i="59"/>
  <c r="Q51" i="59"/>
  <c r="Q85" i="59"/>
  <c r="Q120" i="59"/>
  <c r="Q88" i="59"/>
  <c r="Q111" i="59"/>
  <c r="Q103" i="59"/>
  <c r="Q52" i="59"/>
  <c r="Q136" i="59"/>
  <c r="Q84" i="59"/>
  <c r="H161" i="59"/>
  <c r="H164" i="59" s="1"/>
  <c r="Q53" i="59"/>
  <c r="Q76" i="59"/>
  <c r="Q146" i="59"/>
  <c r="Q50" i="59"/>
  <c r="Q100" i="59"/>
  <c r="Q149" i="59"/>
  <c r="Q134" i="59"/>
  <c r="Q58" i="59"/>
  <c r="Q132" i="59"/>
  <c r="Q55" i="59"/>
  <c r="Q73" i="59"/>
  <c r="Q125" i="59"/>
  <c r="Q42" i="59"/>
  <c r="Q41" i="59"/>
  <c r="Q74" i="59"/>
  <c r="Q69" i="59"/>
  <c r="R161" i="38" l="1"/>
  <c r="R164" i="38" s="1"/>
  <c r="T161" i="38"/>
  <c r="T164" i="38" s="1"/>
  <c r="N35" i="59"/>
  <c r="T21" i="59" s="1"/>
  <c r="S17" i="59"/>
  <c r="S23" i="59"/>
  <c r="S29" i="59"/>
  <c r="S11" i="59"/>
  <c r="S10" i="59"/>
  <c r="S32" i="59"/>
  <c r="S15" i="59"/>
  <c r="S22" i="59"/>
  <c r="S26" i="59"/>
  <c r="S18" i="59"/>
  <c r="S14" i="59"/>
  <c r="S25" i="59"/>
  <c r="S24" i="59"/>
  <c r="S13" i="59"/>
  <c r="S33" i="59"/>
  <c r="S27" i="59"/>
  <c r="S30" i="59"/>
  <c r="S20" i="59"/>
  <c r="S19" i="59"/>
  <c r="S12" i="59"/>
  <c r="S16" i="59"/>
  <c r="S31" i="59"/>
  <c r="S28" i="59"/>
  <c r="R17" i="59"/>
  <c r="R28" i="59"/>
  <c r="R29" i="59"/>
  <c r="R12" i="59"/>
  <c r="R16" i="59"/>
  <c r="R20" i="59"/>
  <c r="R19" i="59"/>
  <c r="R24" i="59"/>
  <c r="R14" i="59"/>
  <c r="R30" i="59"/>
  <c r="R22" i="59"/>
  <c r="R13" i="59"/>
  <c r="R18" i="59"/>
  <c r="R33" i="59"/>
  <c r="R10" i="59"/>
  <c r="R32" i="59"/>
  <c r="R27" i="59"/>
  <c r="R15" i="59"/>
  <c r="R11" i="59"/>
  <c r="R25" i="59"/>
  <c r="R26" i="59"/>
  <c r="R23" i="59"/>
  <c r="R31" i="59"/>
  <c r="Q116" i="59"/>
  <c r="Q157" i="59"/>
  <c r="Q138" i="59"/>
  <c r="Q64" i="59"/>
  <c r="Q92" i="59"/>
  <c r="S88" i="59"/>
  <c r="S114" i="59"/>
  <c r="S131" i="59"/>
  <c r="S60" i="59"/>
  <c r="S86" i="59"/>
  <c r="S105" i="59"/>
  <c r="S149" i="59"/>
  <c r="S61" i="59"/>
  <c r="S49" i="59"/>
  <c r="S50" i="59"/>
  <c r="S112" i="59"/>
  <c r="S78" i="59"/>
  <c r="S113" i="59"/>
  <c r="S130" i="59"/>
  <c r="S108" i="59"/>
  <c r="S53" i="59"/>
  <c r="S110" i="59"/>
  <c r="S83" i="59"/>
  <c r="S121" i="59"/>
  <c r="S48" i="59"/>
  <c r="S51" i="59"/>
  <c r="S99" i="59"/>
  <c r="S97" i="59"/>
  <c r="S47" i="59"/>
  <c r="S124" i="59"/>
  <c r="S107" i="59"/>
  <c r="S146" i="59"/>
  <c r="S52" i="59"/>
  <c r="S153" i="59"/>
  <c r="S98" i="59"/>
  <c r="S79" i="59"/>
  <c r="S95" i="59"/>
  <c r="S133" i="59"/>
  <c r="S135" i="59"/>
  <c r="S59" i="59"/>
  <c r="S111" i="59"/>
  <c r="S44" i="59"/>
  <c r="S40" i="59"/>
  <c r="S152" i="59"/>
  <c r="S58" i="59"/>
  <c r="S42" i="59"/>
  <c r="S75" i="59"/>
  <c r="S46" i="59"/>
  <c r="S84" i="59"/>
  <c r="S143" i="59"/>
  <c r="S80" i="59"/>
  <c r="S151" i="59"/>
  <c r="S129" i="59"/>
  <c r="S56" i="59"/>
  <c r="S144" i="59"/>
  <c r="S132" i="59"/>
  <c r="S54" i="59"/>
  <c r="S43" i="59"/>
  <c r="S155" i="59"/>
  <c r="S87" i="59"/>
  <c r="S125" i="59"/>
  <c r="S109" i="59"/>
  <c r="S77" i="59"/>
  <c r="S89" i="59"/>
  <c r="S85" i="59"/>
  <c r="S62" i="59"/>
  <c r="S147" i="59"/>
  <c r="S127" i="59"/>
  <c r="S119" i="59"/>
  <c r="S96" i="59"/>
  <c r="S41" i="59"/>
  <c r="S145" i="59"/>
  <c r="S55" i="59"/>
  <c r="S128" i="59"/>
  <c r="S126" i="59"/>
  <c r="S123" i="59"/>
  <c r="S136" i="59"/>
  <c r="S148" i="59"/>
  <c r="S140" i="59"/>
  <c r="S82" i="59"/>
  <c r="S100" i="59"/>
  <c r="S57" i="59"/>
  <c r="S150" i="59"/>
  <c r="L161" i="59"/>
  <c r="L164" i="59" s="1"/>
  <c r="S76" i="59"/>
  <c r="S154" i="59"/>
  <c r="S122" i="59"/>
  <c r="S103" i="59"/>
  <c r="S104" i="59"/>
  <c r="S45" i="59"/>
  <c r="S134" i="59"/>
  <c r="S120" i="59"/>
  <c r="S101" i="59"/>
  <c r="S102" i="59"/>
  <c r="S81" i="59"/>
  <c r="S90" i="59"/>
  <c r="S71" i="59"/>
  <c r="S70" i="59"/>
  <c r="S72" i="59"/>
  <c r="S73" i="59"/>
  <c r="S74" i="59"/>
  <c r="S69" i="59"/>
  <c r="X106" i="59"/>
  <c r="X116" i="59" s="1"/>
  <c r="X159" i="59" s="1"/>
  <c r="J116" i="59"/>
  <c r="J159" i="59" s="1"/>
  <c r="N116" i="59"/>
  <c r="N159" i="59" s="1"/>
  <c r="T106" i="59" s="1"/>
  <c r="Z106" i="59"/>
  <c r="Z116" i="59" s="1"/>
  <c r="Z159" i="59" s="1"/>
  <c r="R35" i="59" l="1"/>
  <c r="S35" i="59"/>
  <c r="T17" i="59"/>
  <c r="T23" i="59"/>
  <c r="T22" i="59"/>
  <c r="T26" i="59"/>
  <c r="T32" i="59"/>
  <c r="T33" i="59"/>
  <c r="T25" i="59"/>
  <c r="T19" i="59"/>
  <c r="T31" i="59"/>
  <c r="T24" i="59"/>
  <c r="T13" i="59"/>
  <c r="T14" i="59"/>
  <c r="T10" i="59"/>
  <c r="T18" i="59"/>
  <c r="T28" i="59"/>
  <c r="T16" i="59"/>
  <c r="T27" i="59"/>
  <c r="T20" i="59"/>
  <c r="T11" i="59"/>
  <c r="T30" i="59"/>
  <c r="T12" i="59"/>
  <c r="T15" i="59"/>
  <c r="T29" i="59"/>
  <c r="S64" i="59"/>
  <c r="S138" i="59"/>
  <c r="S116" i="59"/>
  <c r="S92" i="59"/>
  <c r="S157" i="59"/>
  <c r="Q159" i="59"/>
  <c r="N161" i="59"/>
  <c r="N164" i="59" s="1"/>
  <c r="T89" i="59"/>
  <c r="T79" i="59"/>
  <c r="T113" i="59"/>
  <c r="T97" i="59"/>
  <c r="T47" i="59"/>
  <c r="T96" i="59"/>
  <c r="T140" i="59"/>
  <c r="T61" i="59"/>
  <c r="T135" i="59"/>
  <c r="T95" i="59"/>
  <c r="T82" i="59"/>
  <c r="T133" i="59"/>
  <c r="T54" i="59"/>
  <c r="T151" i="59"/>
  <c r="T58" i="59"/>
  <c r="T146" i="59"/>
  <c r="T83" i="59"/>
  <c r="T50" i="59"/>
  <c r="T155" i="59"/>
  <c r="T99" i="59"/>
  <c r="T57" i="59"/>
  <c r="T78" i="59"/>
  <c r="T53" i="59"/>
  <c r="T46" i="59"/>
  <c r="T51" i="59"/>
  <c r="T147" i="59"/>
  <c r="T153" i="59"/>
  <c r="T44" i="59"/>
  <c r="T56" i="59"/>
  <c r="T134" i="59"/>
  <c r="T114" i="59"/>
  <c r="T85" i="59"/>
  <c r="T75" i="59"/>
  <c r="T76" i="59"/>
  <c r="T124" i="59"/>
  <c r="T129" i="59"/>
  <c r="T43" i="59"/>
  <c r="T120" i="59"/>
  <c r="T131" i="59"/>
  <c r="T55" i="59"/>
  <c r="T127" i="59"/>
  <c r="T77" i="59"/>
  <c r="T42" i="59"/>
  <c r="T101" i="59"/>
  <c r="T126" i="59"/>
  <c r="T122" i="59"/>
  <c r="T107" i="59"/>
  <c r="T123" i="59"/>
  <c r="T121" i="59"/>
  <c r="T112" i="59"/>
  <c r="T87" i="59"/>
  <c r="T88" i="59"/>
  <c r="T145" i="59"/>
  <c r="T60" i="59"/>
  <c r="T86" i="59"/>
  <c r="T149" i="59"/>
  <c r="T81" i="59"/>
  <c r="T45" i="59"/>
  <c r="T90" i="59"/>
  <c r="T103" i="59"/>
  <c r="T148" i="59"/>
  <c r="T49" i="59"/>
  <c r="T59" i="59"/>
  <c r="T136" i="59"/>
  <c r="T119" i="59"/>
  <c r="T130" i="59"/>
  <c r="T125" i="59"/>
  <c r="T80" i="59"/>
  <c r="T104" i="59"/>
  <c r="T109" i="59"/>
  <c r="T98" i="59"/>
  <c r="T152" i="59"/>
  <c r="T143" i="59"/>
  <c r="T48" i="59"/>
  <c r="T84" i="59"/>
  <c r="T105" i="59"/>
  <c r="T41" i="59"/>
  <c r="T132" i="59"/>
  <c r="T144" i="59"/>
  <c r="T150" i="59"/>
  <c r="T108" i="59"/>
  <c r="T62" i="59"/>
  <c r="T110" i="59"/>
  <c r="T52" i="59"/>
  <c r="T128" i="59"/>
  <c r="T100" i="59"/>
  <c r="T111" i="59"/>
  <c r="T40" i="59"/>
  <c r="T154" i="59"/>
  <c r="T102" i="59"/>
  <c r="T71" i="59"/>
  <c r="T72" i="59"/>
  <c r="T70" i="59"/>
  <c r="T73" i="59"/>
  <c r="T74" i="59"/>
  <c r="T69" i="59"/>
  <c r="J161" i="59"/>
  <c r="J164" i="59" s="1"/>
  <c r="R61" i="59"/>
  <c r="R124" i="59"/>
  <c r="R81" i="59"/>
  <c r="R40" i="59"/>
  <c r="R126" i="59"/>
  <c r="R134" i="59"/>
  <c r="R113" i="59"/>
  <c r="R145" i="59"/>
  <c r="R123" i="59"/>
  <c r="R51" i="59"/>
  <c r="R125" i="59"/>
  <c r="R96" i="59"/>
  <c r="R53" i="59"/>
  <c r="R46" i="59"/>
  <c r="R146" i="59"/>
  <c r="R99" i="59"/>
  <c r="R107" i="59"/>
  <c r="R62" i="59"/>
  <c r="R127" i="59"/>
  <c r="R98" i="59"/>
  <c r="R133" i="59"/>
  <c r="R136" i="59"/>
  <c r="R130" i="59"/>
  <c r="R143" i="59"/>
  <c r="R80" i="59"/>
  <c r="R89" i="59"/>
  <c r="R49" i="59"/>
  <c r="R48" i="59"/>
  <c r="R45" i="59"/>
  <c r="R131" i="59"/>
  <c r="R87" i="59"/>
  <c r="R90" i="59"/>
  <c r="R104" i="59"/>
  <c r="R82" i="59"/>
  <c r="R154" i="59"/>
  <c r="R50" i="59"/>
  <c r="R84" i="59"/>
  <c r="R60" i="59"/>
  <c r="R97" i="59"/>
  <c r="R56" i="59"/>
  <c r="R42" i="59"/>
  <c r="R121" i="59"/>
  <c r="R105" i="59"/>
  <c r="R54" i="59"/>
  <c r="R47" i="59"/>
  <c r="R135" i="59"/>
  <c r="R102" i="59"/>
  <c r="R152" i="59"/>
  <c r="R119" i="59"/>
  <c r="R41" i="59"/>
  <c r="R59" i="59"/>
  <c r="R78" i="59"/>
  <c r="R114" i="59"/>
  <c r="R149" i="59"/>
  <c r="R148" i="59"/>
  <c r="R76" i="59"/>
  <c r="R151" i="59"/>
  <c r="R129" i="59"/>
  <c r="R144" i="59"/>
  <c r="R150" i="59"/>
  <c r="R43" i="59"/>
  <c r="R155" i="59"/>
  <c r="R110" i="59"/>
  <c r="R88" i="59"/>
  <c r="R71" i="59"/>
  <c r="R86" i="59"/>
  <c r="R140" i="59"/>
  <c r="R79" i="59"/>
  <c r="R95" i="59"/>
  <c r="R100" i="59"/>
  <c r="R112" i="59"/>
  <c r="R108" i="59"/>
  <c r="R111" i="59"/>
  <c r="R44" i="59"/>
  <c r="R85" i="59"/>
  <c r="R120" i="59"/>
  <c r="R101" i="59"/>
  <c r="R77" i="59"/>
  <c r="R128" i="59"/>
  <c r="R55" i="59"/>
  <c r="R147" i="59"/>
  <c r="R57" i="59"/>
  <c r="R153" i="59"/>
  <c r="R122" i="59"/>
  <c r="R103" i="59"/>
  <c r="R83" i="59"/>
  <c r="R73" i="59"/>
  <c r="R52" i="59"/>
  <c r="R58" i="59"/>
  <c r="R109" i="59"/>
  <c r="R132" i="59"/>
  <c r="R75" i="59"/>
  <c r="R72" i="59"/>
  <c r="R70" i="59"/>
  <c r="R74" i="59"/>
  <c r="R69" i="59"/>
  <c r="R106" i="59"/>
  <c r="T35" i="59" l="1"/>
  <c r="S159" i="59"/>
  <c r="R92" i="59"/>
  <c r="T116" i="59"/>
  <c r="R116" i="59"/>
  <c r="R138" i="59"/>
  <c r="T92" i="59"/>
  <c r="T64" i="59"/>
  <c r="R157" i="59"/>
  <c r="R64" i="59"/>
  <c r="T157" i="59"/>
  <c r="T138" i="59"/>
  <c r="T159" i="59" l="1"/>
  <c r="R159" i="59"/>
  <c r="L157" i="38"/>
  <c r="L159" i="38" s="1"/>
  <c r="L161" i="38" s="1"/>
  <c r="L164" i="38" s="1"/>
  <c r="L165" i="38" s="1"/>
  <c r="N163" i="38" s="1"/>
  <c r="N165" i="38" s="1"/>
  <c r="P163" i="38" s="1"/>
  <c r="P165" i="38" s="1"/>
  <c r="R163" i="38" s="1"/>
  <c r="R165" i="38" s="1"/>
  <c r="T163" i="38" s="1"/>
  <c r="T165" i="38" s="1"/>
  <c r="F146" i="59"/>
  <c r="F157" i="59" s="1"/>
  <c r="F159" i="59" s="1"/>
  <c r="V146" i="59" l="1"/>
  <c r="V157" i="59" s="1"/>
  <c r="V159" i="59" s="1"/>
  <c r="P54" i="59"/>
  <c r="P128" i="59"/>
  <c r="P149" i="59"/>
  <c r="P55" i="59"/>
  <c r="P113" i="59"/>
  <c r="P43" i="59"/>
  <c r="P114" i="59"/>
  <c r="P52" i="59"/>
  <c r="P132" i="59"/>
  <c r="P144" i="59"/>
  <c r="P45" i="59"/>
  <c r="P80" i="59"/>
  <c r="P120" i="59"/>
  <c r="P59" i="59"/>
  <c r="P76" i="59"/>
  <c r="P77" i="59"/>
  <c r="P110" i="59"/>
  <c r="P75" i="59"/>
  <c r="P151" i="59"/>
  <c r="P51" i="59"/>
  <c r="P104" i="59"/>
  <c r="P56" i="59"/>
  <c r="P86" i="59"/>
  <c r="P143" i="59"/>
  <c r="P119" i="59"/>
  <c r="P79" i="59"/>
  <c r="P73" i="59"/>
  <c r="P44" i="59"/>
  <c r="P135" i="59"/>
  <c r="P129" i="59"/>
  <c r="P121" i="59"/>
  <c r="P152" i="59"/>
  <c r="P124" i="59"/>
  <c r="P122" i="59"/>
  <c r="P60" i="59"/>
  <c r="P127" i="59"/>
  <c r="P53" i="59"/>
  <c r="P131" i="59"/>
  <c r="P71" i="59"/>
  <c r="P78" i="59"/>
  <c r="P130" i="59"/>
  <c r="P85" i="59"/>
  <c r="P106" i="59"/>
  <c r="P125" i="59"/>
  <c r="P98" i="59"/>
  <c r="P48" i="59"/>
  <c r="P155" i="59"/>
  <c r="P72" i="59"/>
  <c r="P95" i="59"/>
  <c r="P41" i="59"/>
  <c r="P82" i="59"/>
  <c r="P97" i="59"/>
  <c r="P62" i="59"/>
  <c r="P81" i="59"/>
  <c r="P96" i="59"/>
  <c r="P74" i="59"/>
  <c r="P99" i="59"/>
  <c r="P87" i="59"/>
  <c r="P102" i="59"/>
  <c r="P70" i="59"/>
  <c r="P100" i="59"/>
  <c r="P42" i="59"/>
  <c r="P133" i="59"/>
  <c r="P123" i="59"/>
  <c r="P103" i="59"/>
  <c r="P107" i="59"/>
  <c r="P46" i="59"/>
  <c r="P50" i="59"/>
  <c r="P83" i="59"/>
  <c r="P148" i="59"/>
  <c r="P134" i="59"/>
  <c r="P146" i="59"/>
  <c r="P69" i="59"/>
  <c r="P40" i="59"/>
  <c r="F161" i="59"/>
  <c r="F164" i="59" s="1"/>
  <c r="F165" i="59" s="1"/>
  <c r="H163" i="59" s="1"/>
  <c r="H165" i="59" s="1"/>
  <c r="J163" i="59" s="1"/>
  <c r="J165" i="59" s="1"/>
  <c r="L163" i="59" s="1"/>
  <c r="L165" i="59" s="1"/>
  <c r="N163" i="59" s="1"/>
  <c r="N165" i="59" s="1"/>
  <c r="P147" i="59"/>
  <c r="P154" i="59"/>
  <c r="P84" i="59"/>
  <c r="P105" i="59"/>
  <c r="P101" i="59"/>
  <c r="P145" i="59"/>
  <c r="P61" i="59"/>
  <c r="P153" i="59"/>
  <c r="P112" i="59"/>
  <c r="P88" i="59"/>
  <c r="P108" i="59"/>
  <c r="P111" i="59"/>
  <c r="P140" i="59"/>
  <c r="P136" i="59"/>
  <c r="P90" i="59"/>
  <c r="P89" i="59"/>
  <c r="P126" i="59"/>
  <c r="P49" i="59"/>
  <c r="P58" i="59"/>
  <c r="P57" i="59"/>
  <c r="P150" i="59"/>
  <c r="P47" i="59"/>
  <c r="P109" i="59"/>
  <c r="P92" i="59" l="1"/>
  <c r="P116" i="59"/>
  <c r="P138" i="59"/>
  <c r="P64" i="59"/>
  <c r="P157" i="59"/>
  <c r="P159" i="59" l="1"/>
  <c r="B41" i="35"/>
  <c r="B43" i="35" s="1"/>
</calcChain>
</file>

<file path=xl/sharedStrings.xml><?xml version="1.0" encoding="utf-8"?>
<sst xmlns="http://schemas.openxmlformats.org/spreadsheetml/2006/main" count="1849" uniqueCount="728">
  <si>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</si>
  <si>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</si>
  <si>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</si>
  <si>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</si>
  <si>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</si>
  <si>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</si>
  <si>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</si>
  <si>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</si>
  <si>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</si>
  <si>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</si>
  <si>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</si>
  <si>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</si>
  <si>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</si>
  <si>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</si>
  <si>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</si>
  <si>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</si>
  <si>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</si>
  <si>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</si>
  <si>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</si>
  <si>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</si>
  <si>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</si>
  <si>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</si>
  <si>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</si>
  <si>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</si>
  <si>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</si>
  <si>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</si>
  <si>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</si>
  <si>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</si>
  <si>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</si>
  <si>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</si>
  <si>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</si>
  <si>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</si>
  <si>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</si>
  <si>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</si>
  <si>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</si>
  <si>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</si>
  <si>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</si>
  <si>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</si>
  <si>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</si>
  <si>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</si>
  <si>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</si>
  <si>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</si>
  <si>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</si>
  <si>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</si>
  <si>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</si>
  <si>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</si>
  <si>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</si>
  <si>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</si>
  <si>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</si>
  <si>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</si>
  <si>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</si>
  <si>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</si>
  <si>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</si>
  <si>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</si>
  <si>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</si>
  <si>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</si>
  <si>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</si>
  <si>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</si>
  <si>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</si>
  <si>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</si>
  <si>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</si>
  <si>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</si>
  <si>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</si>
  <si>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</si>
  <si>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</si>
  <si>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</si>
  <si>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</si>
  <si>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</si>
  <si>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</si>
  <si>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</si>
  <si>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</si>
  <si>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</si>
  <si>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</si>
  <si>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</si>
  <si>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</si>
  <si>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</si>
  <si>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</si>
  <si>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</si>
  <si>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</si>
  <si>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</si>
  <si>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</si>
  <si>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</si>
  <si>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</si>
  <si>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</si>
  <si>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</si>
  <si>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</si>
  <si>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</si>
  <si>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</si>
  <si>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</si>
  <si>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</si>
  <si>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</si>
  <si>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</si>
  <si>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</si>
  <si>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</si>
  <si>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</si>
  <si>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</si>
  <si>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</si>
  <si>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</si>
  <si>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</si>
  <si>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</si>
  <si>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</si>
  <si>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</si>
  <si>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</si>
  <si>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</si>
  <si>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</si>
  <si>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</si>
  <si>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</si>
  <si>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</si>
  <si>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</si>
  <si>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</si>
  <si>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</si>
  <si>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</si>
  <si>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</si>
  <si>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</si>
  <si>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</si>
  <si>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</si>
  <si>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</si>
  <si>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</si>
  <si>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</si>
  <si>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</si>
  <si>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</si>
  <si>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</si>
  <si>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</si>
  <si>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</si>
  <si>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</si>
  <si>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</si>
  <si>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</si>
  <si>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</si>
  <si>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</si>
  <si>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</si>
  <si>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</si>
  <si>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</si>
  <si>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</si>
  <si>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</si>
  <si>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</si>
  <si>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</si>
  <si>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</si>
  <si>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</si>
  <si>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</si>
  <si>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</si>
  <si>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</si>
  <si>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</si>
  <si>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</si>
  <si>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</si>
  <si>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</si>
  <si>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</si>
  <si>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</si>
  <si>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</si>
  <si>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</si>
  <si>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</si>
  <si>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</si>
  <si>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</si>
  <si>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</si>
  <si>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</si>
  <si>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</si>
  <si>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</si>
  <si>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</si>
  <si>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</si>
  <si>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</si>
  <si>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</si>
  <si>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</si>
  <si>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</si>
  <si>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</si>
  <si>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</si>
  <si>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</si>
  <si>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</si>
  <si>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</si>
  <si>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</si>
  <si>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</si>
  <si>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</si>
  <si>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</si>
  <si>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</si>
  <si>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</si>
  <si>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</si>
  <si>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</si>
  <si>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</si>
  <si>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</si>
  <si>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</si>
  <si>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</si>
  <si>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</si>
  <si>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</si>
  <si>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</si>
  <si>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</si>
  <si>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</si>
  <si>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</si>
  <si>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</si>
  <si>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</si>
  <si>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</si>
  <si>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</si>
  <si>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</si>
  <si>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</si>
  <si>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</si>
  <si>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</si>
  <si>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</si>
  <si>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</si>
  <si>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</si>
  <si>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</si>
  <si>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</si>
  <si>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</si>
  <si>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</si>
  <si>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</si>
  <si>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</si>
  <si>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</si>
  <si>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</si>
  <si>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</si>
  <si>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</si>
  <si>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</si>
  <si>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</si>
  <si>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</si>
  <si>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</si>
  <si>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</si>
  <si>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</si>
  <si>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</si>
  <si>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</si>
  <si>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</si>
  <si>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</si>
  <si>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</si>
  <si>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</si>
  <si>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</si>
  <si>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</si>
  <si>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</si>
  <si>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</si>
  <si>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</si>
  <si>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</si>
  <si>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</si>
  <si>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</si>
  <si>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</si>
  <si>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</si>
  <si>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</si>
  <si>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</si>
  <si>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</si>
  <si>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</si>
  <si>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</si>
  <si>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</si>
  <si>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</si>
  <si>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</si>
  <si>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</si>
  <si>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</si>
  <si>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</si>
  <si>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</si>
  <si>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</si>
  <si>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</si>
  <si>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</si>
  <si>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</si>
  <si>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</si>
  <si>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</si>
  <si>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</si>
  <si>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</si>
  <si>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</si>
  <si>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</si>
  <si>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</si>
  <si>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</si>
  <si>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</si>
  <si>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</si>
  <si>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</si>
  <si>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</si>
  <si>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</si>
  <si>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</si>
  <si>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</si>
  <si>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</si>
  <si>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</si>
  <si>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</si>
  <si>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</si>
  <si>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</si>
  <si>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</si>
  <si>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</si>
  <si>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</si>
  <si>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</si>
  <si>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</si>
  <si>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</si>
  <si>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</si>
  <si>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</si>
  <si>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</si>
  <si>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</si>
  <si>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</si>
  <si>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</si>
  <si>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</si>
  <si>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</si>
  <si>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</si>
  <si>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</si>
  <si>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</si>
  <si>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</si>
  <si>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</si>
  <si>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</si>
  <si>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</si>
  <si>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</si>
  <si>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</si>
  <si>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</si>
  <si>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</si>
  <si>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</si>
  <si>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</si>
  <si>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</si>
  <si>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</si>
  <si>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</si>
  <si>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</si>
  <si>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</si>
  <si>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</si>
  <si>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</si>
  <si>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</si>
  <si>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</si>
  <si>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</si>
  <si>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</si>
  <si>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</si>
  <si>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</si>
  <si>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</si>
  <si>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</si>
  <si>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</si>
  <si>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</si>
  <si>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</si>
  <si>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</si>
  <si>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</si>
  <si>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</si>
  <si>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</si>
  <si>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</si>
  <si>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</si>
  <si>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</si>
  <si>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</si>
  <si>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</si>
  <si>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</si>
  <si>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</si>
  <si>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</si>
  <si>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</si>
  <si>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</si>
  <si>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</si>
  <si>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</si>
  <si>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</si>
  <si>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</si>
  <si>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</si>
  <si>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</si>
  <si>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</si>
  <si>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</si>
  <si>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</si>
  <si>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</si>
  <si>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</si>
  <si>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</si>
  <si>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</si>
  <si>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</si>
  <si>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</si>
  <si>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</si>
  <si>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</si>
  <si>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</si>
  <si>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</si>
  <si>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</si>
  <si>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</si>
  <si>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</si>
  <si>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</si>
  <si>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</si>
  <si>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</si>
  <si>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</si>
  <si>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</si>
  <si>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</si>
  <si>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</si>
  <si>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</si>
  <si>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</si>
  <si>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</si>
  <si>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</si>
  <si>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</si>
  <si>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</si>
  <si>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</si>
  <si>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</si>
  <si>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</si>
  <si>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</si>
  <si>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</si>
  <si>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</si>
  <si>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</si>
  <si>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</si>
  <si>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</si>
  <si>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</si>
  <si>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</si>
  <si>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</si>
  <si>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</si>
  <si>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</si>
  <si>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</si>
  <si>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</si>
  <si>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</si>
  <si>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</si>
  <si>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</si>
  <si>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</si>
  <si>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</si>
  <si>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</si>
  <si>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</si>
  <si>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</si>
  <si>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</si>
  <si>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</si>
  <si>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</si>
  <si>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</si>
  <si>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</si>
  <si>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</si>
  <si>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</si>
  <si>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</si>
  <si>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</si>
  <si>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</si>
  <si>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</si>
  <si>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</si>
  <si>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</si>
  <si>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</si>
  <si>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</si>
  <si>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</si>
  <si>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</si>
  <si>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</si>
  <si>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</si>
  <si>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</si>
  <si>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</si>
  <si>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</si>
  <si>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</si>
  <si>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</si>
  <si>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</si>
  <si>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</si>
  <si>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</si>
  <si>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</si>
  <si>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</si>
  <si>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</si>
  <si>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</si>
  <si>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</si>
  <si>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</si>
  <si>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</si>
  <si>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</si>
  <si>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</si>
  <si>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</si>
  <si>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</si>
  <si>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</si>
  <si>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</si>
  <si>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</si>
  <si>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</si>
  <si>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</si>
  <si>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</si>
  <si>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</si>
  <si>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</si>
  <si>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</si>
  <si>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</si>
  <si>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</si>
  <si>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</si>
  <si>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</si>
  <si>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</si>
  <si>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</si>
  <si>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</si>
  <si>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</si>
  <si>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</si>
  <si>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</si>
  <si>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</si>
  <si>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</si>
  <si>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</si>
  <si>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</si>
  <si>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</si>
  <si>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</si>
  <si>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</si>
  <si>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</si>
  <si>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</si>
  <si>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</si>
  <si>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</si>
  <si>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</si>
  <si>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</si>
  <si>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</si>
  <si>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</si>
  <si>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</si>
  <si>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</si>
  <si>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</si>
  <si>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</si>
  <si>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</si>
  <si>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</si>
  <si>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</si>
  <si>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</si>
  <si>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</si>
  <si>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</si>
  <si>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</si>
  <si>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</si>
  <si>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</si>
  <si>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</si>
  <si>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</si>
  <si>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</si>
  <si>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</si>
  <si>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</si>
  <si>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</si>
  <si>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</si>
  <si>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</si>
  <si>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</si>
  <si>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</si>
  <si>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</si>
  <si>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</si>
  <si>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</si>
  <si>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</si>
  <si>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</si>
  <si>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</si>
  <si>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</si>
  <si>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</si>
  <si>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</si>
  <si>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</si>
  <si>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</si>
  <si>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</si>
  <si>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</si>
  <si>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</si>
  <si>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</si>
  <si>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</si>
  <si>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</si>
  <si>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</si>
  <si>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</si>
  <si>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</si>
  <si>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</si>
  <si>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</si>
  <si>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</si>
  <si>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</si>
  <si>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</si>
  <si>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</si>
  <si>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</si>
  <si>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</si>
  <si>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</si>
  <si>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</si>
  <si>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</si>
  <si>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</si>
  <si>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</si>
  <si>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</si>
  <si>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r>
      <rPr>
        <b/>
        <i/>
        <sz val="11"/>
        <rFont val="Arial"/>
        <family val="2"/>
      </rPr>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</si>
  <si>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</si>
  <si>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</si>
  <si>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</si>
  <si>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</si>
  <si>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</si>
  <si>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</si>
  <si>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</si>
  <si>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</si>
  <si>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</si>
  <si>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</si>
  <si>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</si>
  <si>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</si>
  <si>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</si>
  <si>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</si>
  <si>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</si>
  <si>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</si>
  <si>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</si>
  <si>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</si>
  <si>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</si>
  <si>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</si>
  <si>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</si>
  <si>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</si>
  <si>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</si>
  <si>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</si>
  <si>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</si>
  <si>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</si>
  <si>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</si>
  <si>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</si>
  <si>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</si>
  <si>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</si>
  <si>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</si>
  <si>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</si>
  <si>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r>
      <rPr>
        <i/>
        <sz val="11"/>
        <rFont val="Arial"/>
        <family val="2"/>
      </rPr>
      <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</si>
  <si>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</si>
  <si>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</si>
  <si>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</si>
  <si>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</si>
  <si>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</si>
  <si>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</si>
  <si>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</si>
  <si>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</si>
  <si>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</si>
  <si>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</si>
  <si>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</si>
  <si>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</si>
  <si>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</si>
  <si>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</si>
  <si>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</si>
  <si>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</si>
  <si>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</si>
  <si>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</si>
  <si>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</si>
  <si>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</si>
  <si>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</si>
  <si>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</si>
  <si>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</si>
  <si>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</si>
  <si>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For contractual clinicians, their budgeted positions and compensation are pulled from the "Contractual Clinicians" worksheet. </t>
    </r>
    <r>
      <rPr>
        <sz val="11"/>
        <rFont val="Arial"/>
        <family val="2"/>
      </rPr>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</si>
  <si>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</si>
  <si>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</si>
  <si>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</si>
  <si>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</si>
  <si>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</si>
  <si>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</si>
  <si>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</si>
  <si>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</si>
  <si>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</si>
  <si>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</si>
  <si>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</si>
  <si>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</si>
  <si>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</si>
  <si>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</si>
  <si>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</si>
  <si>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</si>
  <si>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</si>
  <si>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Site Director</t>
  </si>
  <si>
    <t>Resource Specialist</t>
  </si>
  <si>
    <t>Transition Specialist</t>
  </si>
  <si>
    <t>Blended Learning Coordinator</t>
  </si>
  <si>
    <t>Registrar</t>
  </si>
  <si>
    <t>Managing Director</t>
  </si>
  <si>
    <t>Director of Education</t>
  </si>
  <si>
    <t>Director of Finance &amp; Operations</t>
  </si>
  <si>
    <t>Total</t>
  </si>
  <si>
    <t xml:space="preserve">See 'Calculations' tab for each location's funding assumption. 
</t>
  </si>
  <si>
    <t>Beginning in Y2 - 90% reimbursement on computer network equipment, telecommunications, and internet</t>
  </si>
  <si>
    <t>Fundraising</t>
  </si>
  <si>
    <t>Campus 1</t>
  </si>
  <si>
    <t>Campus 3</t>
  </si>
  <si>
    <t>Campus 4</t>
  </si>
  <si>
    <t>Campus 5</t>
  </si>
  <si>
    <t>Campuses Open</t>
  </si>
  <si>
    <t>Opening Schedule</t>
  </si>
  <si>
    <t>(x = actual opening; o = template reflected opening)</t>
  </si>
  <si>
    <t>x o</t>
  </si>
  <si>
    <t>o</t>
  </si>
  <si>
    <t>x</t>
  </si>
  <si>
    <t>Fundraising Assumptions</t>
  </si>
  <si>
    <t>Org</t>
  </si>
  <si>
    <t>$</t>
  </si>
  <si>
    <t>Assumption</t>
  </si>
  <si>
    <t>WIA</t>
  </si>
  <si>
    <t>$75K per campus beginning in Y2 of each campus</t>
  </si>
  <si>
    <t>NGLC</t>
  </si>
  <si>
    <t>$150K one-time grant in Y0 - applicable only to one campus</t>
  </si>
  <si>
    <t>Walton</t>
  </si>
  <si>
    <t>$250K in Y1 of every campus</t>
  </si>
  <si>
    <t>CFA Board</t>
  </si>
  <si>
    <t>$50K per year distrinbuted equally between all campuses</t>
  </si>
  <si>
    <t>Fringe Benefit's % of Salary</t>
  </si>
  <si>
    <t>Y1</t>
  </si>
  <si>
    <t>Y2</t>
  </si>
  <si>
    <t>Y3</t>
  </si>
  <si>
    <t>Y4</t>
  </si>
  <si>
    <t>Y5</t>
  </si>
  <si>
    <t>Pension-CTPF(Charter School's Share of 9% of Employee w/h)</t>
  </si>
  <si>
    <t>Total Fringe Benefits (a)</t>
  </si>
  <si>
    <t>Total CTPF Salary (b)</t>
  </si>
  <si>
    <t>Fringe Benefit's % of Salary (a/b)</t>
  </si>
  <si>
    <t>Tuition Calculations</t>
  </si>
  <si>
    <t>Estimated # of students in year</t>
  </si>
  <si>
    <t>% time at local college</t>
  </si>
  <si>
    <t># of students enrolled at local college; weighted for time spent enrolled in college courses</t>
  </si>
  <si>
    <t>Total Dual Enrollment Students</t>
  </si>
  <si>
    <t>Total Dual Enrollment Tuition</t>
  </si>
  <si>
    <t>Full-time Tuition per student</t>
  </si>
  <si>
    <t>^ based on similar Chicago charter partnership</t>
  </si>
  <si>
    <t>IT Assumptions</t>
  </si>
  <si>
    <t>Y0</t>
  </si>
  <si>
    <t>Digital Curricula</t>
  </si>
  <si>
    <t>per student</t>
  </si>
  <si>
    <t>Instructional Systems</t>
  </si>
  <si>
    <t>Student Information System</t>
  </si>
  <si>
    <t>$20K per year + $10 per student</t>
  </si>
  <si>
    <t>Devices Students</t>
  </si>
  <si>
    <t>chromebook per new student + 40 new chromebooks/year for replacement (purchased one year in advance per NGLC grant)</t>
  </si>
  <si>
    <t>Computer Network Equipment</t>
  </si>
  <si>
    <t>wiring, infrastucture, switches, firewalls, maintenance</t>
  </si>
  <si>
    <t>Facility Size Assumptions</t>
  </si>
  <si>
    <t xml:space="preserve">Facility Sq. Ft. </t>
  </si>
  <si>
    <t xml:space="preserve">Rent per sq. ft. </t>
  </si>
  <si>
    <t>CPS Preferred Neighborhood</t>
  </si>
  <si>
    <t>TBD</t>
  </si>
  <si>
    <t>Chicago Lawn</t>
  </si>
  <si>
    <t>Englewood</t>
  </si>
  <si>
    <t xml:space="preserve">Campus 2 </t>
  </si>
  <si>
    <t xml:space="preserve">Student fees estimated at $125 per pupil, based on comparables from Chicago charter school serving an alternative student population. </t>
  </si>
  <si>
    <t>CFA estimates $25 per student for classroom supplies, based on estimates from comparable Chicago charter school serving alternative student population.</t>
  </si>
  <si>
    <t>Rates are based on estimates from comparable Chicago charter school serving alternative student population.</t>
  </si>
  <si>
    <t>Rates are based on estimates from comparable Chicago charter school.</t>
  </si>
  <si>
    <t>Assumed $1,000 per year plus $25 for empty seats to be filled in the coming year; based on comparables from Chicago charter school serving an alternative student population.</t>
  </si>
  <si>
    <t>See 'Calculations' tab for IT breakdown. Rates are based on comparable blended learning Charter model.</t>
  </si>
  <si>
    <t>$80 per new student 1 year in advance</t>
  </si>
  <si>
    <t>Two times estimated student fees</t>
  </si>
  <si>
    <t>Dual Enrollment</t>
  </si>
  <si>
    <t>Tuition payment to local college for courses delivered to CFA students. See 'Calculations' tab line 60 and Budget Narrative</t>
  </si>
  <si>
    <t>Rates are based on estimates from comparable Chicago charter school. Employer share at $400/month/employee</t>
  </si>
  <si>
    <t>Rates are based on estimates from comparable Chicago charter school applicant.</t>
  </si>
  <si>
    <t>Staff not growing - spending here accounts for staff attrition.</t>
  </si>
  <si>
    <t>$130 per day, each teacher gets 5 days of substitutes</t>
  </si>
  <si>
    <t xml:space="preserve">Esimated $1,000 per new employee, one year in advance; based on comparables from Chicago charter school. </t>
  </si>
  <si>
    <t>Rates are based on estimates from comparable blended learning charter school</t>
  </si>
  <si>
    <t>$1000 per new employee for desktop computer</t>
  </si>
  <si>
    <t>See 'CMO costs' tab</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</si>
  <si>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</si>
  <si>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</si>
  <si>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</si>
  <si>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</si>
  <si>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</si>
  <si>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</si>
  <si>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</si>
  <si>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</si>
  <si>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</si>
  <si>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</si>
  <si>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</si>
  <si>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Assumes Walton Foundation procedes in Y1 are stored in contingency</t>
  </si>
  <si>
    <t>Postions</t>
  </si>
  <si>
    <t>Inflation Factor</t>
  </si>
  <si>
    <t>Benefit Load</t>
  </si>
  <si>
    <t>Budget Manager</t>
  </si>
  <si>
    <t>Accounting Manager</t>
  </si>
  <si>
    <t>Payroll &amp; A/P Clerk</t>
  </si>
  <si>
    <t>HR Manager</t>
  </si>
  <si>
    <t>Ops Manager</t>
  </si>
  <si>
    <t>Salaries &amp; Benefits</t>
  </si>
  <si>
    <t>Campus 2</t>
  </si>
  <si>
    <t>Check</t>
  </si>
  <si>
    <t>School Enrollment</t>
  </si>
  <si>
    <t>Campus 1 Summary</t>
  </si>
  <si>
    <t>Enrollment</t>
  </si>
  <si>
    <t>Managing Director/CEO</t>
  </si>
  <si>
    <t>Director of Education/CAO</t>
  </si>
  <si>
    <t>Dir. Fin. &amp; Oper./COO</t>
  </si>
  <si>
    <t>CEO and COO cost allocated to Y0</t>
  </si>
  <si>
    <t>CO total enrollment</t>
  </si>
  <si>
    <t>CO Staff - Charge per pupil</t>
  </si>
  <si>
    <t>CO Fee - Total</t>
  </si>
  <si>
    <t>CO personnel cost allocation</t>
  </si>
  <si>
    <t>CO Non-Personnel Breakout</t>
  </si>
  <si>
    <t>assumes CEO and COO will allocate 1/3 of their time to Y0 planning for opening school in 2015-2018</t>
  </si>
  <si>
    <t>CO Non-Personnel Breakout (per pupil)</t>
  </si>
  <si>
    <t>CO Non-Personnel Breakout (Total for School)</t>
  </si>
  <si>
    <t>Central Operations Fees</t>
  </si>
  <si>
    <t>Greater Grand Crossing</t>
  </si>
  <si>
    <t>Grand Boulevard</t>
  </si>
  <si>
    <t>See 'Central Ops Cost' tab</t>
  </si>
  <si>
    <t>See 'Central Ops Costs' tab</t>
  </si>
  <si>
    <t>Lumity Consultant Services</t>
  </si>
  <si>
    <t xml:space="preserve">Gateway to College National Network </t>
  </si>
  <si>
    <t>Social Worker</t>
  </si>
  <si>
    <t>Receptionist/Administrative Asst</t>
  </si>
  <si>
    <t>CO Year:</t>
  </si>
  <si>
    <t>Students in their first year at CFA will spend about 20% of class time at community college</t>
  </si>
  <si>
    <t>Students in their second year at CFA will spend about 40% of class time at community college</t>
  </si>
  <si>
    <t>Students in their third year at CFA will spend about 80% of class time at community college</t>
  </si>
  <si>
    <t>Connected Future Academy Campus 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</si>
</sst>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0.0%"/>
    <numFmt numFmtId="169" formatCode="0.0"/>
    <numFmt numFmtId="170" formatCode="#,##0.0"/>
    <numFmt numFmtId="171" formatCode="0_);\(0\)"/>
    <numFmt numFmtId="172" formatCode="_(&quot;$&quot;* #,##0_);_(&quot;$&quot;* \(#,##0\);_(&quot;$&quot;* &quot;-&quot;??_);_(@_)"/>
  </numFmts>
  <fonts count="78" x14ac:knownFonts="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u/>
      <sz val="10"/>
      <name val="Arial"/>
      <family val="2"/>
    </font>
    <font>
      <sz val="8"/>
      <color theme="1"/>
      <name val="Calibri"/>
      <family val="2"/>
      <scheme val="minor"/>
    </font>
    <font>
      <u/>
      <sz val="8"/>
      <color theme="1"/>
      <name val="Calibri"/>
      <family val="2"/>
      <scheme val="minor"/>
    </font>
    <font>
      <b/>
      <u/>
      <sz val="8"/>
      <color theme="1"/>
      <name val="Calibri"/>
      <family val="2"/>
      <scheme val="minor"/>
    </font>
    <font>
      <sz val="8"/>
      <name val="Calibri"/>
      <family val="2"/>
      <scheme val="minor"/>
    </font>
    <font>
      <sz val="8"/>
      <color rgb="FFFF0000"/>
      <name val="Calibri"/>
      <family val="2"/>
      <scheme val="minor"/>
    </font>
    <font>
      <b/>
      <sz val="8"/>
      <name val="Calibri"/>
      <family val="2"/>
      <scheme val="minor"/>
    </font>
    <font>
      <b/>
      <sz val="8"/>
      <color theme="1"/>
      <name val="Calibri"/>
      <family val="2"/>
      <scheme val="minor"/>
    </font>
    <font>
      <b/>
      <i/>
      <sz val="8"/>
      <name val="Calibri"/>
      <family val="2"/>
      <scheme val="minor"/>
    </font>
    <font>
      <b/>
      <i/>
      <sz val="8"/>
      <color theme="1"/>
      <name val="Calibri"/>
      <family val="2"/>
      <scheme val="minor"/>
    </font>
    <font>
      <i/>
      <sz val="8"/>
      <color theme="1"/>
      <name val="Calibri"/>
      <family val="2"/>
      <scheme val="minor"/>
    </font>
    <font>
      <i/>
      <sz val="8"/>
      <name val="Calibri"/>
      <family val="2"/>
      <scheme val="minor"/>
    </font>
    <font>
      <u/>
      <sz val="8"/>
      <name val="Calibri"/>
      <family val="2"/>
      <scheme val="minor"/>
    </font>
    <font>
      <b/>
      <u val="singleAccounting"/>
      <sz val="8"/>
      <color theme="1"/>
      <name val="Calibri"/>
      <family val="2"/>
      <scheme val="minor"/>
    </font>
    <font>
      <sz val="8"/>
      <color theme="3" tint="0.39997558519241921"/>
      <name val="Calibri"/>
      <family val="2"/>
      <scheme val="minor"/>
    </font>
    <font>
      <i/>
      <u/>
      <sz val="8"/>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CC99"/>
      </patternFill>
    </fill>
    <fill>
      <patternFill patternType="solid">
        <fgColor rgb="FFFFFF00"/>
        <bgColor indexed="64"/>
      </patternFill>
    </fill>
    <fill>
      <patternFill patternType="solid">
        <fgColor theme="0" tint="-0.34998626667073579"/>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6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9" fillId="0" borderId="0"/>
    <xf numFmtId="0" fontId="9"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9" fillId="0" borderId="63" applyNumberFormat="0" applyFill="0" applyAlignment="0" applyProtection="0"/>
    <xf numFmtId="0" fontId="60" fillId="0" borderId="64" applyNumberFormat="0" applyFill="0" applyAlignment="0" applyProtection="0"/>
    <xf numFmtId="0" fontId="61" fillId="36" borderId="65" applyNumberFormat="0" applyAlignment="0" applyProtection="0"/>
    <xf numFmtId="0" fontId="51" fillId="0" borderId="0"/>
    <xf numFmtId="0" fontId="3" fillId="0" borderId="0"/>
    <xf numFmtId="0" fontId="3" fillId="0" borderId="0"/>
    <xf numFmtId="0" fontId="2" fillId="0" borderId="0"/>
    <xf numFmtId="0" fontId="2" fillId="0" borderId="0"/>
    <xf numFmtId="0" fontId="3" fillId="0" borderId="0"/>
    <xf numFmtId="0" fontId="2" fillId="0" borderId="0"/>
    <xf numFmtId="9" fontId="2" fillId="0" borderId="0" applyFont="0" applyFill="0" applyBorder="0" applyAlignment="0" applyProtection="0"/>
    <xf numFmtId="0" fontId="58" fillId="0" borderId="66" applyNumberFormat="0" applyFill="0" applyAlignment="0" applyProtection="0"/>
    <xf numFmtId="0" fontId="1" fillId="0" borderId="0"/>
  </cellStyleXfs>
  <cellXfs count="1293">
    <xf numFmtId="0" fontId="0" fillId="0" borderId="0" xfId="0"/>
    <xf numFmtId="0" fontId="25" fillId="0" borderId="0" xfId="0" applyFont="1"/>
    <xf numFmtId="0" fontId="27" fillId="0" borderId="0" xfId="0" applyFont="1"/>
    <xf numFmtId="0" fontId="25" fillId="0" borderId="0" xfId="0" applyFont="1" applyBorder="1"/>
    <xf numFmtId="0" fontId="0" fillId="0" borderId="0" xfId="0" applyProtection="1">
      <protection locked="0"/>
    </xf>
    <xf numFmtId="0" fontId="30" fillId="0" borderId="0" xfId="0" applyFont="1" applyAlignment="1">
      <alignment horizontal="center"/>
    </xf>
    <xf numFmtId="0" fontId="30" fillId="0" borderId="0" xfId="0" applyFont="1" applyBorder="1" applyProtection="1"/>
    <xf numFmtId="0" fontId="30" fillId="0" borderId="0" xfId="0" applyFont="1" applyBorder="1"/>
    <xf numFmtId="0" fontId="30" fillId="0" borderId="0" xfId="0" applyFont="1" applyProtection="1">
      <protection locked="0"/>
    </xf>
    <xf numFmtId="164" fontId="26" fillId="0" borderId="0" xfId="0" applyNumberFormat="1" applyFont="1" applyFill="1" applyBorder="1" applyAlignment="1" applyProtection="1">
      <alignment horizontal="left" indent="2"/>
      <protection locked="0"/>
    </xf>
    <xf numFmtId="14" fontId="27" fillId="0" borderId="0" xfId="0" applyNumberFormat="1" applyFont="1" applyFill="1" applyBorder="1" applyAlignment="1" applyProtection="1">
      <alignment horizontal="left" indent="2"/>
      <protection locked="0"/>
    </xf>
    <xf numFmtId="0" fontId="30" fillId="0" borderId="0" xfId="0" applyFont="1"/>
    <xf numFmtId="0" fontId="36" fillId="0" borderId="0" xfId="0" applyFont="1" applyFill="1" applyBorder="1" applyAlignment="1" applyProtection="1">
      <alignment horizontal="left" indent="2"/>
      <protection locked="0"/>
    </xf>
    <xf numFmtId="0" fontId="35" fillId="0" borderId="0" xfId="0" applyFont="1" applyFill="1" applyBorder="1" applyAlignment="1">
      <alignment horizontal="left" indent="2"/>
    </xf>
    <xf numFmtId="0" fontId="28" fillId="0" borderId="0" xfId="0" applyFont="1"/>
    <xf numFmtId="0" fontId="36" fillId="0" borderId="0" xfId="0" applyNumberFormat="1" applyFont="1" applyFill="1" applyBorder="1" applyAlignment="1" applyProtection="1">
      <alignment horizontal="left" indent="2"/>
      <protection locked="0"/>
    </xf>
    <xf numFmtId="14" fontId="35" fillId="0" borderId="0" xfId="0" applyNumberFormat="1" applyFont="1" applyFill="1" applyBorder="1" applyAlignment="1">
      <alignment horizontal="left" indent="2"/>
    </xf>
    <xf numFmtId="14" fontId="35" fillId="0" borderId="0" xfId="0" applyNumberFormat="1" applyFont="1" applyFill="1" applyBorder="1" applyAlignment="1" applyProtection="1">
      <alignment horizontal="left" indent="2"/>
      <protection locked="0"/>
    </xf>
    <xf numFmtId="0" fontId="28" fillId="0" borderId="0" xfId="0" applyFont="1" applyProtection="1">
      <protection locked="0"/>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2" fillId="0" borderId="0" xfId="0" applyFont="1" applyProtection="1">
      <protection locked="0"/>
    </xf>
    <xf numFmtId="0" fontId="33" fillId="0" borderId="0" xfId="0" applyFont="1" applyAlignment="1">
      <alignment horizontal="left" indent="1"/>
    </xf>
    <xf numFmtId="165" fontId="33" fillId="0" borderId="10" xfId="0" applyNumberFormat="1" applyFont="1" applyBorder="1" applyAlignment="1" applyProtection="1">
      <alignment horizontal="right"/>
      <protection locked="0"/>
    </xf>
    <xf numFmtId="165" fontId="33" fillId="0" borderId="0" xfId="0" applyNumberFormat="1" applyFont="1" applyAlignment="1">
      <alignment horizontal="left" indent="1"/>
    </xf>
    <xf numFmtId="165" fontId="33" fillId="0" borderId="0" xfId="0" applyNumberFormat="1" applyFont="1" applyAlignment="1" applyProtection="1">
      <alignment horizontal="right"/>
      <protection locked="0"/>
    </xf>
    <xf numFmtId="165" fontId="33" fillId="0" borderId="0" xfId="0" applyNumberFormat="1" applyFont="1" applyAlignment="1" applyProtection="1">
      <alignment horizontal="left"/>
      <protection locked="0"/>
    </xf>
    <xf numFmtId="0" fontId="33" fillId="0" borderId="0" xfId="0" applyFont="1" applyAlignment="1" applyProtection="1">
      <alignment horizontal="left" indent="1"/>
      <protection locked="0"/>
    </xf>
    <xf numFmtId="165" fontId="33" fillId="0" borderId="0" xfId="0" applyNumberFormat="1" applyFont="1" applyAlignment="1" applyProtection="1">
      <alignment horizontal="left" indent="1"/>
      <protection locked="0"/>
    </xf>
    <xf numFmtId="165" fontId="33" fillId="0" borderId="0" xfId="0" applyNumberFormat="1" applyFont="1" applyBorder="1" applyAlignment="1" applyProtection="1">
      <alignment horizontal="right"/>
      <protection locked="0"/>
    </xf>
    <xf numFmtId="165" fontId="33" fillId="0" borderId="0" xfId="0" applyNumberFormat="1" applyFont="1" applyAlignment="1">
      <alignment horizontal="left"/>
    </xf>
    <xf numFmtId="165" fontId="33" fillId="0" borderId="0" xfId="0" applyNumberFormat="1" applyFont="1" applyAlignment="1">
      <alignment horizontal="right"/>
    </xf>
    <xf numFmtId="165" fontId="33" fillId="0" borderId="0" xfId="0" applyNumberFormat="1" applyFont="1"/>
    <xf numFmtId="165" fontId="37" fillId="0" borderId="0" xfId="0" applyNumberFormat="1" applyFont="1" applyAlignment="1">
      <alignment horizontal="left" indent="1"/>
    </xf>
    <xf numFmtId="165" fontId="33" fillId="0" borderId="0" xfId="0" applyNumberFormat="1" applyFont="1" applyProtection="1">
      <protection locked="0"/>
    </xf>
    <xf numFmtId="0" fontId="37" fillId="0" borderId="0" xfId="0" applyFont="1" applyProtection="1">
      <protection locked="0"/>
    </xf>
    <xf numFmtId="165" fontId="38" fillId="0" borderId="0" xfId="0" applyNumberFormat="1" applyFont="1" applyAlignment="1">
      <alignment horizontal="center"/>
    </xf>
    <xf numFmtId="165" fontId="33" fillId="0" borderId="0" xfId="38" applyNumberFormat="1" applyFont="1" applyAlignment="1">
      <alignment horizontal="right"/>
    </xf>
    <xf numFmtId="165" fontId="37" fillId="0" borderId="0" xfId="38" applyNumberFormat="1" applyFont="1" applyAlignment="1">
      <alignment horizontal="left" indent="1"/>
    </xf>
    <xf numFmtId="165" fontId="33" fillId="0" borderId="0" xfId="38" applyNumberFormat="1" applyFont="1" applyAlignment="1">
      <alignment horizontal="left"/>
    </xf>
    <xf numFmtId="0" fontId="39" fillId="0" borderId="0" xfId="38" applyFont="1" applyAlignment="1">
      <alignment horizontal="left" indent="2"/>
    </xf>
    <xf numFmtId="165" fontId="33" fillId="0" borderId="10" xfId="38" applyNumberFormat="1" applyFont="1" applyBorder="1" applyAlignment="1" applyProtection="1">
      <alignment horizontal="right"/>
      <protection locked="0"/>
    </xf>
    <xf numFmtId="165" fontId="39" fillId="0" borderId="0" xfId="38" applyNumberFormat="1" applyFont="1" applyAlignment="1">
      <alignment horizontal="left" indent="2"/>
    </xf>
    <xf numFmtId="165" fontId="33" fillId="0" borderId="0" xfId="38" applyNumberFormat="1" applyFont="1" applyAlignment="1" applyProtection="1">
      <alignment horizontal="left"/>
      <protection locked="0"/>
    </xf>
    <xf numFmtId="165" fontId="33" fillId="0" borderId="0" xfId="38" applyNumberFormat="1" applyFont="1" applyAlignment="1" applyProtection="1">
      <alignment horizontal="right"/>
      <protection locked="0"/>
    </xf>
    <xf numFmtId="0" fontId="39" fillId="0" borderId="0" xfId="38" applyFont="1" applyAlignment="1" applyProtection="1">
      <alignment horizontal="left" indent="2"/>
      <protection locked="0"/>
    </xf>
    <xf numFmtId="165" fontId="39" fillId="0" borderId="0" xfId="38" applyNumberFormat="1" applyFont="1" applyAlignment="1" applyProtection="1">
      <alignment horizontal="left" indent="2"/>
      <protection locked="0"/>
    </xf>
    <xf numFmtId="165" fontId="33" fillId="0" borderId="0" xfId="38" applyNumberFormat="1" applyFont="1" applyBorder="1" applyAlignment="1">
      <alignment horizontal="right"/>
    </xf>
    <xf numFmtId="165" fontId="33" fillId="0" borderId="0" xfId="0" applyNumberFormat="1" applyFont="1" applyBorder="1"/>
    <xf numFmtId="0" fontId="33" fillId="0" borderId="0" xfId="38" applyFont="1" applyAlignment="1" applyProtection="1">
      <alignment horizontal="left" indent="1"/>
      <protection locked="0"/>
    </xf>
    <xf numFmtId="165" fontId="33" fillId="0" borderId="0" xfId="38" applyNumberFormat="1" applyFont="1" applyAlignment="1" applyProtection="1">
      <alignment horizontal="left" indent="1"/>
      <protection locked="0"/>
    </xf>
    <xf numFmtId="165" fontId="33" fillId="0" borderId="10" xfId="0" applyNumberFormat="1" applyFont="1" applyBorder="1" applyProtection="1">
      <protection locked="0"/>
    </xf>
    <xf numFmtId="165" fontId="33" fillId="0" borderId="0" xfId="38" applyNumberFormat="1" applyFont="1" applyAlignment="1" applyProtection="1">
      <alignment horizontal="left" indent="2"/>
      <protection locked="0"/>
    </xf>
    <xf numFmtId="0" fontId="37" fillId="0" borderId="0" xfId="38" applyFont="1" applyAlignment="1" applyProtection="1">
      <alignment horizontal="left" indent="1"/>
      <protection locked="0"/>
    </xf>
    <xf numFmtId="165" fontId="33" fillId="0" borderId="0" xfId="38" applyNumberFormat="1" applyFont="1" applyBorder="1" applyAlignment="1" applyProtection="1">
      <alignment horizontal="right"/>
      <protection locked="0"/>
    </xf>
    <xf numFmtId="165" fontId="37" fillId="0" borderId="0" xfId="38" applyNumberFormat="1" applyFont="1" applyAlignment="1" applyProtection="1">
      <alignment horizontal="left" indent="1"/>
      <protection locked="0"/>
    </xf>
    <xf numFmtId="165" fontId="33" fillId="0" borderId="0" xfId="0" applyNumberFormat="1" applyFont="1" applyBorder="1" applyProtection="1">
      <protection locked="0"/>
    </xf>
    <xf numFmtId="0" fontId="33" fillId="0" borderId="0" xfId="38" applyFont="1" applyBorder="1" applyAlignment="1" applyProtection="1">
      <alignment horizontal="left" indent="1"/>
      <protection locked="0"/>
    </xf>
    <xf numFmtId="165" fontId="33" fillId="0" borderId="0" xfId="38" applyNumberFormat="1" applyFont="1" applyBorder="1" applyAlignment="1" applyProtection="1">
      <alignment horizontal="left" indent="1"/>
      <protection locked="0"/>
    </xf>
    <xf numFmtId="165" fontId="33" fillId="0" borderId="0" xfId="38" applyNumberFormat="1" applyFont="1" applyBorder="1" applyAlignment="1" applyProtection="1">
      <alignment horizontal="left"/>
      <protection locked="0"/>
    </xf>
    <xf numFmtId="0" fontId="33" fillId="0" borderId="0" xfId="0" applyFont="1" applyBorder="1" applyProtection="1">
      <protection locked="0"/>
    </xf>
    <xf numFmtId="0" fontId="33" fillId="0" borderId="0" xfId="0" applyFont="1" applyBorder="1" applyAlignment="1" applyProtection="1">
      <alignment horizontal="left" indent="1"/>
      <protection locked="0"/>
    </xf>
    <xf numFmtId="165" fontId="33" fillId="0" borderId="0" xfId="0" applyNumberFormat="1" applyFont="1" applyBorder="1" applyAlignment="1" applyProtection="1">
      <alignment horizontal="left" indent="1"/>
      <protection locked="0"/>
    </xf>
    <xf numFmtId="165" fontId="33" fillId="0" borderId="0" xfId="0" applyNumberFormat="1" applyFont="1" applyBorder="1" applyAlignment="1" applyProtection="1">
      <alignment horizontal="left"/>
      <protection locked="0"/>
    </xf>
    <xf numFmtId="165" fontId="37" fillId="0" borderId="0" xfId="0" applyNumberFormat="1" applyFont="1" applyBorder="1" applyAlignment="1">
      <alignment horizontal="left" indent="1"/>
    </xf>
    <xf numFmtId="165" fontId="37" fillId="0" borderId="0" xfId="0" applyNumberFormat="1" applyFont="1" applyProtection="1">
      <protection locked="0"/>
    </xf>
    <xf numFmtId="0" fontId="37" fillId="0" borderId="0" xfId="0" applyFont="1" applyProtection="1"/>
    <xf numFmtId="165" fontId="37" fillId="0" borderId="0" xfId="0" applyNumberFormat="1" applyFont="1" applyProtection="1"/>
    <xf numFmtId="165" fontId="33" fillId="0" borderId="0" xfId="0" applyNumberFormat="1" applyFont="1" applyProtection="1"/>
    <xf numFmtId="5" fontId="37" fillId="0" borderId="0" xfId="0" applyNumberFormat="1" applyFont="1" applyBorder="1" applyProtection="1">
      <protection locked="0"/>
    </xf>
    <xf numFmtId="0" fontId="42" fillId="0" borderId="0" xfId="0" applyFont="1"/>
    <xf numFmtId="0" fontId="42" fillId="0" borderId="0" xfId="0" applyFont="1" applyAlignment="1">
      <alignment horizontal="center"/>
    </xf>
    <xf numFmtId="2" fontId="23" fillId="0" borderId="0" xfId="0" applyNumberFormat="1" applyFont="1" applyProtection="1"/>
    <xf numFmtId="0" fontId="24" fillId="0" borderId="0" xfId="0" applyFont="1" applyFill="1" applyProtection="1">
      <protection locked="0"/>
    </xf>
    <xf numFmtId="0" fontId="0" fillId="0" borderId="0" xfId="0" applyFill="1" applyProtection="1">
      <protection locked="0"/>
    </xf>
    <xf numFmtId="0" fontId="30" fillId="0" borderId="0" xfId="0" applyFont="1" applyFill="1" applyProtection="1">
      <protection locked="0"/>
    </xf>
    <xf numFmtId="0" fontId="30" fillId="0" borderId="11" xfId="0" applyFont="1" applyFill="1" applyBorder="1" applyProtection="1">
      <protection locked="0"/>
    </xf>
    <xf numFmtId="43"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30" fillId="0" borderId="0" xfId="0" applyFont="1" applyFill="1" applyBorder="1" applyProtection="1">
      <protection locked="0"/>
    </xf>
    <xf numFmtId="0" fontId="30" fillId="0" borderId="10" xfId="0" applyFont="1" applyFill="1" applyBorder="1" applyProtection="1"/>
    <xf numFmtId="10" fontId="30" fillId="24" borderId="10" xfId="0" applyNumberFormat="1" applyFont="1" applyFill="1" applyBorder="1" applyProtection="1">
      <protection locked="0"/>
    </xf>
    <xf numFmtId="0" fontId="0" fillId="0" borderId="10" xfId="0" applyBorder="1" applyProtection="1">
      <protection locked="0"/>
    </xf>
    <xf numFmtId="167" fontId="0" fillId="0" borderId="10" xfId="28" applyNumberFormat="1" applyFont="1" applyFill="1" applyBorder="1" applyProtection="1">
      <protection locked="0"/>
    </xf>
    <xf numFmtId="0" fontId="30" fillId="0" borderId="12" xfId="0" applyFont="1" applyBorder="1" applyAlignment="1">
      <alignment horizontal="center"/>
    </xf>
    <xf numFmtId="0" fontId="30" fillId="0" borderId="0" xfId="0" applyFont="1" applyBorder="1" applyAlignment="1">
      <alignment horizontal="center"/>
    </xf>
    <xf numFmtId="5" fontId="30" fillId="0" borderId="0" xfId="0" applyNumberFormat="1" applyFont="1" applyBorder="1"/>
    <xf numFmtId="5" fontId="0" fillId="0" borderId="13" xfId="0" applyNumberFormat="1" applyBorder="1"/>
    <xf numFmtId="5" fontId="30" fillId="0" borderId="12" xfId="0" applyNumberFormat="1" applyFont="1" applyBorder="1"/>
    <xf numFmtId="5" fontId="30" fillId="0" borderId="10" xfId="0" applyNumberFormat="1" applyFont="1" applyBorder="1"/>
    <xf numFmtId="5" fontId="30" fillId="0" borderId="13" xfId="0" applyNumberFormat="1" applyFont="1" applyBorder="1"/>
    <xf numFmtId="0" fontId="24" fillId="25" borderId="0" xfId="0" applyFont="1" applyFill="1" applyAlignment="1" applyProtection="1">
      <alignment horizontal="left"/>
    </xf>
    <xf numFmtId="0" fontId="24"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5" fillId="0" borderId="12" xfId="0" applyFont="1" applyBorder="1" applyAlignment="1">
      <alignment wrapText="1"/>
    </xf>
    <xf numFmtId="0" fontId="25" fillId="0" borderId="0" xfId="0" applyFont="1" applyBorder="1" applyAlignment="1">
      <alignment wrapText="1"/>
    </xf>
    <xf numFmtId="0" fontId="0" fillId="26" borderId="0" xfId="0" applyFill="1" applyBorder="1" applyAlignment="1" applyProtection="1">
      <alignment horizontal="center" wrapText="1"/>
    </xf>
    <xf numFmtId="167" fontId="0" fillId="26" borderId="0" xfId="28" applyNumberFormat="1" applyFont="1" applyFill="1" applyBorder="1" applyProtection="1">
      <protection locked="0"/>
    </xf>
    <xf numFmtId="0" fontId="30" fillId="0" borderId="14" xfId="0" applyFont="1" applyBorder="1" applyAlignment="1">
      <alignment horizontal="center"/>
    </xf>
    <xf numFmtId="167" fontId="3" fillId="25" borderId="10" xfId="28" applyNumberFormat="1" applyFont="1" applyFill="1" applyBorder="1" applyProtection="1">
      <protection locked="0"/>
    </xf>
    <xf numFmtId="167" fontId="3" fillId="25" borderId="13" xfId="28" applyNumberFormat="1" applyFont="1" applyFill="1" applyBorder="1" applyProtection="1">
      <protection locked="0"/>
    </xf>
    <xf numFmtId="5" fontId="0" fillId="0" borderId="13" xfId="0" applyNumberFormat="1" applyBorder="1" applyProtection="1">
      <protection locked="0"/>
    </xf>
    <xf numFmtId="5" fontId="30" fillId="0" borderId="0" xfId="0" applyNumberFormat="1" applyFont="1" applyBorder="1" applyProtection="1">
      <protection locked="0"/>
    </xf>
    <xf numFmtId="0" fontId="0" fillId="0" borderId="0" xfId="0" applyBorder="1" applyProtection="1">
      <protection locked="0"/>
    </xf>
    <xf numFmtId="0" fontId="30" fillId="0" borderId="0" xfId="0" applyFont="1" applyBorder="1" applyAlignment="1" applyProtection="1">
      <alignment horizontal="center"/>
      <protection locked="0"/>
    </xf>
    <xf numFmtId="167" fontId="0" fillId="26" borderId="10" xfId="28" applyNumberFormat="1" applyFont="1" applyFill="1" applyBorder="1" applyProtection="1"/>
    <xf numFmtId="43" fontId="0" fillId="0" borderId="10" xfId="28" applyFont="1" applyFill="1" applyBorder="1" applyProtection="1">
      <protection locked="0"/>
    </xf>
    <xf numFmtId="43" fontId="0" fillId="26" borderId="10" xfId="28" applyFont="1" applyFill="1" applyBorder="1" applyProtection="1"/>
    <xf numFmtId="0" fontId="3" fillId="0" borderId="0" xfId="0" applyFont="1" applyProtection="1">
      <protection locked="0"/>
    </xf>
    <xf numFmtId="0" fontId="30" fillId="27" borderId="12" xfId="0" applyFont="1" applyFill="1" applyBorder="1" applyAlignment="1">
      <alignment horizontal="center"/>
    </xf>
    <xf numFmtId="0" fontId="24" fillId="27" borderId="12" xfId="0" applyFont="1" applyFill="1" applyBorder="1" applyAlignment="1">
      <alignment horizontal="center" wrapText="1"/>
    </xf>
    <xf numFmtId="0" fontId="24" fillId="27" borderId="12" xfId="0" applyFont="1" applyFill="1" applyBorder="1" applyAlignment="1">
      <alignment horizontal="center"/>
    </xf>
    <xf numFmtId="10" fontId="30" fillId="28" borderId="10" xfId="0" applyNumberFormat="1" applyFont="1" applyFill="1" applyBorder="1" applyProtection="1">
      <protection locked="0"/>
    </xf>
    <xf numFmtId="0" fontId="3" fillId="0" borderId="15" xfId="0" applyFont="1" applyBorder="1" applyAlignment="1" applyProtection="1">
      <alignment vertical="top"/>
      <protection locked="0"/>
    </xf>
    <xf numFmtId="0" fontId="3" fillId="0" borderId="10" xfId="0" applyFont="1" applyBorder="1" applyAlignment="1" applyProtection="1">
      <alignment vertical="top"/>
      <protection locked="0"/>
    </xf>
    <xf numFmtId="43" fontId="48" fillId="28" borderId="10" xfId="28" applyFont="1" applyFill="1" applyBorder="1" applyProtection="1">
      <protection locked="0"/>
    </xf>
    <xf numFmtId="43" fontId="48" fillId="28" borderId="10" xfId="28" applyFont="1" applyFill="1" applyBorder="1" applyProtection="1"/>
    <xf numFmtId="167" fontId="48" fillId="29" borderId="10" xfId="28" applyNumberFormat="1" applyFont="1" applyFill="1" applyBorder="1" applyAlignment="1" applyProtection="1"/>
    <xf numFmtId="167" fontId="48" fillId="29" borderId="10" xfId="28" applyNumberFormat="1" applyFont="1" applyFill="1" applyBorder="1" applyAlignment="1" applyProtection="1">
      <protection locked="0"/>
    </xf>
    <xf numFmtId="167" fontId="48" fillId="29" borderId="13" xfId="28" applyNumberFormat="1" applyFont="1" applyFill="1" applyBorder="1" applyAlignment="1" applyProtection="1">
      <protection locked="0"/>
    </xf>
    <xf numFmtId="167" fontId="48"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30"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4" fillId="29" borderId="17" xfId="0" applyFont="1" applyFill="1" applyBorder="1" applyAlignment="1" applyProtection="1">
      <alignment horizontal="center" wrapText="1"/>
    </xf>
    <xf numFmtId="0" fontId="0" fillId="29" borderId="15" xfId="0" applyFill="1" applyBorder="1" applyProtection="1"/>
    <xf numFmtId="0" fontId="0" fillId="28" borderId="10" xfId="0" applyFill="1" applyBorder="1" applyAlignment="1" applyProtection="1">
      <alignment horizontal="left"/>
      <protection locked="0"/>
    </xf>
    <xf numFmtId="0" fontId="0" fillId="28" borderId="13" xfId="0" applyFill="1" applyBorder="1" applyAlignment="1" applyProtection="1">
      <alignment horizontal="left"/>
      <protection locked="0"/>
    </xf>
    <xf numFmtId="0" fontId="30" fillId="0" borderId="15" xfId="0" applyFont="1" applyBorder="1" applyAlignment="1" applyProtection="1">
      <alignment vertical="top"/>
      <protection locked="0"/>
    </xf>
    <xf numFmtId="0" fontId="3" fillId="0" borderId="15" xfId="0" applyFont="1" applyBorder="1" applyAlignment="1" applyProtection="1">
      <protection locked="0"/>
    </xf>
    <xf numFmtId="167" fontId="48" fillId="28" borderId="10" xfId="28" applyNumberFormat="1" applyFont="1" applyFill="1" applyBorder="1" applyProtection="1">
      <protection locked="0"/>
    </xf>
    <xf numFmtId="167" fontId="48" fillId="28" borderId="10" xfId="28" applyNumberFormat="1" applyFont="1" applyFill="1" applyBorder="1" applyProtection="1"/>
    <xf numFmtId="0" fontId="30" fillId="0" borderId="10" xfId="0" applyFont="1" applyFill="1" applyBorder="1" applyAlignment="1" applyProtection="1">
      <alignment horizontal="left"/>
      <protection locked="0"/>
    </xf>
    <xf numFmtId="167" fontId="48" fillId="28" borderId="18" xfId="28" applyNumberFormat="1" applyFont="1" applyFill="1" applyBorder="1" applyProtection="1">
      <protection locked="0"/>
    </xf>
    <xf numFmtId="0" fontId="0" fillId="28" borderId="0" xfId="0" applyFill="1" applyProtection="1">
      <protection locked="0"/>
    </xf>
    <xf numFmtId="167" fontId="48" fillId="28" borderId="19" xfId="28" applyNumberFormat="1" applyFont="1" applyFill="1" applyBorder="1" applyProtection="1">
      <protection locked="0"/>
    </xf>
    <xf numFmtId="43" fontId="0" fillId="0" borderId="15" xfId="28" applyFont="1" applyFill="1" applyBorder="1" applyProtection="1">
      <protection locked="0"/>
    </xf>
    <xf numFmtId="0" fontId="30" fillId="28" borderId="0" xfId="0" applyFont="1" applyFill="1" applyBorder="1" applyProtection="1"/>
    <xf numFmtId="167" fontId="30" fillId="29" borderId="0" xfId="28" applyNumberFormat="1" applyFont="1" applyFill="1" applyBorder="1" applyProtection="1"/>
    <xf numFmtId="167" fontId="48" fillId="29" borderId="15" xfId="28" applyNumberFormat="1" applyFont="1" applyFill="1" applyBorder="1" applyAlignment="1" applyProtection="1">
      <protection locked="0"/>
    </xf>
    <xf numFmtId="0" fontId="0" fillId="0" borderId="13" xfId="0" applyBorder="1" applyProtection="1">
      <protection locked="0"/>
    </xf>
    <xf numFmtId="167" fontId="0" fillId="0" borderId="15" xfId="28" applyNumberFormat="1" applyFont="1" applyFill="1" applyBorder="1" applyProtection="1">
      <protection locked="0"/>
    </xf>
    <xf numFmtId="43" fontId="0" fillId="0" borderId="13" xfId="28" applyFont="1" applyFill="1" applyBorder="1" applyProtection="1">
      <protection locked="0"/>
    </xf>
    <xf numFmtId="43" fontId="48" fillId="28" borderId="13" xfId="28" applyFont="1" applyFill="1" applyBorder="1" applyProtection="1">
      <protection locked="0"/>
    </xf>
    <xf numFmtId="43" fontId="0" fillId="24" borderId="15" xfId="28" applyFont="1" applyFill="1" applyBorder="1" applyProtection="1">
      <protection locked="0"/>
    </xf>
    <xf numFmtId="167" fontId="48" fillId="28" borderId="20" xfId="28" applyNumberFormat="1" applyFont="1" applyFill="1" applyBorder="1" applyProtection="1">
      <protection locked="0"/>
    </xf>
    <xf numFmtId="167" fontId="0" fillId="0" borderId="13" xfId="28" applyNumberFormat="1" applyFont="1" applyFill="1" applyBorder="1" applyProtection="1">
      <protection locked="0"/>
    </xf>
    <xf numFmtId="0" fontId="0" fillId="29" borderId="15" xfId="0" applyFill="1" applyBorder="1" applyProtection="1">
      <protection locked="0"/>
    </xf>
    <xf numFmtId="0" fontId="3" fillId="28" borderId="10" xfId="0" applyFont="1" applyFill="1" applyBorder="1" applyAlignment="1" applyProtection="1">
      <alignment horizontal="left"/>
      <protection locked="0"/>
    </xf>
    <xf numFmtId="167" fontId="48" fillId="29" borderId="21" xfId="28" applyNumberFormat="1" applyFont="1" applyFill="1" applyBorder="1" applyAlignment="1" applyProtection="1">
      <protection locked="0"/>
    </xf>
    <xf numFmtId="167" fontId="48"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67" fontId="30" fillId="29" borderId="22" xfId="0" applyNumberFormat="1" applyFont="1" applyFill="1" applyBorder="1" applyProtection="1"/>
    <xf numFmtId="37" fontId="0" fillId="29" borderId="18" xfId="0" applyNumberFormat="1" applyFill="1" applyBorder="1" applyProtection="1">
      <protection locked="0"/>
    </xf>
    <xf numFmtId="10" fontId="30" fillId="28" borderId="23" xfId="41" applyNumberFormat="1" applyFont="1" applyFill="1" applyBorder="1" applyAlignment="1" applyProtection="1">
      <alignment horizontal="center"/>
      <protection locked="0"/>
    </xf>
    <xf numFmtId="0" fontId="33" fillId="0" borderId="10" xfId="0" applyFont="1" applyBorder="1" applyAlignment="1" applyProtection="1">
      <alignment horizontal="left" vertical="top" indent="1"/>
      <protection locked="0"/>
    </xf>
    <xf numFmtId="0" fontId="30"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9" fillId="28" borderId="0" xfId="0" applyFont="1" applyFill="1" applyBorder="1" applyAlignment="1">
      <alignment horizontal="left"/>
    </xf>
    <xf numFmtId="0" fontId="29" fillId="28" borderId="0" xfId="0" quotePrefix="1" applyFont="1" applyFill="1" applyBorder="1" applyAlignment="1">
      <alignment horizontal="left"/>
    </xf>
    <xf numFmtId="0" fontId="29" fillId="28" borderId="0" xfId="0" quotePrefix="1" applyFont="1" applyFill="1" applyBorder="1" applyAlignment="1" applyProtection="1">
      <alignment horizontal="left"/>
      <protection locked="0"/>
    </xf>
    <xf numFmtId="0" fontId="30"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4" fillId="28" borderId="0" xfId="0" applyFont="1" applyFill="1" applyBorder="1" applyProtection="1">
      <protection locked="0"/>
    </xf>
    <xf numFmtId="0" fontId="30" fillId="28" borderId="0" xfId="0" applyFont="1" applyFill="1" applyBorder="1" applyProtection="1">
      <protection locked="0"/>
    </xf>
    <xf numFmtId="0" fontId="24" fillId="28" borderId="0" xfId="0" applyFont="1" applyFill="1" applyBorder="1" applyAlignment="1">
      <alignment horizontal="center" wrapText="1"/>
    </xf>
    <xf numFmtId="0" fontId="24" fillId="28" borderId="24" xfId="0" applyFont="1" applyFill="1" applyBorder="1" applyAlignment="1">
      <alignment horizontal="center" wrapText="1"/>
    </xf>
    <xf numFmtId="0" fontId="24"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30"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30" fillId="0" borderId="24" xfId="0" applyFont="1" applyBorder="1"/>
    <xf numFmtId="165" fontId="29" fillId="0" borderId="0" xfId="0" applyNumberFormat="1" applyFont="1" applyBorder="1"/>
    <xf numFmtId="0" fontId="3" fillId="28" borderId="24" xfId="0" quotePrefix="1" applyFont="1" applyFill="1" applyBorder="1" applyAlignment="1">
      <alignment horizontal="center"/>
    </xf>
    <xf numFmtId="0" fontId="3" fillId="28" borderId="0" xfId="0" quotePrefix="1" applyFont="1" applyFill="1" applyBorder="1" applyAlignment="1">
      <alignment horizontal="center"/>
    </xf>
    <xf numFmtId="0" fontId="3" fillId="28" borderId="0" xfId="0" quotePrefix="1" applyFont="1" applyFill="1" applyBorder="1" applyAlignment="1" applyProtection="1">
      <alignment horizontal="center"/>
      <protection locked="0"/>
    </xf>
    <xf numFmtId="0" fontId="30" fillId="28" borderId="27" xfId="0" applyFont="1" applyFill="1" applyBorder="1" applyAlignment="1">
      <alignment horizontal="center"/>
    </xf>
    <xf numFmtId="0" fontId="30" fillId="28" borderId="25" xfId="0" applyFont="1" applyFill="1" applyBorder="1" applyAlignment="1">
      <alignment horizontal="center"/>
    </xf>
    <xf numFmtId="0" fontId="30"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30" fillId="0" borderId="28" xfId="0" applyFont="1" applyBorder="1" applyAlignment="1">
      <alignment horizontal="center"/>
    </xf>
    <xf numFmtId="0" fontId="0" fillId="0" borderId="26" xfId="0" applyBorder="1"/>
    <xf numFmtId="0" fontId="30" fillId="0" borderId="24" xfId="0" applyFont="1" applyBorder="1" applyProtection="1">
      <protection locked="0"/>
    </xf>
    <xf numFmtId="165" fontId="29" fillId="0" borderId="0" xfId="0" applyNumberFormat="1" applyFont="1" applyBorder="1" applyProtection="1">
      <protection locked="0"/>
    </xf>
    <xf numFmtId="0" fontId="3" fillId="28" borderId="24" xfId="0" quotePrefix="1" applyFont="1" applyFill="1" applyBorder="1" applyAlignment="1" applyProtection="1">
      <alignment horizontal="center"/>
      <protection locked="0"/>
    </xf>
    <xf numFmtId="0" fontId="24" fillId="28" borderId="21" xfId="0" applyFont="1" applyFill="1" applyBorder="1" applyAlignment="1">
      <alignment horizontal="center" wrapText="1"/>
    </xf>
    <xf numFmtId="0" fontId="24"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30"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30" fillId="0" borderId="12" xfId="0" applyNumberFormat="1" applyFont="1" applyBorder="1" applyProtection="1">
      <protection locked="0"/>
    </xf>
    <xf numFmtId="37" fontId="30"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3" fillId="0" borderId="0" xfId="0" applyFont="1" applyBorder="1" applyProtection="1"/>
    <xf numFmtId="37" fontId="0" fillId="0" borderId="26" xfId="0" applyNumberFormat="1" applyBorder="1" applyAlignment="1" applyProtection="1">
      <alignment horizontal="center"/>
    </xf>
    <xf numFmtId="5" fontId="0" fillId="0" borderId="26" xfId="0" applyNumberFormat="1" applyBorder="1" applyAlignment="1" applyProtection="1">
      <alignment horizontal="center"/>
    </xf>
    <xf numFmtId="5" fontId="30"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8" fillId="0" borderId="24" xfId="0" applyFont="1" applyBorder="1" applyAlignment="1">
      <alignment wrapText="1"/>
    </xf>
    <xf numFmtId="5" fontId="58" fillId="28" borderId="0" xfId="0" applyNumberFormat="1" applyFont="1" applyFill="1" applyBorder="1" applyAlignment="1">
      <alignment horizontal="right" wrapText="1"/>
    </xf>
    <xf numFmtId="0" fontId="0" fillId="0" borderId="26" xfId="0" applyBorder="1" applyAlignment="1">
      <alignment wrapText="1"/>
    </xf>
    <xf numFmtId="0" fontId="58" fillId="0" borderId="27" xfId="0" applyFont="1" applyBorder="1" applyAlignment="1">
      <alignment wrapText="1"/>
    </xf>
    <xf numFmtId="165" fontId="58" fillId="28" borderId="25" xfId="0" applyNumberFormat="1" applyFont="1" applyFill="1" applyBorder="1" applyAlignment="1">
      <alignment horizontal="center" wrapText="1"/>
    </xf>
    <xf numFmtId="5" fontId="30"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5" fontId="58" fillId="28" borderId="0" xfId="0" applyNumberFormat="1" applyFont="1" applyFill="1" applyBorder="1" applyAlignment="1">
      <alignment horizontal="center" wrapText="1"/>
    </xf>
    <xf numFmtId="5" fontId="30" fillId="0" borderId="0" xfId="0" applyNumberFormat="1" applyFont="1" applyBorder="1" applyAlignment="1">
      <alignment wrapText="1"/>
    </xf>
    <xf numFmtId="0" fontId="0" fillId="0" borderId="32" xfId="0" applyBorder="1"/>
    <xf numFmtId="5" fontId="0" fillId="0" borderId="10" xfId="0" applyNumberFormat="1" applyBorder="1" applyAlignment="1">
      <alignment horizontal="center"/>
    </xf>
    <xf numFmtId="0" fontId="30" fillId="0" borderId="25" xfId="0" applyFont="1" applyBorder="1"/>
    <xf numFmtId="0" fontId="0" fillId="0" borderId="31" xfId="0" applyBorder="1"/>
    <xf numFmtId="0" fontId="30" fillId="0" borderId="0" xfId="0" applyFont="1" applyBorder="1" applyProtection="1">
      <protection locked="0"/>
    </xf>
    <xf numFmtId="0" fontId="58" fillId="0" borderId="0" xfId="0" applyFont="1" applyBorder="1" applyAlignment="1">
      <alignment wrapText="1"/>
    </xf>
    <xf numFmtId="0" fontId="58"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4" fillId="29" borderId="33" xfId="0" applyFont="1" applyFill="1" applyBorder="1" applyAlignment="1">
      <alignment horizontal="center" wrapText="1"/>
    </xf>
    <xf numFmtId="0" fontId="24" fillId="29" borderId="33" xfId="0" applyFont="1" applyFill="1" applyBorder="1" applyAlignment="1" applyProtection="1">
      <alignment horizontal="center" wrapText="1"/>
      <protection locked="0"/>
    </xf>
    <xf numFmtId="0" fontId="30" fillId="29" borderId="33" xfId="0" applyFont="1" applyFill="1" applyBorder="1" applyAlignment="1" applyProtection="1">
      <alignment horizontal="center"/>
      <protection locked="0"/>
    </xf>
    <xf numFmtId="0" fontId="0" fillId="29" borderId="33" xfId="0" applyFill="1" applyBorder="1" applyProtection="1">
      <protection locked="0"/>
    </xf>
    <xf numFmtId="0" fontId="30" fillId="29" borderId="33" xfId="0" applyFont="1" applyFill="1" applyBorder="1" applyAlignment="1" applyProtection="1">
      <alignment horizontal="center" wrapText="1"/>
      <protection locked="0"/>
    </xf>
    <xf numFmtId="0" fontId="24" fillId="29" borderId="33" xfId="0" applyFont="1" applyFill="1" applyBorder="1" applyAlignment="1" applyProtection="1">
      <protection locked="0"/>
    </xf>
    <xf numFmtId="0" fontId="24"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30" fillId="29" borderId="33" xfId="0" applyNumberFormat="1" applyFont="1" applyFill="1" applyBorder="1" applyProtection="1">
      <protection locked="0"/>
    </xf>
    <xf numFmtId="0" fontId="29" fillId="28" borderId="34" xfId="0" quotePrefix="1" applyFont="1" applyFill="1" applyBorder="1" applyAlignment="1">
      <alignment horizontal="left"/>
    </xf>
    <xf numFmtId="0" fontId="30" fillId="28" borderId="31" xfId="0" applyFont="1" applyFill="1" applyBorder="1" applyAlignment="1">
      <alignment horizontal="left"/>
    </xf>
    <xf numFmtId="0" fontId="0" fillId="28" borderId="31" xfId="0" applyFill="1" applyBorder="1" applyAlignment="1">
      <alignment horizontal="center"/>
    </xf>
    <xf numFmtId="0" fontId="29" fillId="31" borderId="35" xfId="0" applyFont="1" applyFill="1" applyBorder="1" applyAlignment="1">
      <alignment horizontal="left"/>
    </xf>
    <xf numFmtId="0" fontId="29" fillId="28" borderId="24" xfId="0" quotePrefix="1" applyFont="1" applyFill="1" applyBorder="1" applyAlignment="1" applyProtection="1">
      <alignment horizontal="left"/>
      <protection locked="0"/>
    </xf>
    <xf numFmtId="0" fontId="24" fillId="28" borderId="24" xfId="0" applyFont="1" applyFill="1" applyBorder="1" applyProtection="1">
      <protection locked="0"/>
    </xf>
    <xf numFmtId="0" fontId="0" fillId="28" borderId="24" xfId="0" applyFill="1" applyBorder="1" applyProtection="1">
      <protection locked="0"/>
    </xf>
    <xf numFmtId="165" fontId="29" fillId="0" borderId="25" xfId="0" applyNumberFormat="1" applyFont="1" applyBorder="1"/>
    <xf numFmtId="0" fontId="3"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5" fontId="0" fillId="0" borderId="0" xfId="0" applyNumberFormat="1" applyBorder="1" applyAlignment="1" applyProtection="1">
      <alignment horizontal="center"/>
    </xf>
    <xf numFmtId="5" fontId="30"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30" fillId="29" borderId="0" xfId="0" applyFont="1" applyFill="1"/>
    <xf numFmtId="0" fontId="33" fillId="0" borderId="10" xfId="38" applyFont="1" applyBorder="1" applyAlignment="1" applyProtection="1">
      <alignment horizontal="left" vertical="top"/>
      <protection locked="0"/>
    </xf>
    <xf numFmtId="0" fontId="25" fillId="0" borderId="28" xfId="0" applyFont="1" applyBorder="1" applyAlignment="1">
      <alignment wrapText="1"/>
    </xf>
    <xf numFmtId="0" fontId="30" fillId="0" borderId="33" xfId="0" applyFont="1" applyBorder="1" applyAlignment="1">
      <alignment horizontal="center"/>
    </xf>
    <xf numFmtId="0" fontId="29" fillId="0" borderId="14" xfId="0" applyFont="1" applyBorder="1" applyAlignment="1">
      <alignment wrapText="1"/>
    </xf>
    <xf numFmtId="0" fontId="25" fillId="0" borderId="33" xfId="0" applyFont="1" applyBorder="1" applyAlignment="1">
      <alignment wrapText="1"/>
    </xf>
    <xf numFmtId="0" fontId="24" fillId="27" borderId="12" xfId="0" quotePrefix="1" applyFont="1" applyFill="1" applyBorder="1" applyAlignment="1">
      <alignment horizontal="center" wrapText="1"/>
    </xf>
    <xf numFmtId="167" fontId="48" fillId="28" borderId="15" xfId="28" applyNumberFormat="1" applyFont="1" applyFill="1" applyBorder="1" applyProtection="1">
      <protection locked="0"/>
    </xf>
    <xf numFmtId="167" fontId="0" fillId="0" borderId="17" xfId="28" applyNumberFormat="1" applyFont="1" applyFill="1" applyBorder="1" applyProtection="1">
      <protection locked="0"/>
    </xf>
    <xf numFmtId="167" fontId="30" fillId="29" borderId="0" xfId="0" applyNumberFormat="1" applyFont="1" applyFill="1" applyBorder="1" applyProtection="1"/>
    <xf numFmtId="37" fontId="0" fillId="29" borderId="0" xfId="0" applyNumberFormat="1" applyFill="1" applyBorder="1" applyProtection="1">
      <protection locked="0"/>
    </xf>
    <xf numFmtId="0" fontId="24" fillId="0" borderId="34" xfId="0" applyFont="1" applyFill="1" applyBorder="1" applyAlignment="1" applyProtection="1"/>
    <xf numFmtId="0" fontId="24" fillId="0" borderId="31" xfId="0" applyFont="1" applyFill="1" applyBorder="1" applyAlignment="1" applyProtection="1"/>
    <xf numFmtId="0" fontId="33" fillId="0" borderId="10" xfId="38" applyFont="1" applyBorder="1" applyAlignment="1" applyProtection="1">
      <alignment horizontal="left" indent="2"/>
      <protection locked="0"/>
    </xf>
    <xf numFmtId="165" fontId="33" fillId="0" borderId="0" xfId="0" applyNumberFormat="1" applyFont="1" applyAlignment="1">
      <alignment horizontal="left" wrapText="1" indent="1"/>
    </xf>
    <xf numFmtId="0" fontId="41" fillId="31" borderId="12" xfId="38" applyFont="1" applyFill="1" applyBorder="1" applyAlignment="1">
      <alignment horizontal="left" indent="1"/>
    </xf>
    <xf numFmtId="0" fontId="37" fillId="31" borderId="12" xfId="38" applyFont="1" applyFill="1" applyBorder="1" applyAlignment="1">
      <alignment horizontal="left" indent="1"/>
    </xf>
    <xf numFmtId="2" fontId="23" fillId="31" borderId="12" xfId="0" applyNumberFormat="1" applyFont="1" applyFill="1" applyBorder="1" applyProtection="1"/>
    <xf numFmtId="0" fontId="41" fillId="0" borderId="0" xfId="0" applyFont="1" applyProtection="1"/>
    <xf numFmtId="0" fontId="37" fillId="31" borderId="12" xfId="0" applyFont="1" applyFill="1" applyBorder="1" applyAlignment="1">
      <alignment horizontal="left" indent="1"/>
    </xf>
    <xf numFmtId="0" fontId="36" fillId="0" borderId="0" xfId="0"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164" fontId="26" fillId="0" borderId="0" xfId="0" applyNumberFormat="1" applyFont="1" applyFill="1" applyBorder="1" applyAlignment="1" applyProtection="1">
      <alignment horizontal="center"/>
      <protection locked="0"/>
    </xf>
    <xf numFmtId="0" fontId="32" fillId="0" borderId="0" xfId="0" applyFont="1" applyAlignment="1" applyProtection="1">
      <alignment horizontal="center"/>
      <protection locked="0"/>
    </xf>
    <xf numFmtId="165" fontId="33" fillId="0" borderId="0" xfId="0" applyNumberFormat="1" applyFont="1" applyAlignment="1">
      <alignment horizontal="center"/>
    </xf>
    <xf numFmtId="165" fontId="33" fillId="0" borderId="0" xfId="0" applyNumberFormat="1" applyFont="1" applyAlignment="1" applyProtection="1">
      <alignment horizontal="center"/>
      <protection locked="0"/>
    </xf>
    <xf numFmtId="165" fontId="37" fillId="0" borderId="0" xfId="0" applyNumberFormat="1" applyFont="1" applyAlignment="1">
      <alignment horizontal="center"/>
    </xf>
    <xf numFmtId="165" fontId="37" fillId="0" borderId="0" xfId="38" applyNumberFormat="1" applyFont="1" applyAlignment="1">
      <alignment horizontal="center"/>
    </xf>
    <xf numFmtId="165" fontId="39" fillId="0" borderId="0" xfId="38" applyNumberFormat="1" applyFont="1" applyAlignment="1">
      <alignment horizontal="center"/>
    </xf>
    <xf numFmtId="165" fontId="33" fillId="0" borderId="0" xfId="38" applyNumberFormat="1" applyFont="1" applyAlignment="1" applyProtection="1">
      <alignment horizontal="center"/>
      <protection locked="0"/>
    </xf>
    <xf numFmtId="165" fontId="39" fillId="0" borderId="0" xfId="38" applyNumberFormat="1" applyFont="1" applyAlignment="1" applyProtection="1">
      <alignment horizontal="center"/>
      <protection locked="0"/>
    </xf>
    <xf numFmtId="165" fontId="37" fillId="0" borderId="0" xfId="38" applyNumberFormat="1" applyFont="1" applyAlignment="1" applyProtection="1">
      <alignment horizontal="center"/>
      <protection locked="0"/>
    </xf>
    <xf numFmtId="165" fontId="33" fillId="0" borderId="0" xfId="38" applyNumberFormat="1" applyFont="1" applyBorder="1" applyAlignment="1" applyProtection="1">
      <alignment horizontal="center"/>
      <protection locked="0"/>
    </xf>
    <xf numFmtId="165" fontId="33" fillId="0" borderId="0" xfId="0" applyNumberFormat="1" applyFont="1" applyBorder="1" applyAlignment="1" applyProtection="1">
      <alignment horizontal="center"/>
      <protection locked="0"/>
    </xf>
    <xf numFmtId="165" fontId="37" fillId="0" borderId="0" xfId="0" applyNumberFormat="1" applyFont="1" applyBorder="1" applyAlignment="1">
      <alignment horizontal="center"/>
    </xf>
    <xf numFmtId="165" fontId="37" fillId="0" borderId="0" xfId="0" applyNumberFormat="1" applyFont="1" applyAlignment="1" applyProtection="1">
      <alignment horizontal="center"/>
      <protection locked="0"/>
    </xf>
    <xf numFmtId="165" fontId="37" fillId="0" borderId="0" xfId="0" applyNumberFormat="1" applyFont="1" applyAlignment="1" applyProtection="1">
      <alignment horizontal="center"/>
    </xf>
    <xf numFmtId="0" fontId="37" fillId="0" borderId="0" xfId="0" applyFont="1" applyAlignment="1" applyProtection="1">
      <alignment horizontal="center"/>
      <protection locked="0"/>
    </xf>
    <xf numFmtId="0" fontId="3" fillId="0" borderId="0" xfId="0" quotePrefix="1" applyFont="1" applyProtection="1">
      <protection locked="0"/>
    </xf>
    <xf numFmtId="0" fontId="30" fillId="0" borderId="0" xfId="0" applyFont="1" applyAlignment="1" applyProtection="1">
      <alignment horizontal="center"/>
      <protection locked="0"/>
    </xf>
    <xf numFmtId="0" fontId="30" fillId="0" borderId="0" xfId="0" quotePrefix="1" applyFont="1" applyBorder="1" applyAlignment="1" applyProtection="1">
      <alignment horizontal="center"/>
      <protection locked="0"/>
    </xf>
    <xf numFmtId="0" fontId="3" fillId="0" borderId="0" xfId="0" applyFont="1" applyBorder="1" applyAlignment="1" applyProtection="1">
      <alignment horizontal="left" wrapText="1"/>
      <protection locked="0"/>
    </xf>
    <xf numFmtId="0" fontId="30" fillId="31" borderId="12" xfId="0" applyFont="1" applyFill="1" applyBorder="1" applyAlignment="1">
      <alignment horizontal="center"/>
    </xf>
    <xf numFmtId="5" fontId="30" fillId="0" borderId="12" xfId="0" applyNumberFormat="1" applyFont="1" applyBorder="1" applyAlignment="1">
      <alignment horizontal="center"/>
    </xf>
    <xf numFmtId="0" fontId="30" fillId="31" borderId="12" xfId="0" applyFont="1" applyFill="1" applyBorder="1"/>
    <xf numFmtId="0" fontId="30" fillId="31" borderId="12" xfId="0" applyFont="1" applyFill="1" applyBorder="1" applyAlignment="1">
      <alignment horizontal="center" wrapText="1"/>
    </xf>
    <xf numFmtId="0" fontId="30" fillId="28" borderId="0" xfId="0" applyFont="1" applyFill="1" applyBorder="1" applyAlignment="1"/>
    <xf numFmtId="165" fontId="33" fillId="30" borderId="10" xfId="0" applyNumberFormat="1" applyFont="1" applyFill="1" applyBorder="1" applyProtection="1"/>
    <xf numFmtId="165" fontId="33" fillId="28" borderId="0" xfId="38" applyNumberFormat="1" applyFont="1" applyFill="1" applyAlignment="1" applyProtection="1">
      <alignment horizontal="left"/>
      <protection locked="0"/>
    </xf>
    <xf numFmtId="165" fontId="33" fillId="28" borderId="0" xfId="38" applyNumberFormat="1" applyFont="1" applyFill="1" applyAlignment="1">
      <alignment horizontal="left"/>
    </xf>
    <xf numFmtId="0" fontId="35" fillId="28" borderId="0" xfId="0" applyFont="1" applyFill="1" applyBorder="1" applyAlignment="1">
      <alignment horizontal="left" indent="2"/>
    </xf>
    <xf numFmtId="14" fontId="35" fillId="28" borderId="0" xfId="0" applyNumberFormat="1" applyFont="1" applyFill="1" applyBorder="1" applyAlignment="1">
      <alignment horizontal="left" indent="2"/>
    </xf>
    <xf numFmtId="14" fontId="35" fillId="28" borderId="0" xfId="0" applyNumberFormat="1" applyFont="1" applyFill="1" applyBorder="1" applyAlignment="1" applyProtection="1">
      <alignment horizontal="left" indent="2"/>
      <protection locked="0"/>
    </xf>
    <xf numFmtId="0" fontId="37" fillId="28" borderId="0" xfId="0" applyFont="1" applyFill="1" applyBorder="1" applyAlignment="1">
      <alignment vertical="center" wrapText="1"/>
    </xf>
    <xf numFmtId="14" fontId="27" fillId="28" borderId="0" xfId="0" applyNumberFormat="1" applyFont="1" applyFill="1" applyBorder="1" applyAlignment="1" applyProtection="1">
      <alignment horizontal="left" indent="2"/>
      <protection locked="0"/>
    </xf>
    <xf numFmtId="0" fontId="32" fillId="28" borderId="0" xfId="0" applyFont="1" applyFill="1" applyProtection="1">
      <protection locked="0"/>
    </xf>
    <xf numFmtId="0" fontId="42" fillId="28" borderId="0" xfId="0" applyFont="1" applyFill="1" applyAlignment="1">
      <alignment horizontal="center"/>
    </xf>
    <xf numFmtId="165" fontId="33" fillId="28" borderId="0" xfId="0" applyNumberFormat="1" applyFont="1" applyFill="1" applyAlignment="1" applyProtection="1">
      <alignment horizontal="right"/>
      <protection locked="0"/>
    </xf>
    <xf numFmtId="165" fontId="33" fillId="28" borderId="0" xfId="0" applyNumberFormat="1" applyFont="1" applyFill="1" applyBorder="1" applyAlignment="1" applyProtection="1">
      <alignment horizontal="right"/>
      <protection locked="0"/>
    </xf>
    <xf numFmtId="165" fontId="33" fillId="28" borderId="0" xfId="0" applyNumberFormat="1" applyFont="1" applyFill="1" applyAlignment="1">
      <alignment horizontal="right"/>
    </xf>
    <xf numFmtId="165" fontId="33" fillId="28" borderId="0" xfId="0" applyNumberFormat="1" applyFont="1" applyFill="1" applyAlignment="1" applyProtection="1">
      <alignment horizontal="left"/>
      <protection locked="0"/>
    </xf>
    <xf numFmtId="165" fontId="38" fillId="28" borderId="0" xfId="0" applyNumberFormat="1" applyFont="1" applyFill="1" applyAlignment="1">
      <alignment horizontal="center"/>
    </xf>
    <xf numFmtId="165" fontId="33" fillId="28" borderId="0" xfId="38" applyNumberFormat="1" applyFont="1" applyFill="1" applyAlignment="1">
      <alignment horizontal="right"/>
    </xf>
    <xf numFmtId="165" fontId="33" fillId="28" borderId="0" xfId="38" applyNumberFormat="1" applyFont="1" applyFill="1" applyAlignment="1" applyProtection="1">
      <alignment horizontal="right"/>
      <protection locked="0"/>
    </xf>
    <xf numFmtId="0" fontId="0" fillId="28" borderId="0" xfId="0" applyFill="1"/>
    <xf numFmtId="165" fontId="33" fillId="28" borderId="0" xfId="38" applyNumberFormat="1" applyFont="1" applyFill="1" applyBorder="1" applyAlignment="1" applyProtection="1">
      <alignment horizontal="right"/>
      <protection locked="0"/>
    </xf>
    <xf numFmtId="165" fontId="33" fillId="28" borderId="0" xfId="0" applyNumberFormat="1" applyFont="1" applyFill="1" applyBorder="1" applyProtection="1">
      <protection locked="0"/>
    </xf>
    <xf numFmtId="0" fontId="37" fillId="28" borderId="0" xfId="0" applyFont="1" applyFill="1" applyProtection="1">
      <protection locked="0"/>
    </xf>
    <xf numFmtId="0" fontId="28" fillId="28" borderId="0" xfId="0" applyFont="1" applyFill="1"/>
    <xf numFmtId="0" fontId="28" fillId="28" borderId="0" xfId="0" applyFont="1" applyFill="1" applyProtection="1">
      <protection locked="0"/>
    </xf>
    <xf numFmtId="0" fontId="42" fillId="28" borderId="0" xfId="0" applyFont="1" applyFill="1"/>
    <xf numFmtId="0" fontId="33" fillId="28" borderId="0" xfId="0" applyFont="1" applyFill="1"/>
    <xf numFmtId="0" fontId="33" fillId="28" borderId="0" xfId="0" applyFont="1" applyFill="1" applyProtection="1">
      <protection locked="0"/>
    </xf>
    <xf numFmtId="0" fontId="33" fillId="28" borderId="0" xfId="0" applyFont="1" applyFill="1" applyBorder="1" applyProtection="1">
      <protection locked="0"/>
    </xf>
    <xf numFmtId="165" fontId="39" fillId="0" borderId="12" xfId="38" applyNumberFormat="1" applyFont="1" applyBorder="1" applyAlignment="1" applyProtection="1">
      <alignment horizontal="center"/>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8" fontId="39" fillId="0" borderId="12" xfId="38" applyNumberFormat="1" applyFont="1" applyBorder="1" applyAlignment="1" applyProtection="1">
      <alignment horizontal="center"/>
      <protection locked="0"/>
    </xf>
    <xf numFmtId="165" fontId="37" fillId="0" borderId="12" xfId="0" applyNumberFormat="1" applyFont="1" applyBorder="1" applyProtection="1">
      <protection locked="0"/>
    </xf>
    <xf numFmtId="165" fontId="37" fillId="0" borderId="0" xfId="38" applyNumberFormat="1" applyFont="1" applyFill="1" applyBorder="1" applyAlignment="1">
      <alignment horizontal="right"/>
    </xf>
    <xf numFmtId="165" fontId="37" fillId="0" borderId="0" xfId="0" applyNumberFormat="1" applyFont="1" applyBorder="1" applyAlignment="1">
      <alignment horizontal="left"/>
    </xf>
    <xf numFmtId="165" fontId="37" fillId="28" borderId="0" xfId="0" applyNumberFormat="1" applyFont="1" applyFill="1" applyBorder="1" applyAlignment="1">
      <alignment horizontal="right"/>
    </xf>
    <xf numFmtId="0" fontId="37" fillId="28" borderId="0" xfId="0" applyFont="1" applyFill="1" applyBorder="1"/>
    <xf numFmtId="165" fontId="37" fillId="0" borderId="0" xfId="0" applyNumberFormat="1" applyFont="1" applyAlignment="1" applyProtection="1">
      <alignment horizontal="left"/>
    </xf>
    <xf numFmtId="165" fontId="37" fillId="28" borderId="0" xfId="0" applyNumberFormat="1" applyFont="1" applyFill="1" applyAlignment="1" applyProtection="1">
      <alignment horizontal="right"/>
    </xf>
    <xf numFmtId="0" fontId="37" fillId="28" borderId="0" xfId="0" applyFont="1" applyFill="1"/>
    <xf numFmtId="165" fontId="37" fillId="0" borderId="0" xfId="38" applyNumberFormat="1" applyFont="1" applyAlignment="1">
      <alignment horizontal="left"/>
    </xf>
    <xf numFmtId="165" fontId="37" fillId="28" borderId="0" xfId="38" applyNumberFormat="1" applyFont="1" applyFill="1" applyAlignment="1">
      <alignment horizontal="right"/>
    </xf>
    <xf numFmtId="165" fontId="37" fillId="0" borderId="0" xfId="38" applyNumberFormat="1" applyFont="1" applyAlignment="1" applyProtection="1">
      <alignment horizontal="left"/>
    </xf>
    <xf numFmtId="165" fontId="37" fillId="28" borderId="0" xfId="38" applyNumberFormat="1" applyFont="1" applyFill="1" applyAlignment="1" applyProtection="1">
      <alignment horizontal="right"/>
    </xf>
    <xf numFmtId="165" fontId="37" fillId="0" borderId="0" xfId="38" applyNumberFormat="1" applyFont="1" applyAlignment="1" applyProtection="1">
      <alignment horizontal="left"/>
      <protection locked="0"/>
    </xf>
    <xf numFmtId="0" fontId="41" fillId="31" borderId="28" xfId="0" applyFont="1" applyFill="1" applyBorder="1" applyAlignment="1">
      <alignment horizontal="center"/>
    </xf>
    <xf numFmtId="165" fontId="33" fillId="30" borderId="10" xfId="0" applyNumberFormat="1" applyFont="1" applyFill="1" applyBorder="1" applyAlignment="1" applyProtection="1">
      <alignment horizontal="right"/>
    </xf>
    <xf numFmtId="0" fontId="33" fillId="0" borderId="36" xfId="38" applyFont="1" applyBorder="1" applyAlignment="1" applyProtection="1">
      <alignment horizontal="left" vertical="top"/>
      <protection locked="0"/>
    </xf>
    <xf numFmtId="0" fontId="37" fillId="31" borderId="12" xfId="38" applyFont="1" applyFill="1" applyBorder="1" applyAlignment="1" applyProtection="1">
      <alignment horizontal="left" indent="1"/>
    </xf>
    <xf numFmtId="165" fontId="33" fillId="0" borderId="0" xfId="0" applyNumberFormat="1" applyFont="1" applyBorder="1" applyAlignment="1"/>
    <xf numFmtId="165" fontId="37" fillId="31" borderId="12" xfId="0" applyNumberFormat="1" applyFont="1" applyFill="1" applyBorder="1" applyAlignment="1" applyProtection="1">
      <alignment horizontal="left" wrapText="1" indent="1"/>
      <protection locked="0"/>
    </xf>
    <xf numFmtId="0" fontId="37" fillId="31" borderId="12" xfId="0" applyFont="1" applyFill="1" applyBorder="1" applyAlignment="1">
      <alignment horizontal="left"/>
    </xf>
    <xf numFmtId="165" fontId="33" fillId="0" borderId="0" xfId="0" applyNumberFormat="1" applyFont="1" applyBorder="1" applyAlignment="1">
      <alignment horizontal="left" wrapText="1" indent="1"/>
    </xf>
    <xf numFmtId="165" fontId="37" fillId="31" borderId="12" xfId="0" applyNumberFormat="1" applyFont="1" applyFill="1" applyBorder="1" applyAlignment="1">
      <alignment wrapText="1"/>
    </xf>
    <xf numFmtId="165" fontId="37" fillId="31" borderId="12" xfId="0" quotePrefix="1" applyNumberFormat="1" applyFont="1" applyFill="1" applyBorder="1" applyAlignment="1">
      <alignment wrapText="1"/>
    </xf>
    <xf numFmtId="0" fontId="37" fillId="0" borderId="0" xfId="0" applyFont="1" applyBorder="1" applyAlignment="1" applyProtection="1"/>
    <xf numFmtId="0" fontId="37" fillId="31" borderId="12" xfId="0" applyFont="1" applyFill="1" applyBorder="1" applyAlignment="1" applyProtection="1"/>
    <xf numFmtId="0" fontId="30" fillId="0" borderId="10" xfId="0" applyFont="1" applyBorder="1" applyAlignment="1">
      <alignment horizontal="center"/>
    </xf>
    <xf numFmtId="0" fontId="30" fillId="28" borderId="10" xfId="0" applyFont="1" applyFill="1" applyBorder="1" applyAlignment="1">
      <alignment horizontal="center"/>
    </xf>
    <xf numFmtId="0" fontId="30" fillId="28" borderId="15" xfId="0" applyFont="1" applyFill="1" applyBorder="1" applyAlignment="1">
      <alignment horizontal="center"/>
    </xf>
    <xf numFmtId="5" fontId="30" fillId="0" borderId="0" xfId="0" applyNumberFormat="1" applyFont="1" applyBorder="1" applyAlignment="1" applyProtection="1">
      <alignment horizontal="center"/>
      <protection locked="0"/>
    </xf>
    <xf numFmtId="37" fontId="30" fillId="0" borderId="10" xfId="0" applyNumberFormat="1" applyFont="1" applyBorder="1" applyAlignment="1" applyProtection="1">
      <alignment horizontal="center"/>
      <protection locked="0"/>
    </xf>
    <xf numFmtId="5" fontId="30"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4" fillId="31" borderId="12" xfId="0" applyFont="1" applyFill="1" applyBorder="1"/>
    <xf numFmtId="0" fontId="24" fillId="31" borderId="12" xfId="0" applyFont="1" applyFill="1" applyBorder="1" applyProtection="1"/>
    <xf numFmtId="5" fontId="30" fillId="30" borderId="10" xfId="0" applyNumberFormat="1" applyFont="1" applyFill="1" applyBorder="1" applyAlignment="1">
      <alignment horizontal="center"/>
    </xf>
    <xf numFmtId="5" fontId="0" fillId="30" borderId="10" xfId="0" applyNumberFormat="1" applyFill="1" applyBorder="1" applyAlignment="1">
      <alignment horizontal="center"/>
    </xf>
    <xf numFmtId="0" fontId="30" fillId="30" borderId="10" xfId="0" applyFont="1" applyFill="1" applyBorder="1" applyAlignment="1">
      <alignment horizontal="center"/>
    </xf>
    <xf numFmtId="0" fontId="30" fillId="30" borderId="15" xfId="0" applyFont="1" applyFill="1" applyBorder="1" applyAlignment="1">
      <alignment horizontal="center"/>
    </xf>
    <xf numFmtId="5" fontId="30" fillId="30" borderId="12" xfId="0" applyNumberFormat="1" applyFont="1" applyFill="1" applyBorder="1" applyAlignment="1">
      <alignment horizontal="center"/>
    </xf>
    <xf numFmtId="0" fontId="3" fillId="30" borderId="15" xfId="0" applyFont="1" applyFill="1" applyBorder="1"/>
    <xf numFmtId="0" fontId="3" fillId="30" borderId="15" xfId="0" applyFont="1" applyFill="1" applyBorder="1" applyProtection="1"/>
    <xf numFmtId="0" fontId="3" fillId="30" borderId="10" xfId="0" applyFont="1" applyFill="1" applyBorder="1" applyProtection="1"/>
    <xf numFmtId="0" fontId="29" fillId="31" borderId="12" xfId="0" applyFont="1" applyFill="1" applyBorder="1" applyAlignment="1">
      <alignment horizontal="center"/>
    </xf>
    <xf numFmtId="0" fontId="29" fillId="31" borderId="37" xfId="0" applyFont="1" applyFill="1" applyBorder="1" applyAlignment="1">
      <alignment horizontal="center"/>
    </xf>
    <xf numFmtId="0" fontId="29" fillId="31" borderId="12" xfId="0" applyFont="1" applyFill="1" applyBorder="1" applyAlignment="1" applyProtection="1">
      <alignment horizontal="left" wrapText="1" readingOrder="1"/>
    </xf>
    <xf numFmtId="0" fontId="30" fillId="31" borderId="12" xfId="0" applyFont="1" applyFill="1" applyBorder="1" applyAlignment="1" applyProtection="1">
      <alignment horizontal="center" wrapText="1"/>
    </xf>
    <xf numFmtId="0" fontId="24" fillId="0" borderId="0" xfId="0" applyFont="1" applyFill="1" applyBorder="1" applyProtection="1"/>
    <xf numFmtId="0" fontId="3" fillId="0" borderId="12" xfId="0" applyFont="1" applyBorder="1" applyAlignment="1" applyProtection="1">
      <alignment horizontal="center"/>
    </xf>
    <xf numFmtId="43" fontId="30" fillId="31" borderId="17" xfId="0" applyNumberFormat="1" applyFont="1" applyFill="1" applyBorder="1" applyAlignment="1" applyProtection="1">
      <alignment horizontal="center" wrapText="1"/>
    </xf>
    <xf numFmtId="0" fontId="34" fillId="31" borderId="17" xfId="0" applyFont="1" applyFill="1" applyBorder="1" applyAlignment="1" applyProtection="1">
      <alignment horizontal="center" wrapText="1"/>
    </xf>
    <xf numFmtId="0" fontId="30" fillId="31" borderId="15" xfId="0" applyFont="1" applyFill="1" applyBorder="1" applyAlignment="1" applyProtection="1">
      <alignment horizontal="center" wrapText="1"/>
    </xf>
    <xf numFmtId="167" fontId="48" fillId="31" borderId="22" xfId="28" applyNumberFormat="1" applyFont="1" applyFill="1" applyBorder="1" applyProtection="1"/>
    <xf numFmtId="167" fontId="48" fillId="31" borderId="38" xfId="28" applyNumberFormat="1" applyFont="1" applyFill="1" applyBorder="1" applyProtection="1"/>
    <xf numFmtId="167" fontId="48" fillId="31" borderId="39" xfId="28" applyNumberFormat="1" applyFont="1" applyFill="1" applyBorder="1" applyProtection="1"/>
    <xf numFmtId="167" fontId="48" fillId="31" borderId="40" xfId="28" applyNumberFormat="1" applyFont="1" applyFill="1" applyBorder="1" applyProtection="1"/>
    <xf numFmtId="167" fontId="48" fillId="31" borderId="41" xfId="28" applyNumberFormat="1" applyFont="1" applyFill="1" applyBorder="1" applyProtection="1"/>
    <xf numFmtId="0" fontId="0" fillId="30" borderId="15" xfId="0" applyFill="1" applyBorder="1" applyProtection="1"/>
    <xf numFmtId="5" fontId="39" fillId="0" borderId="12" xfId="38" applyNumberFormat="1" applyFont="1" applyBorder="1" applyAlignment="1" applyProtection="1">
      <alignment horizontal="center"/>
      <protection locked="0"/>
    </xf>
    <xf numFmtId="5" fontId="30" fillId="29" borderId="42" xfId="28" applyNumberFormat="1" applyFont="1" applyFill="1" applyBorder="1" applyProtection="1"/>
    <xf numFmtId="5" fontId="30" fillId="29" borderId="10" xfId="28" applyNumberFormat="1" applyFont="1" applyFill="1" applyBorder="1" applyProtection="1"/>
    <xf numFmtId="5" fontId="30" fillId="29" borderId="0" xfId="28" applyNumberFormat="1" applyFont="1" applyFill="1" applyBorder="1" applyProtection="1"/>
    <xf numFmtId="5" fontId="0" fillId="0" borderId="0" xfId="0" applyNumberFormat="1" applyProtection="1">
      <protection locked="0"/>
    </xf>
    <xf numFmtId="5" fontId="30" fillId="0" borderId="12" xfId="0" applyNumberFormat="1" applyFont="1" applyBorder="1" applyProtection="1">
      <protection locked="0"/>
    </xf>
    <xf numFmtId="167" fontId="48" fillId="29" borderId="43" xfId="28" applyNumberFormat="1" applyFont="1" applyFill="1" applyBorder="1" applyAlignment="1" applyProtection="1">
      <protection locked="0"/>
    </xf>
    <xf numFmtId="167" fontId="48" fillId="29" borderId="44" xfId="28" applyNumberFormat="1" applyFont="1" applyFill="1" applyBorder="1" applyAlignment="1" applyProtection="1"/>
    <xf numFmtId="167" fontId="48" fillId="29" borderId="45" xfId="28" applyNumberFormat="1" applyFont="1" applyFill="1" applyBorder="1" applyAlignment="1" applyProtection="1"/>
    <xf numFmtId="167" fontId="30" fillId="29" borderId="22" xfId="28" applyNumberFormat="1" applyFont="1" applyFill="1" applyBorder="1" applyProtection="1"/>
    <xf numFmtId="0" fontId="0" fillId="29" borderId="17" xfId="0" applyFill="1" applyBorder="1" applyProtection="1">
      <protection locked="0"/>
    </xf>
    <xf numFmtId="5" fontId="30" fillId="29" borderId="0" xfId="0" applyNumberFormat="1" applyFont="1" applyFill="1" applyBorder="1" applyProtection="1"/>
    <xf numFmtId="5" fontId="39" fillId="0" borderId="21" xfId="38" applyNumberFormat="1" applyFont="1" applyBorder="1" applyAlignment="1" applyProtection="1">
      <alignment horizontal="center"/>
      <protection locked="0"/>
    </xf>
    <xf numFmtId="0" fontId="3" fillId="30" borderId="13" xfId="0" applyFont="1" applyFill="1" applyBorder="1"/>
    <xf numFmtId="5" fontId="33" fillId="30" borderId="10" xfId="0" applyNumberFormat="1" applyFont="1" applyFill="1" applyBorder="1" applyAlignment="1" applyProtection="1">
      <alignment horizontal="right"/>
    </xf>
    <xf numFmtId="5" fontId="33" fillId="0" borderId="0" xfId="0" applyNumberFormat="1" applyFont="1" applyAlignment="1" applyProtection="1">
      <alignment horizontal="left"/>
      <protection locked="0"/>
    </xf>
    <xf numFmtId="5" fontId="33" fillId="28" borderId="0" xfId="0" applyNumberFormat="1" applyFont="1" applyFill="1" applyAlignment="1" applyProtection="1">
      <alignment horizontal="right"/>
      <protection locked="0"/>
    </xf>
    <xf numFmtId="5" fontId="33" fillId="28" borderId="0" xfId="0" applyNumberFormat="1" applyFont="1" applyFill="1"/>
    <xf numFmtId="167" fontId="3" fillId="25" borderId="0" xfId="28" applyNumberFormat="1" applyFont="1" applyFill="1" applyBorder="1" applyProtection="1">
      <protection locked="0"/>
    </xf>
    <xf numFmtId="0" fontId="3" fillId="28" borderId="0" xfId="0" applyFont="1" applyFill="1" applyBorder="1" applyProtection="1"/>
    <xf numFmtId="167" fontId="3" fillId="28" borderId="0" xfId="28" applyNumberFormat="1" applyFont="1" applyFill="1" applyBorder="1" applyProtection="1">
      <protection locked="0"/>
    </xf>
    <xf numFmtId="167" fontId="3" fillId="25" borderId="0" xfId="28" applyNumberFormat="1" applyFont="1" applyFill="1" applyBorder="1" applyAlignment="1" applyProtection="1">
      <alignment horizontal="center"/>
      <protection locked="0"/>
    </xf>
    <xf numFmtId="0" fontId="30" fillId="31" borderId="12" xfId="0" applyFont="1" applyFill="1" applyBorder="1" applyAlignment="1" applyProtection="1">
      <alignment horizontal="center"/>
    </xf>
    <xf numFmtId="0" fontId="29" fillId="30" borderId="46" xfId="0" applyFont="1" applyFill="1" applyBorder="1" applyAlignment="1">
      <alignment horizontal="left"/>
    </xf>
    <xf numFmtId="0" fontId="29" fillId="30" borderId="47" xfId="0" applyFont="1" applyFill="1" applyBorder="1" applyAlignment="1">
      <alignment horizontal="left"/>
    </xf>
    <xf numFmtId="0" fontId="3" fillId="28" borderId="34"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3"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3" fillId="28" borderId="27" xfId="0" quotePrefix="1" applyFont="1" applyFill="1" applyBorder="1" applyAlignment="1" applyProtection="1">
      <alignment horizontal="center"/>
      <protection locked="0"/>
    </xf>
    <xf numFmtId="0" fontId="3"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5" fontId="30" fillId="28" borderId="0" xfId="0" applyNumberFormat="1" applyFont="1" applyFill="1" applyBorder="1" applyAlignment="1" applyProtection="1">
      <alignment horizontal="center"/>
      <protection locked="0"/>
    </xf>
    <xf numFmtId="0" fontId="29" fillId="30" borderId="48" xfId="0" applyFont="1" applyFill="1" applyBorder="1" applyAlignment="1">
      <alignment horizontal="left"/>
    </xf>
    <xf numFmtId="0" fontId="0" fillId="28" borderId="32" xfId="0" applyFill="1" applyBorder="1"/>
    <xf numFmtId="0" fontId="0" fillId="0" borderId="34" xfId="0" applyBorder="1"/>
    <xf numFmtId="0" fontId="0" fillId="0" borderId="26" xfId="0" applyBorder="1" applyAlignment="1" applyProtection="1">
      <alignment horizontal="center"/>
      <protection locked="0"/>
    </xf>
    <xf numFmtId="0" fontId="24"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30" fillId="0" borderId="27" xfId="0" applyFont="1" applyBorder="1"/>
    <xf numFmtId="0" fontId="29" fillId="28" borderId="24" xfId="0" applyFont="1" applyFill="1" applyBorder="1" applyAlignment="1">
      <alignment horizontal="left"/>
    </xf>
    <xf numFmtId="0" fontId="47" fillId="0" borderId="0" xfId="0" applyFont="1" applyFill="1" applyBorder="1" applyAlignment="1" applyProtection="1">
      <alignment wrapText="1"/>
    </xf>
    <xf numFmtId="43" fontId="48" fillId="30" borderId="15" xfId="28" applyFont="1" applyFill="1" applyBorder="1" applyAlignment="1" applyProtection="1">
      <alignment horizontal="center"/>
    </xf>
    <xf numFmtId="165" fontId="37" fillId="31" borderId="12" xfId="0" applyNumberFormat="1" applyFont="1" applyFill="1" applyBorder="1" applyAlignment="1" applyProtection="1">
      <alignment vertical="top"/>
    </xf>
    <xf numFmtId="0" fontId="33" fillId="30" borderId="15" xfId="0" applyFont="1" applyFill="1" applyBorder="1" applyAlignment="1" applyProtection="1">
      <alignment horizontal="left" vertical="top" indent="1"/>
    </xf>
    <xf numFmtId="0" fontId="33" fillId="30" borderId="10" xfId="0" applyFont="1" applyFill="1" applyBorder="1" applyAlignment="1" applyProtection="1">
      <alignment horizontal="left" vertical="top" indent="1"/>
    </xf>
    <xf numFmtId="0" fontId="33" fillId="30" borderId="10" xfId="0" applyFont="1" applyFill="1" applyBorder="1" applyAlignment="1" applyProtection="1">
      <alignment horizontal="left" vertical="top" wrapText="1" indent="1"/>
    </xf>
    <xf numFmtId="0" fontId="33" fillId="30" borderId="49" xfId="38" applyFont="1" applyFill="1" applyBorder="1" applyAlignment="1" applyProtection="1">
      <alignment horizontal="left" vertical="top"/>
    </xf>
    <xf numFmtId="0" fontId="33" fillId="30" borderId="33" xfId="38" applyFont="1" applyFill="1" applyBorder="1" applyAlignment="1" applyProtection="1">
      <alignment horizontal="left" vertical="top"/>
    </xf>
    <xf numFmtId="165" fontId="37" fillId="0" borderId="12" xfId="38" applyNumberFormat="1" applyFont="1" applyBorder="1" applyAlignment="1" applyProtection="1">
      <alignment horizontal="right"/>
      <protection locked="0"/>
    </xf>
    <xf numFmtId="0" fontId="0" fillId="32" borderId="31" xfId="0" applyFill="1" applyBorder="1"/>
    <xf numFmtId="0" fontId="0" fillId="32" borderId="25" xfId="0" applyFill="1" applyBorder="1"/>
    <xf numFmtId="167" fontId="48" fillId="29" borderId="15" xfId="28" applyNumberFormat="1" applyFont="1" applyFill="1" applyBorder="1" applyProtection="1">
      <protection locked="0"/>
    </xf>
    <xf numFmtId="0" fontId="25" fillId="0" borderId="14" xfId="0" applyFont="1" applyBorder="1" applyAlignment="1">
      <alignment wrapText="1"/>
    </xf>
    <xf numFmtId="0" fontId="25" fillId="0" borderId="12" xfId="0" applyFont="1" applyBorder="1" applyAlignment="1">
      <alignment horizontal="left" wrapText="1"/>
    </xf>
    <xf numFmtId="0" fontId="25" fillId="0" borderId="14" xfId="0" applyFont="1" applyBorder="1" applyAlignment="1">
      <alignment vertical="top" wrapText="1"/>
    </xf>
    <xf numFmtId="0" fontId="25" fillId="0" borderId="12" xfId="0" applyFont="1" applyBorder="1" applyAlignment="1">
      <alignment vertical="top" wrapText="1"/>
    </xf>
    <xf numFmtId="0" fontId="24" fillId="27" borderId="14" xfId="0" applyFont="1" applyFill="1" applyBorder="1" applyAlignment="1">
      <alignment horizontal="center" wrapText="1"/>
    </xf>
    <xf numFmtId="0" fontId="29" fillId="27" borderId="12" xfId="0" applyFont="1" applyFill="1" applyBorder="1" applyAlignment="1">
      <alignment horizontal="center" wrapText="1"/>
    </xf>
    <xf numFmtId="5" fontId="30" fillId="0" borderId="33" xfId="0" applyNumberFormat="1" applyFont="1" applyBorder="1" applyAlignment="1" applyProtection="1">
      <alignment horizontal="right"/>
      <protection locked="0"/>
    </xf>
    <xf numFmtId="0" fontId="24" fillId="0" borderId="0" xfId="0" applyFont="1" applyProtection="1">
      <protection locked="0"/>
    </xf>
    <xf numFmtId="0" fontId="24" fillId="0" borderId="0" xfId="0" applyFont="1" applyAlignment="1" applyProtection="1">
      <alignment horizontal="center"/>
      <protection locked="0"/>
    </xf>
    <xf numFmtId="0" fontId="24" fillId="0" borderId="0" xfId="0" applyFont="1"/>
    <xf numFmtId="0" fontId="30" fillId="31" borderId="29" xfId="0" applyFont="1" applyFill="1" applyBorder="1" applyAlignment="1">
      <alignment horizontal="center"/>
    </xf>
    <xf numFmtId="0" fontId="30" fillId="31" borderId="37" xfId="0" applyFont="1" applyFill="1" applyBorder="1" applyAlignment="1">
      <alignment horizontal="center"/>
    </xf>
    <xf numFmtId="0" fontId="29" fillId="0" borderId="12" xfId="0" applyFont="1" applyBorder="1" applyAlignment="1">
      <alignment vertical="top" wrapText="1"/>
    </xf>
    <xf numFmtId="0" fontId="25" fillId="0" borderId="12" xfId="0" applyFont="1" applyBorder="1" applyAlignment="1">
      <alignment horizontal="left" vertical="top" wrapText="1"/>
    </xf>
    <xf numFmtId="0" fontId="29" fillId="0" borderId="12" xfId="0" applyFont="1" applyBorder="1" applyAlignment="1">
      <alignment horizontal="left" vertical="top" wrapText="1"/>
    </xf>
    <xf numFmtId="0" fontId="29" fillId="27" borderId="12" xfId="0" applyFont="1" applyFill="1" applyBorder="1" applyAlignment="1">
      <alignment horizontal="center" vertical="top" wrapText="1"/>
    </xf>
    <xf numFmtId="0" fontId="25" fillId="0" borderId="33" xfId="0" applyFont="1" applyBorder="1" applyAlignment="1">
      <alignment vertical="top" wrapText="1"/>
    </xf>
    <xf numFmtId="0" fontId="45" fillId="0" borderId="28" xfId="0" applyFont="1" applyBorder="1" applyAlignment="1">
      <alignment vertical="top" wrapText="1"/>
    </xf>
    <xf numFmtId="0" fontId="25" fillId="0" borderId="28" xfId="0" applyFont="1" applyBorder="1" applyAlignment="1">
      <alignment vertical="top" wrapText="1"/>
    </xf>
    <xf numFmtId="0" fontId="25" fillId="0" borderId="32" xfId="0" applyFont="1" applyBorder="1" applyAlignment="1">
      <alignment vertical="top" wrapText="1"/>
    </xf>
    <xf numFmtId="165" fontId="37" fillId="30" borderId="12" xfId="0" applyNumberFormat="1" applyFont="1" applyFill="1" applyBorder="1" applyAlignment="1" applyProtection="1">
      <alignment horizontal="right"/>
    </xf>
    <xf numFmtId="165" fontId="37" fillId="30" borderId="12" xfId="0" applyNumberFormat="1" applyFont="1" applyFill="1" applyBorder="1" applyProtection="1"/>
    <xf numFmtId="165" fontId="37" fillId="30" borderId="12" xfId="38" applyNumberFormat="1" applyFont="1" applyFill="1" applyBorder="1" applyAlignment="1">
      <alignment horizontal="right"/>
    </xf>
    <xf numFmtId="165" fontId="37" fillId="30" borderId="12" xfId="38" applyNumberFormat="1" applyFont="1" applyFill="1" applyBorder="1" applyAlignment="1" applyProtection="1">
      <alignment horizontal="right"/>
    </xf>
    <xf numFmtId="5" fontId="37" fillId="30" borderId="12" xfId="38" applyNumberFormat="1" applyFont="1" applyFill="1" applyBorder="1" applyAlignment="1">
      <alignment horizontal="right"/>
    </xf>
    <xf numFmtId="5" fontId="37" fillId="30" borderId="12" xfId="0" applyNumberFormat="1" applyFont="1" applyFill="1" applyBorder="1" applyProtection="1"/>
    <xf numFmtId="0" fontId="30" fillId="30" borderId="12" xfId="0" applyFont="1" applyFill="1" applyBorder="1" applyAlignment="1">
      <alignment horizontal="center"/>
    </xf>
    <xf numFmtId="165" fontId="39" fillId="30" borderId="12" xfId="0" applyNumberFormat="1" applyFont="1" applyFill="1" applyBorder="1" applyAlignment="1" applyProtection="1">
      <alignment horizontal="center"/>
    </xf>
    <xf numFmtId="165" fontId="33" fillId="30" borderId="12" xfId="38" applyNumberFormat="1" applyFont="1" applyFill="1" applyBorder="1" applyAlignment="1" applyProtection="1">
      <alignment horizontal="center"/>
    </xf>
    <xf numFmtId="165" fontId="39" fillId="30" borderId="12" xfId="38" applyNumberFormat="1" applyFont="1" applyFill="1" applyBorder="1" applyAlignment="1" applyProtection="1">
      <alignment horizontal="center"/>
    </xf>
    <xf numFmtId="165" fontId="33" fillId="30" borderId="12" xfId="0" applyNumberFormat="1" applyFont="1" applyFill="1" applyBorder="1" applyAlignment="1" applyProtection="1">
      <alignment horizontal="center"/>
    </xf>
    <xf numFmtId="0" fontId="3" fillId="33" borderId="10" xfId="0" applyFont="1" applyFill="1" applyBorder="1" applyAlignment="1" applyProtection="1">
      <alignment vertical="top"/>
    </xf>
    <xf numFmtId="0" fontId="3" fillId="33" borderId="10" xfId="0" applyFont="1" applyFill="1" applyBorder="1" applyAlignment="1" applyProtection="1"/>
    <xf numFmtId="10" fontId="30" fillId="30" borderId="10" xfId="0" applyNumberFormat="1" applyFont="1" applyFill="1" applyBorder="1" applyAlignment="1" applyProtection="1">
      <alignment horizontal="center"/>
    </xf>
    <xf numFmtId="0" fontId="3" fillId="33" borderId="15" xfId="0" applyFont="1" applyFill="1" applyBorder="1" applyProtection="1"/>
    <xf numFmtId="0" fontId="0" fillId="33" borderId="15" xfId="0" applyFill="1" applyBorder="1" applyProtection="1"/>
    <xf numFmtId="0" fontId="3" fillId="33" borderId="10" xfId="0" applyFont="1" applyFill="1" applyBorder="1" applyProtection="1"/>
    <xf numFmtId="167" fontId="48" fillId="30" borderId="10" xfId="28" applyNumberFormat="1" applyFont="1" applyFill="1" applyBorder="1" applyAlignment="1" applyProtection="1"/>
    <xf numFmtId="167" fontId="48" fillId="30" borderId="43" xfId="28" applyNumberFormat="1" applyFont="1" applyFill="1" applyBorder="1" applyAlignment="1" applyProtection="1"/>
    <xf numFmtId="167" fontId="47" fillId="30" borderId="44" xfId="28" applyNumberFormat="1" applyFont="1" applyFill="1" applyBorder="1" applyAlignment="1" applyProtection="1"/>
    <xf numFmtId="0" fontId="30" fillId="30" borderId="21" xfId="0" quotePrefix="1" applyFont="1" applyFill="1" applyBorder="1" applyAlignment="1" applyProtection="1">
      <alignment horizontal="left"/>
    </xf>
    <xf numFmtId="167" fontId="48" fillId="30" borderId="15" xfId="28" applyNumberFormat="1" applyFont="1" applyFill="1" applyBorder="1" applyAlignment="1" applyProtection="1"/>
    <xf numFmtId="167" fontId="48" fillId="30" borderId="48" xfId="28" applyNumberFormat="1" applyFont="1" applyFill="1" applyBorder="1" applyAlignment="1" applyProtection="1"/>
    <xf numFmtId="0" fontId="49" fillId="30" borderId="15" xfId="0" applyFont="1" applyFill="1" applyBorder="1" applyAlignment="1" applyProtection="1">
      <alignment horizontal="left"/>
    </xf>
    <xf numFmtId="0" fontId="49" fillId="30" borderId="10" xfId="0" applyFont="1" applyFill="1" applyBorder="1" applyAlignment="1" applyProtection="1">
      <alignment horizontal="left"/>
    </xf>
    <xf numFmtId="0" fontId="49" fillId="30" borderId="13" xfId="0" applyFont="1" applyFill="1" applyBorder="1" applyAlignment="1" applyProtection="1">
      <alignment horizontal="left"/>
    </xf>
    <xf numFmtId="0" fontId="30" fillId="30" borderId="12" xfId="0" applyFont="1" applyFill="1" applyBorder="1" applyAlignment="1" applyProtection="1">
      <alignment horizontal="left"/>
    </xf>
    <xf numFmtId="0" fontId="3" fillId="30" borderId="15" xfId="0" applyFont="1" applyFill="1" applyBorder="1" applyAlignment="1" applyProtection="1">
      <alignment horizontal="left" vertical="top"/>
    </xf>
    <xf numFmtId="0" fontId="3" fillId="30" borderId="17" xfId="0" applyFont="1" applyFill="1" applyBorder="1" applyAlignment="1" applyProtection="1">
      <alignment horizontal="left" vertical="top"/>
    </xf>
    <xf numFmtId="0" fontId="29" fillId="31" borderId="12" xfId="0" applyFont="1" applyFill="1" applyBorder="1" applyAlignment="1" applyProtection="1">
      <alignment horizontal="left" wrapText="1"/>
    </xf>
    <xf numFmtId="0" fontId="30" fillId="31" borderId="38" xfId="0" applyFont="1" applyFill="1" applyBorder="1" applyAlignment="1" applyProtection="1">
      <alignment wrapText="1"/>
    </xf>
    <xf numFmtId="0" fontId="30" fillId="31" borderId="40" xfId="0" applyFont="1" applyFill="1" applyBorder="1" applyAlignment="1" applyProtection="1">
      <alignment horizontal="center" wrapText="1"/>
    </xf>
    <xf numFmtId="43" fontId="30" fillId="31" borderId="40" xfId="0" applyNumberFormat="1" applyFont="1" applyFill="1" applyBorder="1" applyAlignment="1" applyProtection="1">
      <alignment horizontal="center" wrapText="1"/>
    </xf>
    <xf numFmtId="0" fontId="30" fillId="31" borderId="41" xfId="0" applyFont="1" applyFill="1" applyBorder="1" applyAlignment="1" applyProtection="1">
      <alignment horizontal="center" wrapText="1"/>
    </xf>
    <xf numFmtId="167" fontId="48" fillId="31" borderId="21" xfId="28" applyNumberFormat="1" applyFont="1" applyFill="1" applyBorder="1" applyProtection="1"/>
    <xf numFmtId="43" fontId="48" fillId="31" borderId="40" xfId="28" applyFont="1" applyFill="1" applyBorder="1" applyProtection="1"/>
    <xf numFmtId="43" fontId="48" fillId="31" borderId="41" xfId="28" applyFont="1" applyFill="1" applyBorder="1" applyProtection="1"/>
    <xf numFmtId="0" fontId="30" fillId="31" borderId="12" xfId="0" applyFont="1" applyFill="1" applyBorder="1" applyProtection="1"/>
    <xf numFmtId="167" fontId="48" fillId="31" borderId="44" xfId="28" applyNumberFormat="1" applyFont="1" applyFill="1" applyBorder="1" applyAlignment="1" applyProtection="1"/>
    <xf numFmtId="167" fontId="48" fillId="31" borderId="50" xfId="28" applyNumberFormat="1" applyFont="1" applyFill="1" applyBorder="1" applyAlignment="1" applyProtection="1"/>
    <xf numFmtId="0" fontId="30" fillId="31" borderId="44" xfId="0" applyFont="1" applyFill="1" applyBorder="1" applyAlignment="1" applyProtection="1">
      <alignment horizontal="center"/>
    </xf>
    <xf numFmtId="0" fontId="30" fillId="31" borderId="12" xfId="0" applyFont="1" applyFill="1" applyBorder="1" applyAlignment="1" applyProtection="1">
      <alignment horizontal="left"/>
    </xf>
    <xf numFmtId="10" fontId="30" fillId="30" borderId="12" xfId="41" applyNumberFormat="1" applyFont="1" applyFill="1" applyBorder="1" applyAlignment="1" applyProtection="1">
      <alignment horizontal="center"/>
    </xf>
    <xf numFmtId="167" fontId="30" fillId="30" borderId="12" xfId="0" applyNumberFormat="1" applyFont="1" applyFill="1" applyBorder="1" applyAlignment="1" applyProtection="1">
      <alignment horizontal="center"/>
    </xf>
    <xf numFmtId="167" fontId="30" fillId="30" borderId="12" xfId="28" applyNumberFormat="1" applyFont="1" applyFill="1" applyBorder="1" applyProtection="1"/>
    <xf numFmtId="0" fontId="0" fillId="30" borderId="12" xfId="0" applyFill="1" applyBorder="1" applyProtection="1"/>
    <xf numFmtId="5" fontId="30" fillId="30" borderId="12" xfId="28" applyNumberFormat="1" applyFont="1" applyFill="1" applyBorder="1" applyProtection="1"/>
    <xf numFmtId="167" fontId="30" fillId="30" borderId="12" xfId="0" applyNumberFormat="1" applyFont="1" applyFill="1" applyBorder="1" applyProtection="1"/>
    <xf numFmtId="5" fontId="30" fillId="30" borderId="12" xfId="0" applyNumberFormat="1" applyFont="1" applyFill="1" applyBorder="1" applyProtection="1"/>
    <xf numFmtId="0" fontId="0" fillId="30" borderId="35"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30" fillId="30" borderId="12" xfId="0" applyFont="1" applyFill="1" applyBorder="1"/>
    <xf numFmtId="0" fontId="30" fillId="30" borderId="10" xfId="0" applyFont="1" applyFill="1" applyBorder="1" applyAlignment="1">
      <alignment horizontal="right"/>
    </xf>
    <xf numFmtId="0" fontId="30" fillId="30" borderId="18" xfId="0" applyFont="1" applyFill="1" applyBorder="1" applyAlignment="1">
      <alignment horizontal="right"/>
    </xf>
    <xf numFmtId="9" fontId="30" fillId="30" borderId="17" xfId="0" applyNumberFormat="1" applyFont="1" applyFill="1" applyBorder="1" applyAlignment="1">
      <alignment horizontal="right"/>
    </xf>
    <xf numFmtId="0" fontId="30" fillId="30" borderId="12" xfId="0" applyFont="1" applyFill="1" applyBorder="1" applyAlignment="1">
      <alignment horizontal="right"/>
    </xf>
    <xf numFmtId="0" fontId="30" fillId="30" borderId="15" xfId="0" applyFont="1" applyFill="1" applyBorder="1"/>
    <xf numFmtId="165" fontId="30" fillId="30" borderId="13" xfId="0" applyNumberFormat="1" applyFont="1" applyFill="1" applyBorder="1"/>
    <xf numFmtId="165" fontId="29" fillId="30" borderId="12" xfId="0" applyNumberFormat="1" applyFont="1" applyFill="1" applyBorder="1"/>
    <xf numFmtId="165" fontId="30" fillId="30" borderId="15" xfId="0" applyNumberFormat="1" applyFont="1" applyFill="1" applyBorder="1"/>
    <xf numFmtId="165" fontId="0" fillId="30" borderId="15" xfId="0" applyNumberFormat="1" applyFill="1" applyBorder="1"/>
    <xf numFmtId="165" fontId="0" fillId="30" borderId="13" xfId="0" applyNumberFormat="1" applyFill="1" applyBorder="1"/>
    <xf numFmtId="0" fontId="0" fillId="30" borderId="19" xfId="0" applyFill="1" applyBorder="1"/>
    <xf numFmtId="0" fontId="30" fillId="30" borderId="21" xfId="0" applyFont="1" applyFill="1" applyBorder="1"/>
    <xf numFmtId="0" fontId="29" fillId="30" borderId="12" xfId="0" applyFont="1" applyFill="1" applyBorder="1"/>
    <xf numFmtId="37" fontId="30" fillId="30" borderId="12" xfId="0" applyNumberFormat="1" applyFont="1" applyFill="1" applyBorder="1"/>
    <xf numFmtId="37" fontId="30" fillId="30" borderId="10" xfId="0" applyNumberFormat="1" applyFont="1" applyFill="1" applyBorder="1"/>
    <xf numFmtId="5" fontId="30" fillId="30" borderId="13" xfId="0" applyNumberFormat="1" applyFont="1" applyFill="1" applyBorder="1"/>
    <xf numFmtId="5" fontId="30" fillId="30" borderId="12" xfId="0" applyNumberFormat="1" applyFont="1" applyFill="1" applyBorder="1"/>
    <xf numFmtId="10" fontId="30" fillId="28" borderId="14" xfId="0" applyNumberFormat="1" applyFont="1" applyFill="1" applyBorder="1" applyProtection="1">
      <protection locked="0"/>
    </xf>
    <xf numFmtId="0" fontId="29" fillId="30" borderId="12" xfId="0" applyFont="1" applyFill="1" applyBorder="1" applyAlignment="1">
      <alignment horizontal="center"/>
    </xf>
    <xf numFmtId="0" fontId="3" fillId="30" borderId="46" xfId="0" applyFont="1" applyFill="1" applyBorder="1" applyAlignment="1">
      <alignment horizontal="center"/>
    </xf>
    <xf numFmtId="0" fontId="30" fillId="30" borderId="35" xfId="0" applyFont="1" applyFill="1" applyBorder="1" applyAlignment="1">
      <alignment horizontal="center"/>
    </xf>
    <xf numFmtId="0" fontId="30" fillId="30" borderId="47" xfId="0" applyFont="1" applyFill="1" applyBorder="1" applyAlignment="1">
      <alignment horizontal="center"/>
    </xf>
    <xf numFmtId="0" fontId="29" fillId="30" borderId="28" xfId="0" applyFont="1" applyFill="1" applyBorder="1" applyAlignment="1">
      <alignment horizontal="center" wrapText="1"/>
    </xf>
    <xf numFmtId="0" fontId="29" fillId="30" borderId="28" xfId="0" applyFont="1" applyFill="1" applyBorder="1" applyAlignment="1">
      <alignment horizontal="center"/>
    </xf>
    <xf numFmtId="0" fontId="29" fillId="30" borderId="37" xfId="0" applyFont="1" applyFill="1" applyBorder="1" applyAlignment="1">
      <alignment horizontal="center"/>
    </xf>
    <xf numFmtId="0" fontId="3" fillId="30" borderId="48" xfId="0" applyFont="1" applyFill="1" applyBorder="1" applyAlignment="1">
      <alignment horizontal="center"/>
    </xf>
    <xf numFmtId="0" fontId="0" fillId="30" borderId="42" xfId="0" applyFill="1" applyBorder="1" applyAlignment="1">
      <alignment horizontal="center"/>
    </xf>
    <xf numFmtId="0" fontId="30" fillId="30" borderId="42" xfId="0" applyFont="1" applyFill="1" applyBorder="1" applyAlignment="1">
      <alignment horizontal="center"/>
    </xf>
    <xf numFmtId="0" fontId="30" fillId="30" borderId="23" xfId="0" applyFont="1" applyFill="1" applyBorder="1" applyAlignment="1">
      <alignment horizontal="center"/>
    </xf>
    <xf numFmtId="0" fontId="30" fillId="30" borderId="37" xfId="0" applyFont="1" applyFill="1" applyBorder="1" applyAlignment="1">
      <alignment horizontal="center"/>
    </xf>
    <xf numFmtId="0" fontId="3" fillId="30" borderId="46" xfId="0" applyFont="1" applyFill="1" applyBorder="1" applyAlignment="1">
      <alignment wrapText="1"/>
    </xf>
    <xf numFmtId="0" fontId="3" fillId="30" borderId="47" xfId="0" applyFont="1" applyFill="1" applyBorder="1"/>
    <xf numFmtId="0" fontId="30" fillId="30" borderId="21" xfId="0" applyFont="1" applyFill="1" applyBorder="1" applyAlignment="1">
      <alignment horizontal="center"/>
    </xf>
    <xf numFmtId="0" fontId="30" fillId="30" borderId="46" xfId="0" applyFont="1" applyFill="1" applyBorder="1" applyAlignment="1">
      <alignment wrapText="1"/>
    </xf>
    <xf numFmtId="0" fontId="3" fillId="30" borderId="48" xfId="0" applyFont="1" applyFill="1" applyBorder="1" applyAlignment="1">
      <alignment wrapText="1"/>
    </xf>
    <xf numFmtId="0" fontId="3" fillId="30" borderId="23" xfId="0" applyFont="1" applyFill="1" applyBorder="1"/>
    <xf numFmtId="0" fontId="30" fillId="30" borderId="37" xfId="0" applyFont="1" applyFill="1" applyBorder="1"/>
    <xf numFmtId="0" fontId="30" fillId="30" borderId="29" xfId="0" applyFont="1" applyFill="1" applyBorder="1" applyAlignment="1">
      <alignment horizontal="center"/>
    </xf>
    <xf numFmtId="0" fontId="30" fillId="30" borderId="48" xfId="0" applyFont="1" applyFill="1" applyBorder="1" applyAlignment="1">
      <alignment wrapText="1"/>
    </xf>
    <xf numFmtId="0" fontId="3" fillId="30" borderId="35" xfId="0" applyFont="1" applyFill="1" applyBorder="1" applyAlignment="1">
      <alignment horizontal="center"/>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0" fontId="3" fillId="30" borderId="42" xfId="0" applyFont="1" applyFill="1" applyBorder="1" applyAlignment="1">
      <alignment horizontal="center"/>
    </xf>
    <xf numFmtId="0" fontId="0" fillId="30" borderId="16" xfId="0" applyFill="1" applyBorder="1"/>
    <xf numFmtId="0" fontId="0" fillId="0" borderId="13" xfId="0" applyBorder="1" applyAlignment="1" applyProtection="1">
      <alignment horizontal="right"/>
      <protection locked="0"/>
    </xf>
    <xf numFmtId="0" fontId="29" fillId="30" borderId="37"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5" fontId="30"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30" fillId="31" borderId="21" xfId="0" applyFont="1" applyFill="1" applyBorder="1" applyAlignment="1">
      <alignment horizontal="left"/>
    </xf>
    <xf numFmtId="0" fontId="30" fillId="31" borderId="29" xfId="0" applyFont="1" applyFill="1" applyBorder="1" applyAlignment="1">
      <alignment horizontal="left"/>
    </xf>
    <xf numFmtId="0" fontId="30" fillId="30" borderId="35" xfId="0" applyFont="1" applyFill="1" applyBorder="1"/>
    <xf numFmtId="0" fontId="30" fillId="30" borderId="47" xfId="0" applyFont="1" applyFill="1" applyBorder="1"/>
    <xf numFmtId="0" fontId="30" fillId="30" borderId="42" xfId="0" applyFont="1" applyFill="1" applyBorder="1"/>
    <xf numFmtId="0" fontId="30" fillId="30" borderId="23" xfId="0" applyFont="1" applyFill="1" applyBorder="1"/>
    <xf numFmtId="0" fontId="30" fillId="30" borderId="29" xfId="0" applyFont="1" applyFill="1" applyBorder="1"/>
    <xf numFmtId="0" fontId="30" fillId="30" borderId="12" xfId="0" applyFont="1" applyFill="1" applyBorder="1" applyAlignment="1"/>
    <xf numFmtId="0" fontId="30" fillId="30" borderId="12" xfId="0" applyFont="1" applyFill="1" applyBorder="1" applyAlignment="1">
      <alignment horizontal="center" wrapText="1"/>
    </xf>
    <xf numFmtId="0" fontId="3" fillId="30" borderId="51" xfId="0" applyFont="1" applyFill="1" applyBorder="1"/>
    <xf numFmtId="37" fontId="0" fillId="30" borderId="15" xfId="0" applyNumberFormat="1" applyFill="1" applyBorder="1" applyAlignment="1">
      <alignment horizontal="center"/>
    </xf>
    <xf numFmtId="5" fontId="0" fillId="30" borderId="15" xfId="0" applyNumberFormat="1" applyFill="1" applyBorder="1" applyAlignment="1">
      <alignment horizontal="center"/>
    </xf>
    <xf numFmtId="0" fontId="3" fillId="30" borderId="35" xfId="0" applyFont="1" applyFill="1" applyBorder="1"/>
    <xf numFmtId="0" fontId="30" fillId="30" borderId="12" xfId="0" quotePrefix="1" applyFont="1" applyFill="1" applyBorder="1"/>
    <xf numFmtId="37" fontId="30" fillId="30" borderId="12" xfId="0" applyNumberFormat="1" applyFont="1" applyFill="1" applyBorder="1" applyAlignment="1">
      <alignment horizontal="center"/>
    </xf>
    <xf numFmtId="5"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7" fontId="0" fillId="30" borderId="52" xfId="0" applyNumberFormat="1" applyFill="1" applyBorder="1"/>
    <xf numFmtId="7" fontId="30" fillId="30" borderId="12" xfId="0" applyNumberFormat="1" applyFont="1" applyFill="1" applyBorder="1"/>
    <xf numFmtId="0" fontId="30" fillId="30" borderId="37" xfId="0" applyFont="1" applyFill="1" applyBorder="1" applyAlignment="1"/>
    <xf numFmtId="0" fontId="3" fillId="30" borderId="11" xfId="0" applyFont="1" applyFill="1" applyBorder="1"/>
    <xf numFmtId="0" fontId="30" fillId="30" borderId="37" xfId="0" quotePrefix="1" applyFont="1" applyFill="1" applyBorder="1"/>
    <xf numFmtId="0" fontId="58" fillId="30" borderId="12" xfId="0" applyFont="1" applyFill="1" applyBorder="1" applyAlignment="1">
      <alignment wrapText="1"/>
    </xf>
    <xf numFmtId="165" fontId="58" fillId="30" borderId="12" xfId="0" applyNumberFormat="1" applyFont="1" applyFill="1" applyBorder="1" applyAlignment="1">
      <alignment horizontal="center" wrapText="1"/>
    </xf>
    <xf numFmtId="165" fontId="58" fillId="30" borderId="28" xfId="0" applyNumberFormat="1" applyFont="1" applyFill="1" applyBorder="1" applyAlignment="1">
      <alignment horizontal="center" wrapText="1"/>
    </xf>
    <xf numFmtId="5" fontId="30" fillId="30" borderId="12" xfId="0" applyNumberFormat="1" applyFont="1" applyFill="1" applyBorder="1" applyAlignment="1">
      <alignment wrapText="1"/>
    </xf>
    <xf numFmtId="0" fontId="58" fillId="30" borderId="37" xfId="0" applyFont="1" applyFill="1" applyBorder="1" applyAlignment="1">
      <alignment wrapText="1"/>
    </xf>
    <xf numFmtId="0" fontId="3" fillId="30" borderId="46" xfId="0" applyFont="1" applyFill="1" applyBorder="1"/>
    <xf numFmtId="0" fontId="58" fillId="30" borderId="53" xfId="0" applyFont="1" applyFill="1" applyBorder="1" applyAlignment="1">
      <alignment wrapText="1"/>
    </xf>
    <xf numFmtId="0" fontId="58" fillId="30" borderId="28" xfId="0" applyFont="1" applyFill="1" applyBorder="1" applyAlignment="1">
      <alignment wrapText="1"/>
    </xf>
    <xf numFmtId="37" fontId="0" fillId="30" borderId="10" xfId="0" applyNumberFormat="1" applyFill="1" applyBorder="1" applyAlignment="1">
      <alignment horizontal="center"/>
    </xf>
    <xf numFmtId="5" fontId="0" fillId="30" borderId="52" xfId="0" applyNumberFormat="1" applyFill="1" applyBorder="1"/>
    <xf numFmtId="0" fontId="3" fillId="30" borderId="48" xfId="0" applyFont="1" applyFill="1" applyBorder="1"/>
    <xf numFmtId="0" fontId="58" fillId="30" borderId="54" xfId="0" applyFont="1" applyFill="1" applyBorder="1" applyAlignment="1">
      <alignment wrapText="1"/>
    </xf>
    <xf numFmtId="0" fontId="58" fillId="30" borderId="30" xfId="0" applyFont="1" applyFill="1" applyBorder="1" applyAlignment="1">
      <alignment wrapText="1"/>
    </xf>
    <xf numFmtId="165" fontId="30" fillId="30" borderId="12" xfId="0" applyNumberFormat="1" applyFont="1" applyFill="1" applyBorder="1"/>
    <xf numFmtId="0" fontId="0" fillId="30" borderId="37" xfId="0" applyFill="1" applyBorder="1"/>
    <xf numFmtId="0" fontId="30" fillId="30" borderId="28" xfId="0" applyFont="1" applyFill="1" applyBorder="1" applyAlignment="1">
      <alignment horizontal="center"/>
    </xf>
    <xf numFmtId="10" fontId="30" fillId="30" borderId="12" xfId="0" applyNumberFormat="1" applyFont="1" applyFill="1" applyBorder="1" applyAlignment="1" applyProtection="1">
      <alignment horizontal="center"/>
    </xf>
    <xf numFmtId="169" fontId="30" fillId="30" borderId="12" xfId="0" applyNumberFormat="1" applyFont="1" applyFill="1" applyBorder="1" applyAlignment="1">
      <alignment horizontal="right"/>
    </xf>
    <xf numFmtId="169" fontId="30" fillId="30" borderId="12" xfId="0" applyNumberFormat="1" applyFont="1" applyFill="1" applyBorder="1"/>
    <xf numFmtId="170" fontId="30" fillId="30" borderId="15" xfId="0" applyNumberFormat="1" applyFont="1" applyFill="1" applyBorder="1"/>
    <xf numFmtId="169" fontId="30" fillId="30" borderId="15" xfId="0" applyNumberFormat="1" applyFont="1" applyFill="1" applyBorder="1"/>
    <xf numFmtId="9" fontId="30" fillId="30" borderId="16" xfId="0" applyNumberFormat="1" applyFont="1" applyFill="1" applyBorder="1" applyAlignment="1">
      <alignment horizontal="right"/>
    </xf>
    <xf numFmtId="9" fontId="30" fillId="30" borderId="12" xfId="0" applyNumberFormat="1" applyFont="1" applyFill="1" applyBorder="1"/>
    <xf numFmtId="0" fontId="30" fillId="30" borderId="12" xfId="0" applyFont="1" applyFill="1" applyBorder="1" applyAlignment="1" applyProtection="1">
      <alignment horizontal="center"/>
    </xf>
    <xf numFmtId="0" fontId="3" fillId="30" borderId="12" xfId="0" applyFont="1" applyFill="1" applyBorder="1" applyAlignment="1" applyProtection="1">
      <alignment horizontal="center"/>
    </xf>
    <xf numFmtId="0" fontId="3" fillId="30" borderId="12" xfId="0" quotePrefix="1" applyFont="1" applyFill="1" applyBorder="1" applyAlignment="1" applyProtection="1">
      <alignment horizontal="center"/>
    </xf>
    <xf numFmtId="0" fontId="3" fillId="31" borderId="12" xfId="0" applyFont="1" applyFill="1" applyBorder="1" applyAlignment="1" applyProtection="1">
      <alignment horizontal="left" wrapText="1"/>
    </xf>
    <xf numFmtId="16" fontId="30" fillId="31" borderId="12" xfId="0" applyNumberFormat="1" applyFont="1" applyFill="1" applyBorder="1" applyAlignment="1" applyProtection="1">
      <alignment horizontal="center"/>
    </xf>
    <xf numFmtId="0" fontId="3" fillId="0" borderId="0" xfId="0" quotePrefix="1" applyFont="1" applyProtection="1"/>
    <xf numFmtId="37" fontId="30" fillId="30" borderId="10" xfId="0" applyNumberFormat="1" applyFont="1" applyFill="1" applyBorder="1" applyAlignment="1" applyProtection="1">
      <alignment horizontal="center"/>
    </xf>
    <xf numFmtId="0" fontId="30" fillId="30" borderId="28" xfId="0" applyFont="1" applyFill="1" applyBorder="1" applyProtection="1"/>
    <xf numFmtId="0" fontId="30" fillId="30" borderId="12" xfId="0" applyFont="1" applyFill="1" applyBorder="1" applyProtection="1"/>
    <xf numFmtId="0" fontId="30" fillId="30" borderId="15" xfId="0" applyFont="1" applyFill="1" applyBorder="1" applyAlignment="1" applyProtection="1">
      <alignment horizontal="right"/>
    </xf>
    <xf numFmtId="9" fontId="30" fillId="30" borderId="10" xfId="0" applyNumberFormat="1" applyFont="1" applyFill="1" applyBorder="1" applyAlignment="1" applyProtection="1">
      <alignment horizontal="right"/>
    </xf>
    <xf numFmtId="0" fontId="30" fillId="30" borderId="10" xfId="0" applyFont="1" applyFill="1" applyBorder="1" applyAlignment="1" applyProtection="1">
      <alignment horizontal="right"/>
    </xf>
    <xf numFmtId="37" fontId="30" fillId="30" borderId="10" xfId="0" applyNumberFormat="1" applyFont="1" applyFill="1" applyBorder="1" applyAlignment="1" applyProtection="1">
      <alignment horizontal="right"/>
    </xf>
    <xf numFmtId="165" fontId="30" fillId="30" borderId="10" xfId="0" applyNumberFormat="1" applyFont="1" applyFill="1" applyBorder="1" applyAlignment="1" applyProtection="1">
      <alignment horizontal="right"/>
    </xf>
    <xf numFmtId="5" fontId="30" fillId="30" borderId="28" xfId="0" applyNumberFormat="1" applyFont="1" applyFill="1" applyBorder="1" applyAlignment="1" applyProtection="1">
      <alignment horizontal="right"/>
    </xf>
    <xf numFmtId="5" fontId="30" fillId="0" borderId="33" xfId="0" applyNumberFormat="1" applyFont="1" applyBorder="1" applyAlignment="1" applyProtection="1">
      <alignment horizontal="right"/>
    </xf>
    <xf numFmtId="0" fontId="53" fillId="0" borderId="0" xfId="0" applyFont="1" applyAlignment="1">
      <alignment horizontal="center"/>
    </xf>
    <xf numFmtId="5" fontId="39" fillId="30" borderId="12" xfId="38" applyNumberFormat="1" applyFont="1" applyFill="1" applyBorder="1" applyAlignment="1" applyProtection="1">
      <alignment horizontal="center"/>
    </xf>
    <xf numFmtId="165" fontId="33" fillId="28" borderId="10" xfId="0" applyNumberFormat="1" applyFont="1" applyFill="1" applyBorder="1" applyProtection="1">
      <protection locked="0"/>
    </xf>
    <xf numFmtId="5" fontId="33" fillId="0" borderId="0" xfId="0" applyNumberFormat="1" applyFont="1" applyBorder="1" applyProtection="1">
      <protection locked="0"/>
    </xf>
    <xf numFmtId="5" fontId="33" fillId="28" borderId="0" xfId="0" applyNumberFormat="1" applyFont="1" applyFill="1" applyBorder="1" applyProtection="1">
      <protection locked="0"/>
    </xf>
    <xf numFmtId="5" fontId="33" fillId="0" borderId="0" xfId="0" applyNumberFormat="1" applyFont="1" applyProtection="1"/>
    <xf numFmtId="5" fontId="33" fillId="28" borderId="0" xfId="0" applyNumberFormat="1" applyFont="1" applyFill="1" applyProtection="1"/>
    <xf numFmtId="5" fontId="37" fillId="0" borderId="0" xfId="0" applyNumberFormat="1" applyFont="1" applyProtection="1">
      <protection locked="0"/>
    </xf>
    <xf numFmtId="5" fontId="37" fillId="28" borderId="0" xfId="0" applyNumberFormat="1" applyFont="1" applyFill="1" applyProtection="1">
      <protection locked="0"/>
    </xf>
    <xf numFmtId="5" fontId="33" fillId="28" borderId="0" xfId="0" applyNumberFormat="1" applyFont="1" applyFill="1" applyProtection="1">
      <protection locked="0"/>
    </xf>
    <xf numFmtId="168" fontId="39" fillId="30" borderId="12" xfId="38" applyNumberFormat="1" applyFont="1" applyFill="1" applyBorder="1" applyAlignment="1" applyProtection="1">
      <alignment horizontal="center"/>
    </xf>
    <xf numFmtId="0" fontId="30" fillId="29" borderId="12" xfId="0" applyFont="1" applyFill="1" applyBorder="1" applyAlignment="1" applyProtection="1">
      <alignment horizontal="center"/>
      <protection locked="0"/>
    </xf>
    <xf numFmtId="0" fontId="24" fillId="29" borderId="21" xfId="0" applyFont="1" applyFill="1" applyBorder="1" applyAlignment="1">
      <alignment wrapText="1"/>
    </xf>
    <xf numFmtId="0" fontId="29" fillId="29" borderId="34" xfId="0" applyFont="1" applyFill="1" applyBorder="1" applyAlignment="1">
      <alignment wrapText="1"/>
    </xf>
    <xf numFmtId="0" fontId="24" fillId="29" borderId="24" xfId="0" applyFont="1" applyFill="1" applyBorder="1" applyAlignment="1">
      <alignment horizontal="center" wrapText="1"/>
    </xf>
    <xf numFmtId="0" fontId="30" fillId="29" borderId="24" xfId="0" applyFont="1" applyFill="1" applyBorder="1" applyAlignment="1">
      <alignment horizontal="center"/>
    </xf>
    <xf numFmtId="0" fontId="0" fillId="29" borderId="24" xfId="0" applyFill="1" applyBorder="1" applyAlignment="1">
      <alignment horizontal="center"/>
    </xf>
    <xf numFmtId="0" fontId="3" fillId="29" borderId="24" xfId="0" applyFont="1" applyFill="1" applyBorder="1" applyAlignment="1">
      <alignment horizontal="center"/>
    </xf>
    <xf numFmtId="0" fontId="0" fillId="29" borderId="24" xfId="0" applyFill="1" applyBorder="1" applyAlignment="1" applyProtection="1">
      <alignment horizontal="center"/>
      <protection locked="0"/>
    </xf>
    <xf numFmtId="0" fontId="3" fillId="29" borderId="24" xfId="0" applyFont="1" applyFill="1" applyBorder="1" applyAlignment="1">
      <alignment wrapText="1"/>
    </xf>
    <xf numFmtId="0" fontId="3" fillId="29" borderId="24" xfId="0" applyFont="1" applyFill="1" applyBorder="1"/>
    <xf numFmtId="0" fontId="30" fillId="29" borderId="24" xfId="0" applyFont="1" applyFill="1" applyBorder="1"/>
    <xf numFmtId="0" fontId="30" fillId="29" borderId="24" xfId="0" applyFont="1" applyFill="1" applyBorder="1" applyProtection="1">
      <protection locked="0"/>
    </xf>
    <xf numFmtId="0" fontId="3" fillId="29" borderId="24" xfId="0" quotePrefix="1" applyFont="1" applyFill="1" applyBorder="1" applyAlignment="1" applyProtection="1">
      <alignment horizontal="center"/>
      <protection locked="0"/>
    </xf>
    <xf numFmtId="0" fontId="30" fillId="29" borderId="27" xfId="0" applyFont="1" applyFill="1" applyBorder="1"/>
    <xf numFmtId="0" fontId="24" fillId="29" borderId="26" xfId="0" applyFont="1" applyFill="1" applyBorder="1" applyAlignment="1">
      <alignment horizontal="center" vertical="top" wrapText="1"/>
    </xf>
    <xf numFmtId="5" fontId="30" fillId="29" borderId="26" xfId="0" applyNumberFormat="1" applyFont="1" applyFill="1" applyBorder="1" applyProtection="1">
      <protection locked="0"/>
    </xf>
    <xf numFmtId="0" fontId="0" fillId="29" borderId="26" xfId="0" applyFill="1" applyBorder="1" applyProtection="1">
      <protection locked="0"/>
    </xf>
    <xf numFmtId="0" fontId="24" fillId="29" borderId="26" xfId="0" applyFont="1" applyFill="1" applyBorder="1" applyAlignment="1" applyProtection="1">
      <protection locked="0"/>
    </xf>
    <xf numFmtId="0" fontId="30"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7" xfId="0" applyBorder="1"/>
    <xf numFmtId="0" fontId="24" fillId="29" borderId="33" xfId="0" applyFont="1" applyFill="1" applyBorder="1" applyAlignment="1">
      <alignment horizontal="center" vertical="top" wrapText="1"/>
    </xf>
    <xf numFmtId="0" fontId="24" fillId="29" borderId="33" xfId="0" applyFont="1" applyFill="1" applyBorder="1" applyAlignment="1">
      <alignment horizontal="left" vertical="top" wrapText="1"/>
    </xf>
    <xf numFmtId="0" fontId="24" fillId="29" borderId="33" xfId="0" applyFont="1" applyFill="1" applyBorder="1" applyAlignment="1">
      <alignment vertical="top" wrapText="1"/>
    </xf>
    <xf numFmtId="0" fontId="24" fillId="28" borderId="0" xfId="0" applyFont="1" applyFill="1" applyBorder="1"/>
    <xf numFmtId="5" fontId="30" fillId="28" borderId="0" xfId="0" applyNumberFormat="1" applyFont="1" applyFill="1" applyBorder="1"/>
    <xf numFmtId="5" fontId="30" fillId="28" borderId="0" xfId="0" applyNumberFormat="1" applyFont="1" applyFill="1" applyBorder="1" applyAlignment="1">
      <alignment horizontal="center"/>
    </xf>
    <xf numFmtId="171" fontId="30" fillId="31" borderId="12" xfId="0" applyNumberFormat="1" applyFont="1" applyFill="1" applyBorder="1" applyAlignment="1">
      <alignment horizontal="center"/>
    </xf>
    <xf numFmtId="5" fontId="30" fillId="31" borderId="12" xfId="0" applyNumberFormat="1" applyFont="1" applyFill="1" applyBorder="1" applyAlignment="1">
      <alignment horizontal="center"/>
    </xf>
    <xf numFmtId="0" fontId="25" fillId="0" borderId="30" xfId="0" applyFont="1" applyBorder="1" applyAlignment="1">
      <alignment vertical="top" wrapText="1"/>
    </xf>
    <xf numFmtId="0" fontId="25" fillId="28" borderId="14" xfId="0" applyFont="1" applyFill="1" applyBorder="1" applyAlignment="1">
      <alignment vertical="top" wrapText="1"/>
    </xf>
    <xf numFmtId="0" fontId="29" fillId="0" borderId="28" xfId="0" applyFont="1" applyBorder="1" applyAlignment="1">
      <alignment wrapText="1"/>
    </xf>
    <xf numFmtId="0" fontId="25" fillId="28" borderId="33" xfId="0" applyFont="1" applyFill="1" applyBorder="1" applyAlignment="1">
      <alignment vertical="top" wrapText="1"/>
    </xf>
    <xf numFmtId="0" fontId="25" fillId="28" borderId="28" xfId="0" applyFont="1" applyFill="1" applyBorder="1" applyAlignment="1">
      <alignment vertical="top" wrapText="1"/>
    </xf>
    <xf numFmtId="0" fontId="54" fillId="30" borderId="12" xfId="0" applyFont="1" applyFill="1" applyBorder="1" applyAlignment="1" applyProtection="1">
      <alignment horizontal="left" indent="2"/>
    </xf>
    <xf numFmtId="0" fontId="30" fillId="28" borderId="12" xfId="0" applyFont="1" applyFill="1" applyBorder="1" applyAlignment="1">
      <alignment horizontal="center"/>
    </xf>
    <xf numFmtId="165" fontId="39" fillId="27" borderId="12" xfId="38" applyNumberFormat="1" applyFont="1" applyFill="1" applyBorder="1" applyAlignment="1" applyProtection="1">
      <alignment horizontal="center"/>
      <protection locked="0"/>
    </xf>
    <xf numFmtId="165" fontId="33" fillId="27" borderId="12" xfId="38" applyNumberFormat="1" applyFont="1" applyFill="1" applyBorder="1" applyAlignment="1" applyProtection="1">
      <alignment horizontal="center"/>
      <protection locked="0"/>
    </xf>
    <xf numFmtId="167" fontId="48" fillId="28" borderId="43" xfId="28" applyNumberFormat="1" applyFont="1" applyFill="1" applyBorder="1" applyAlignment="1" applyProtection="1">
      <protection locked="0"/>
    </xf>
    <xf numFmtId="0" fontId="30" fillId="28" borderId="21" xfId="0" applyFont="1" applyFill="1" applyBorder="1" applyAlignment="1">
      <alignment horizontal="center"/>
    </xf>
    <xf numFmtId="168" fontId="0" fillId="0" borderId="0" xfId="0" applyNumberFormat="1" applyProtection="1">
      <protection locked="0"/>
    </xf>
    <xf numFmtId="168" fontId="0" fillId="0" borderId="0" xfId="0" applyNumberFormat="1"/>
    <xf numFmtId="0" fontId="33" fillId="30" borderId="15" xfId="38" applyFont="1" applyFill="1" applyBorder="1" applyAlignment="1" applyProtection="1">
      <alignment horizontal="left" vertical="top"/>
      <protection locked="0"/>
    </xf>
    <xf numFmtId="0" fontId="41" fillId="31" borderId="12" xfId="38" applyFont="1" applyFill="1" applyBorder="1" applyAlignment="1" applyProtection="1">
      <alignment horizontal="left" indent="1"/>
    </xf>
    <xf numFmtId="168" fontId="55" fillId="30" borderId="12" xfId="38" applyNumberFormat="1" applyFont="1" applyFill="1" applyBorder="1" applyAlignment="1" applyProtection="1">
      <alignment horizontal="right"/>
    </xf>
    <xf numFmtId="166" fontId="0" fillId="0" borderId="0" xfId="0" applyNumberFormat="1"/>
    <xf numFmtId="166" fontId="55" fillId="30" borderId="12" xfId="38" applyNumberFormat="1" applyFont="1" applyFill="1" applyBorder="1" applyAlignment="1" applyProtection="1">
      <alignment horizontal="right"/>
    </xf>
    <xf numFmtId="0" fontId="36" fillId="30" borderId="12" xfId="0" applyNumberFormat="1" applyFont="1" applyFill="1" applyBorder="1" applyAlignment="1" applyProtection="1">
      <alignment horizontal="left" wrapText="1" indent="2"/>
      <protection locked="0"/>
    </xf>
    <xf numFmtId="0" fontId="36" fillId="30" borderId="12" xfId="0" applyNumberFormat="1" applyFont="1" applyFill="1" applyBorder="1" applyAlignment="1" applyProtection="1">
      <alignment horizontal="left" indent="2"/>
      <protection locked="0"/>
    </xf>
    <xf numFmtId="0" fontId="33" fillId="30" borderId="10" xfId="38" applyFont="1" applyFill="1" applyBorder="1" applyAlignment="1" applyProtection="1">
      <alignment horizontal="left" vertical="top"/>
    </xf>
    <xf numFmtId="0" fontId="33" fillId="30" borderId="15" xfId="38" applyFont="1" applyFill="1" applyBorder="1" applyAlignment="1" applyProtection="1">
      <alignment horizontal="left" vertical="top"/>
    </xf>
    <xf numFmtId="0" fontId="40" fillId="30" borderId="10" xfId="38" applyFont="1" applyFill="1" applyBorder="1" applyAlignment="1" applyProtection="1">
      <alignment horizontal="left" vertical="top" wrapText="1"/>
    </xf>
    <xf numFmtId="0" fontId="33" fillId="30" borderId="14" xfId="38" applyFont="1" applyFill="1" applyBorder="1" applyAlignment="1" applyProtection="1">
      <alignment horizontal="left" vertical="top"/>
    </xf>
    <xf numFmtId="0" fontId="33" fillId="30" borderId="55" xfId="38" applyFont="1" applyFill="1" applyBorder="1" applyAlignment="1" applyProtection="1">
      <alignment horizontal="left" vertical="top"/>
    </xf>
    <xf numFmtId="0" fontId="25" fillId="30" borderId="10" xfId="0" applyFont="1" applyFill="1" applyBorder="1" applyAlignment="1" applyProtection="1">
      <alignment vertical="top" wrapText="1"/>
    </xf>
    <xf numFmtId="0" fontId="33" fillId="30" borderId="15" xfId="38" applyFont="1" applyFill="1" applyBorder="1" applyAlignment="1" applyProtection="1">
      <alignment horizontal="left" indent="2"/>
    </xf>
    <xf numFmtId="0" fontId="33" fillId="30" borderId="10" xfId="38" applyFont="1" applyFill="1" applyBorder="1" applyAlignment="1" applyProtection="1">
      <alignment horizontal="left" indent="2"/>
    </xf>
    <xf numFmtId="0" fontId="33" fillId="30" borderId="17" xfId="38" applyFont="1" applyFill="1" applyBorder="1" applyAlignment="1" applyProtection="1">
      <alignment horizontal="left" vertical="top"/>
    </xf>
    <xf numFmtId="0" fontId="25" fillId="28" borderId="12" xfId="0" applyFont="1" applyFill="1" applyBorder="1" applyAlignment="1">
      <alignment horizontal="left" vertical="top" wrapText="1"/>
    </xf>
    <xf numFmtId="0" fontId="30" fillId="28" borderId="14" xfId="0" applyFont="1" applyFill="1" applyBorder="1" applyAlignment="1">
      <alignment horizontal="center"/>
    </xf>
    <xf numFmtId="0" fontId="30" fillId="28" borderId="28" xfId="0" applyFont="1" applyFill="1" applyBorder="1" applyAlignment="1">
      <alignment horizontal="center"/>
    </xf>
    <xf numFmtId="0" fontId="30" fillId="28" borderId="33" xfId="0" applyFont="1" applyFill="1" applyBorder="1" applyAlignment="1">
      <alignment horizontal="center"/>
    </xf>
    <xf numFmtId="49" fontId="25" fillId="0" borderId="14"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top" wrapText="1"/>
    </xf>
    <xf numFmtId="49" fontId="25" fillId="0" borderId="28" xfId="0" applyNumberFormat="1" applyFont="1" applyFill="1" applyBorder="1" applyAlignment="1">
      <alignment horizontal="left" vertical="top" wrapText="1"/>
    </xf>
    <xf numFmtId="49" fontId="25" fillId="0" borderId="12" xfId="0" applyNumberFormat="1" applyFont="1" applyFill="1" applyBorder="1" applyAlignment="1">
      <alignment horizontal="left" vertical="top" wrapText="1"/>
    </xf>
    <xf numFmtId="0" fontId="0" fillId="30" borderId="29" xfId="0" applyFill="1" applyBorder="1"/>
    <xf numFmtId="0" fontId="25" fillId="0" borderId="33" xfId="0" applyFont="1" applyFill="1" applyBorder="1" applyAlignment="1">
      <alignment wrapText="1"/>
    </xf>
    <xf numFmtId="0" fontId="29" fillId="0" borderId="12" xfId="0" applyFont="1" applyFill="1" applyBorder="1" applyAlignment="1">
      <alignment vertical="top" wrapText="1"/>
    </xf>
    <xf numFmtId="0" fontId="25" fillId="28" borderId="12" xfId="0" applyNumberFormat="1" applyFont="1" applyFill="1" applyBorder="1" applyAlignment="1">
      <alignment horizontal="left" vertical="top" wrapText="1"/>
    </xf>
    <xf numFmtId="0" fontId="29" fillId="28" borderId="12" xfId="0" quotePrefix="1" applyNumberFormat="1" applyFont="1" applyFill="1" applyBorder="1" applyAlignment="1">
      <alignment horizontal="left" vertical="top" wrapText="1"/>
    </xf>
    <xf numFmtId="0" fontId="29" fillId="28" borderId="12" xfId="0" quotePrefix="1" applyNumberFormat="1" applyFont="1" applyFill="1" applyBorder="1" applyAlignment="1">
      <alignment horizontal="left" wrapText="1"/>
    </xf>
    <xf numFmtId="0" fontId="24" fillId="27" borderId="37" xfId="0" applyFont="1" applyFill="1" applyBorder="1" applyAlignment="1">
      <alignment horizontal="center" wrapText="1"/>
    </xf>
    <xf numFmtId="0" fontId="25" fillId="0" borderId="37" xfId="0" applyFont="1" applyBorder="1" applyAlignment="1">
      <alignment vertical="top" wrapText="1"/>
    </xf>
    <xf numFmtId="0" fontId="29" fillId="27" borderId="37" xfId="0" applyFont="1" applyFill="1" applyBorder="1" applyAlignment="1">
      <alignment horizontal="center" wrapText="1"/>
    </xf>
    <xf numFmtId="0" fontId="30" fillId="34" borderId="12" xfId="0" applyFont="1" applyFill="1" applyBorder="1" applyAlignment="1">
      <alignment horizontal="center"/>
    </xf>
    <xf numFmtId="0" fontId="45" fillId="0" borderId="33" xfId="0" applyFont="1" applyBorder="1" applyAlignment="1">
      <alignment vertical="top" wrapText="1"/>
    </xf>
    <xf numFmtId="0" fontId="31" fillId="27" borderId="12" xfId="0" applyFont="1" applyFill="1" applyBorder="1" applyAlignment="1">
      <alignment horizontal="center"/>
    </xf>
    <xf numFmtId="0" fontId="24" fillId="0" borderId="0" xfId="0" applyFont="1" applyFill="1" applyProtection="1"/>
    <xf numFmtId="0" fontId="24" fillId="0" borderId="0" xfId="0" applyFont="1" applyFill="1" applyAlignment="1" applyProtection="1">
      <alignment horizontal="left"/>
    </xf>
    <xf numFmtId="0" fontId="0" fillId="0" borderId="0" xfId="0" applyProtection="1"/>
    <xf numFmtId="0" fontId="3"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8" fontId="0" fillId="0" borderId="0" xfId="0" applyNumberFormat="1" applyFill="1" applyBorder="1" applyProtection="1">
      <protection locked="0"/>
    </xf>
    <xf numFmtId="0" fontId="0" fillId="0" borderId="56" xfId="0" applyFill="1" applyBorder="1" applyProtection="1">
      <protection locked="0"/>
    </xf>
    <xf numFmtId="0" fontId="3" fillId="30" borderId="34"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4" xfId="0" applyFill="1" applyBorder="1" applyProtection="1"/>
    <xf numFmtId="0" fontId="3" fillId="30" borderId="27" xfId="0" applyFont="1" applyFill="1" applyBorder="1" applyAlignment="1" applyProtection="1">
      <alignment horizontal="left" indent="1"/>
    </xf>
    <xf numFmtId="0" fontId="3" fillId="30" borderId="24" xfId="0" applyFont="1" applyFill="1" applyBorder="1" applyAlignment="1" applyProtection="1">
      <alignment horizontal="left" indent="1"/>
    </xf>
    <xf numFmtId="0" fontId="24" fillId="30" borderId="12" xfId="0" applyFont="1" applyFill="1" applyBorder="1" applyProtection="1"/>
    <xf numFmtId="0" fontId="24" fillId="30" borderId="21" xfId="0" applyFont="1" applyFill="1" applyBorder="1" applyProtection="1"/>
    <xf numFmtId="0" fontId="0" fillId="30" borderId="29" xfId="0" applyFill="1" applyBorder="1" applyProtection="1"/>
    <xf numFmtId="0" fontId="0" fillId="30" borderId="37" xfId="0" applyFill="1" applyBorder="1" applyProtection="1"/>
    <xf numFmtId="0" fontId="3"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5" fillId="0" borderId="12" xfId="0" applyFont="1" applyFill="1" applyBorder="1" applyAlignment="1">
      <alignment vertical="center" wrapText="1"/>
    </xf>
    <xf numFmtId="0" fontId="30" fillId="0" borderId="12" xfId="0" applyFont="1" applyFill="1" applyBorder="1" applyAlignment="1">
      <alignment horizontal="center" vertical="center"/>
    </xf>
    <xf numFmtId="49" fontId="30" fillId="0" borderId="12" xfId="0" applyNumberFormat="1" applyFont="1" applyFill="1" applyBorder="1" applyAlignment="1">
      <alignment horizontal="center" vertical="center"/>
    </xf>
    <xf numFmtId="0" fontId="29" fillId="34" borderId="12" xfId="0" applyFont="1" applyFill="1" applyBorder="1" applyAlignment="1">
      <alignment horizontal="center" wrapText="1"/>
    </xf>
    <xf numFmtId="0" fontId="33" fillId="30" borderId="15" xfId="0" applyFont="1" applyFill="1" applyBorder="1" applyAlignment="1" applyProtection="1">
      <alignment horizontal="left" vertical="top" wrapText="1" indent="1"/>
    </xf>
    <xf numFmtId="0" fontId="45" fillId="28" borderId="12" xfId="0" quotePrefix="1" applyNumberFormat="1" applyFont="1" applyFill="1" applyBorder="1" applyAlignment="1">
      <alignment horizontal="left" wrapText="1"/>
    </xf>
    <xf numFmtId="0" fontId="25" fillId="0" borderId="14" xfId="0" applyNumberFormat="1" applyFont="1" applyBorder="1" applyAlignment="1">
      <alignment vertical="top" wrapText="1"/>
    </xf>
    <xf numFmtId="0" fontId="25" fillId="0" borderId="33" xfId="0" applyNumberFormat="1" applyFont="1" applyBorder="1" applyAlignment="1">
      <alignment vertical="top" wrapText="1"/>
    </xf>
    <xf numFmtId="168" fontId="33" fillId="0" borderId="12" xfId="0" applyNumberFormat="1" applyFont="1" applyBorder="1" applyProtection="1">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5" fillId="28" borderId="12" xfId="0" applyNumberFormat="1" applyFont="1" applyFill="1" applyBorder="1" applyAlignment="1">
      <alignment horizontal="left" wrapText="1"/>
    </xf>
    <xf numFmtId="0" fontId="30" fillId="27" borderId="14" xfId="0" applyFont="1" applyFill="1" applyBorder="1" applyAlignment="1">
      <alignment horizontal="center"/>
    </xf>
    <xf numFmtId="0" fontId="3" fillId="30" borderId="10" xfId="0" applyFont="1" applyFill="1" applyBorder="1" applyAlignment="1" applyProtection="1">
      <alignment horizontal="left"/>
    </xf>
    <xf numFmtId="0" fontId="3" fillId="30" borderId="13" xfId="0" applyFont="1" applyFill="1" applyBorder="1" applyAlignment="1" applyProtection="1">
      <alignment horizontal="left"/>
    </xf>
    <xf numFmtId="0" fontId="49" fillId="30" borderId="15" xfId="0" quotePrefix="1" applyFont="1" applyFill="1" applyBorder="1" applyAlignment="1" applyProtection="1">
      <alignment vertical="top"/>
    </xf>
    <xf numFmtId="0" fontId="49" fillId="30" borderId="15" xfId="0" applyFont="1" applyFill="1" applyBorder="1" applyAlignment="1" applyProtection="1">
      <alignment vertical="top"/>
    </xf>
    <xf numFmtId="0" fontId="3" fillId="30" borderId="43" xfId="0" applyFont="1" applyFill="1" applyBorder="1" applyAlignment="1" applyProtection="1">
      <alignment horizontal="left"/>
    </xf>
    <xf numFmtId="0" fontId="0" fillId="32" borderId="12" xfId="0" applyFill="1" applyBorder="1"/>
    <xf numFmtId="165" fontId="33" fillId="30" borderId="10" xfId="38" applyNumberFormat="1" applyFont="1" applyFill="1" applyBorder="1" applyAlignment="1" applyProtection="1">
      <alignment horizontal="right"/>
    </xf>
    <xf numFmtId="5" fontId="30" fillId="28" borderId="10" xfId="28" applyNumberFormat="1" applyFont="1" applyFill="1" applyBorder="1" applyProtection="1">
      <protection locked="0"/>
    </xf>
    <xf numFmtId="167" fontId="30" fillId="28" borderId="10" xfId="28" applyNumberFormat="1" applyFont="1" applyFill="1" applyBorder="1" applyProtection="1">
      <protection locked="0"/>
    </xf>
    <xf numFmtId="10" fontId="30" fillId="28" borderId="13" xfId="28" applyNumberFormat="1" applyFont="1" applyFill="1" applyBorder="1" applyProtection="1">
      <protection locked="0"/>
    </xf>
    <xf numFmtId="10" fontId="30" fillId="28" borderId="13" xfId="0" applyNumberFormat="1" applyFont="1" applyFill="1" applyBorder="1" applyProtection="1">
      <protection locked="0"/>
    </xf>
    <xf numFmtId="167" fontId="3" fillId="30" borderId="15" xfId="28" applyNumberFormat="1" applyFont="1" applyFill="1" applyBorder="1" applyAlignment="1" applyProtection="1">
      <alignment horizontal="center"/>
    </xf>
    <xf numFmtId="0" fontId="3" fillId="30" borderId="15" xfId="0" applyFont="1" applyFill="1" applyBorder="1" applyAlignment="1" applyProtection="1">
      <alignment horizontal="center"/>
    </xf>
    <xf numFmtId="0" fontId="3" fillId="30" borderId="43" xfId="0" applyFont="1" applyFill="1" applyBorder="1" applyAlignment="1" applyProtection="1">
      <alignment horizontal="center"/>
    </xf>
    <xf numFmtId="167" fontId="48" fillId="30" borderId="44" xfId="28" applyNumberFormat="1" applyFont="1" applyFill="1" applyBorder="1" applyAlignment="1" applyProtection="1"/>
    <xf numFmtId="167" fontId="49" fillId="30" borderId="10" xfId="28" applyNumberFormat="1" applyFont="1" applyFill="1" applyBorder="1" applyAlignment="1" applyProtection="1">
      <alignment horizontal="center"/>
    </xf>
    <xf numFmtId="167" fontId="48" fillId="30" borderId="57" xfId="28" applyNumberFormat="1" applyFont="1" applyFill="1" applyBorder="1" applyAlignment="1" applyProtection="1"/>
    <xf numFmtId="167" fontId="48" fillId="31" borderId="58" xfId="28" applyNumberFormat="1" applyFont="1" applyFill="1" applyBorder="1" applyAlignment="1" applyProtection="1"/>
    <xf numFmtId="167" fontId="48" fillId="30" borderId="12" xfId="28" applyNumberFormat="1" applyFont="1" applyFill="1" applyBorder="1" applyAlignment="1" applyProtection="1"/>
    <xf numFmtId="0" fontId="0" fillId="29" borderId="0" xfId="0" applyFill="1" applyProtection="1"/>
    <xf numFmtId="167" fontId="3" fillId="30" borderId="10" xfId="28" applyNumberFormat="1" applyFont="1" applyFill="1" applyBorder="1" applyAlignment="1" applyProtection="1">
      <alignment horizontal="center"/>
    </xf>
    <xf numFmtId="0" fontId="30" fillId="29" borderId="0" xfId="0" applyFont="1" applyFill="1" applyProtection="1"/>
    <xf numFmtId="0" fontId="30" fillId="31" borderId="21" xfId="0" applyFont="1" applyFill="1" applyBorder="1" applyProtection="1"/>
    <xf numFmtId="0" fontId="30" fillId="31" borderId="12" xfId="0" applyFont="1" applyFill="1" applyBorder="1" applyAlignment="1" applyProtection="1">
      <alignment wrapText="1"/>
    </xf>
    <xf numFmtId="0" fontId="3" fillId="30" borderId="48" xfId="0" applyFont="1" applyFill="1" applyBorder="1" applyAlignment="1" applyProtection="1">
      <alignment horizontal="center"/>
    </xf>
    <xf numFmtId="3" fontId="30" fillId="30" borderId="12" xfId="0" applyNumberFormat="1" applyFont="1" applyFill="1" applyBorder="1" applyAlignment="1" applyProtection="1">
      <alignment wrapText="1"/>
    </xf>
    <xf numFmtId="5" fontId="30" fillId="29" borderId="42" xfId="0" applyNumberFormat="1" applyFont="1" applyFill="1" applyBorder="1" applyProtection="1"/>
    <xf numFmtId="5" fontId="30"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5" fontId="0" fillId="29" borderId="42" xfId="0" applyNumberFormat="1" applyFill="1" applyBorder="1" applyProtection="1"/>
    <xf numFmtId="5"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67" fontId="48" fillId="28" borderId="22" xfId="28" applyNumberFormat="1" applyFont="1" applyFill="1" applyBorder="1" applyProtection="1">
      <protection locked="0"/>
    </xf>
    <xf numFmtId="167" fontId="3" fillId="28" borderId="10" xfId="28" applyNumberFormat="1" applyFont="1" applyFill="1" applyBorder="1" applyProtection="1">
      <protection locked="0"/>
    </xf>
    <xf numFmtId="167" fontId="48" fillId="29" borderId="59" xfId="28" applyNumberFormat="1" applyFont="1" applyFill="1" applyBorder="1" applyAlignment="1" applyProtection="1"/>
    <xf numFmtId="167" fontId="48" fillId="31" borderId="12" xfId="28" applyNumberFormat="1" applyFont="1" applyFill="1" applyBorder="1" applyProtection="1"/>
    <xf numFmtId="43" fontId="43" fillId="31" borderId="11" xfId="28" applyFont="1" applyFill="1" applyBorder="1" applyProtection="1"/>
    <xf numFmtId="43" fontId="43" fillId="31" borderId="12" xfId="28" applyFont="1" applyFill="1" applyBorder="1" applyProtection="1"/>
    <xf numFmtId="43" fontId="30" fillId="31" borderId="12" xfId="28" applyFont="1" applyFill="1" applyBorder="1" applyAlignment="1" applyProtection="1"/>
    <xf numFmtId="43" fontId="30" fillId="31" borderId="37" xfId="28" applyFont="1" applyFill="1" applyBorder="1" applyAlignment="1" applyProtection="1"/>
    <xf numFmtId="43" fontId="0" fillId="24" borderId="10" xfId="28" applyFont="1" applyFill="1" applyBorder="1" applyProtection="1"/>
    <xf numFmtId="43" fontId="0" fillId="0" borderId="15" xfId="28" applyFont="1" applyFill="1" applyBorder="1" applyProtection="1"/>
    <xf numFmtId="43" fontId="0" fillId="24" borderId="13" xfId="28" applyFont="1" applyFill="1" applyBorder="1" applyProtection="1"/>
    <xf numFmtId="43" fontId="0" fillId="0" borderId="13" xfId="28" applyFont="1" applyFill="1" applyBorder="1" applyProtection="1"/>
    <xf numFmtId="167" fontId="49" fillId="30" borderId="43" xfId="28" applyNumberFormat="1" applyFont="1" applyFill="1" applyBorder="1" applyAlignment="1" applyProtection="1">
      <alignment horizontal="center"/>
    </xf>
    <xf numFmtId="167" fontId="48" fillId="29" borderId="43" xfId="28" applyNumberFormat="1" applyFont="1" applyFill="1" applyBorder="1" applyAlignment="1" applyProtection="1"/>
    <xf numFmtId="0" fontId="0" fillId="29" borderId="0" xfId="0" applyFill="1" applyBorder="1" applyAlignment="1" applyProtection="1">
      <alignment wrapText="1"/>
    </xf>
    <xf numFmtId="0" fontId="30" fillId="29" borderId="0" xfId="0" applyFont="1" applyFill="1" applyBorder="1" applyAlignment="1" applyProtection="1">
      <alignment wrapText="1"/>
    </xf>
    <xf numFmtId="3" fontId="30"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5" fontId="30" fillId="29" borderId="22" xfId="0" applyNumberFormat="1" applyFont="1" applyFill="1" applyBorder="1" applyProtection="1"/>
    <xf numFmtId="5" fontId="30" fillId="29" borderId="0" xfId="0" applyNumberFormat="1" applyFont="1" applyFill="1" applyProtection="1"/>
    <xf numFmtId="5" fontId="0" fillId="29" borderId="0" xfId="0" applyNumberFormat="1" applyFill="1" applyProtection="1"/>
    <xf numFmtId="5" fontId="30" fillId="30" borderId="15" xfId="0" applyNumberFormat="1" applyFont="1" applyFill="1" applyBorder="1" applyAlignment="1" applyProtection="1">
      <alignment horizontal="center"/>
    </xf>
    <xf numFmtId="5" fontId="30" fillId="30" borderId="10" xfId="0" applyNumberFormat="1" applyFont="1" applyFill="1" applyBorder="1" applyAlignment="1" applyProtection="1">
      <alignment horizontal="center"/>
    </xf>
    <xf numFmtId="0" fontId="3" fillId="28" borderId="10" xfId="0" applyFont="1" applyFill="1" applyBorder="1" applyProtection="1">
      <protection locked="0"/>
    </xf>
    <xf numFmtId="0" fontId="3"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3" fillId="0" borderId="24" xfId="0" applyFont="1" applyBorder="1" applyProtection="1">
      <protection locked="0"/>
    </xf>
    <xf numFmtId="0" fontId="30" fillId="0" borderId="0" xfId="0" applyFont="1" applyBorder="1" applyAlignment="1" applyProtection="1">
      <alignment horizontal="right"/>
    </xf>
    <xf numFmtId="37" fontId="30" fillId="0" borderId="0" xfId="0" applyNumberFormat="1" applyFont="1" applyBorder="1" applyAlignment="1" applyProtection="1">
      <alignment horizontal="right"/>
    </xf>
    <xf numFmtId="9" fontId="30" fillId="0" borderId="0" xfId="0" applyNumberFormat="1" applyFont="1" applyBorder="1" applyAlignment="1" applyProtection="1">
      <alignment horizontal="right"/>
    </xf>
    <xf numFmtId="165" fontId="30" fillId="0" borderId="0" xfId="0" applyNumberFormat="1" applyFont="1" applyBorder="1" applyAlignment="1" applyProtection="1">
      <alignment horizontal="right"/>
      <protection locked="0"/>
    </xf>
    <xf numFmtId="165" fontId="30" fillId="0" borderId="0" xfId="0" applyNumberFormat="1" applyFont="1" applyBorder="1" applyAlignment="1" applyProtection="1">
      <alignment horizontal="right"/>
    </xf>
    <xf numFmtId="0" fontId="30" fillId="30" borderId="10" xfId="0" applyNumberFormat="1" applyFont="1" applyFill="1" applyBorder="1" applyAlignment="1" applyProtection="1">
      <alignment horizontal="center"/>
    </xf>
    <xf numFmtId="0" fontId="30" fillId="0" borderId="10" xfId="0" applyFont="1" applyBorder="1" applyAlignment="1" applyProtection="1">
      <alignment horizontal="center"/>
      <protection locked="0"/>
    </xf>
    <xf numFmtId="167" fontId="30" fillId="25" borderId="10" xfId="28" quotePrefix="1" applyNumberFormat="1" applyFont="1" applyFill="1" applyBorder="1" applyAlignment="1" applyProtection="1">
      <alignment horizontal="center"/>
      <protection locked="0"/>
    </xf>
    <xf numFmtId="167" fontId="30" fillId="25" borderId="10" xfId="28" applyNumberFormat="1" applyFont="1" applyFill="1" applyBorder="1" applyAlignment="1" applyProtection="1">
      <alignment horizontal="center"/>
      <protection locked="0"/>
    </xf>
    <xf numFmtId="5" fontId="30" fillId="30" borderId="10" xfId="28" applyNumberFormat="1" applyFont="1" applyFill="1" applyBorder="1" applyAlignment="1" applyProtection="1">
      <alignment horizontal="center"/>
    </xf>
    <xf numFmtId="5" fontId="30" fillId="25" borderId="10" xfId="28" applyNumberFormat="1" applyFont="1" applyFill="1" applyBorder="1" applyAlignment="1" applyProtection="1">
      <alignment horizontal="center"/>
      <protection locked="0"/>
    </xf>
    <xf numFmtId="5" fontId="30" fillId="28" borderId="0" xfId="28" applyNumberFormat="1" applyFont="1" applyFill="1" applyBorder="1" applyAlignment="1" applyProtection="1">
      <alignment horizontal="center"/>
    </xf>
    <xf numFmtId="5" fontId="30" fillId="28" borderId="0" xfId="28" applyNumberFormat="1" applyFont="1" applyFill="1" applyBorder="1" applyAlignment="1" applyProtection="1">
      <alignment horizontal="center"/>
      <protection locked="0"/>
    </xf>
    <xf numFmtId="5" fontId="30" fillId="0" borderId="0" xfId="0" applyNumberFormat="1" applyFont="1" applyAlignment="1" applyProtection="1">
      <alignment horizontal="center"/>
      <protection locked="0"/>
    </xf>
    <xf numFmtId="5" fontId="30" fillId="30" borderId="12" xfId="0" applyNumberFormat="1" applyFont="1" applyFill="1" applyBorder="1" applyAlignment="1" applyProtection="1">
      <alignment horizontal="center"/>
    </xf>
    <xf numFmtId="0" fontId="30" fillId="30" borderId="15" xfId="0" applyFont="1" applyFill="1" applyBorder="1" applyAlignment="1" applyProtection="1">
      <alignment horizontal="center"/>
    </xf>
    <xf numFmtId="0" fontId="30" fillId="30" borderId="10" xfId="0" applyFont="1" applyFill="1" applyBorder="1" applyAlignment="1" applyProtection="1">
      <alignment horizontal="center"/>
    </xf>
    <xf numFmtId="0" fontId="30" fillId="28" borderId="0" xfId="0" applyFont="1" applyFill="1" applyAlignment="1" applyProtection="1">
      <alignment horizontal="center"/>
      <protection locked="0"/>
    </xf>
    <xf numFmtId="167" fontId="30" fillId="30" borderId="10" xfId="28"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Alignment="1" applyProtection="1">
      <alignment horizontal="center"/>
    </xf>
    <xf numFmtId="0" fontId="40" fillId="31" borderId="28" xfId="38" applyFont="1" applyFill="1" applyBorder="1" applyAlignment="1" applyProtection="1">
      <alignment horizontal="left" vertical="top"/>
    </xf>
    <xf numFmtId="0" fontId="33" fillId="30" borderId="15" xfId="38" applyFont="1" applyFill="1" applyBorder="1" applyAlignment="1" applyProtection="1">
      <alignment horizontal="left" vertical="top" wrapText="1"/>
    </xf>
    <xf numFmtId="0" fontId="37" fillId="31" borderId="12" xfId="38" applyFont="1" applyFill="1" applyBorder="1" applyAlignment="1" applyProtection="1">
      <alignment horizontal="left" vertical="top"/>
    </xf>
    <xf numFmtId="0" fontId="37" fillId="31" borderId="15" xfId="38" applyFont="1" applyFill="1" applyBorder="1" applyAlignment="1" applyProtection="1">
      <alignment horizontal="left" vertical="top"/>
    </xf>
    <xf numFmtId="0" fontId="37" fillId="28" borderId="0" xfId="0" applyFont="1" applyFill="1" applyProtection="1"/>
    <xf numFmtId="0" fontId="0" fillId="28" borderId="0" xfId="0" applyFill="1" applyProtection="1"/>
    <xf numFmtId="165" fontId="37" fillId="0" borderId="0" xfId="0" applyNumberFormat="1" applyFont="1" applyBorder="1" applyAlignment="1" applyProtection="1">
      <alignment horizontal="left"/>
    </xf>
    <xf numFmtId="165" fontId="37" fillId="28" borderId="0" xfId="0" applyNumberFormat="1" applyFont="1" applyFill="1" applyBorder="1" applyAlignment="1" applyProtection="1">
      <alignment horizontal="right"/>
    </xf>
    <xf numFmtId="0" fontId="37" fillId="28" borderId="0" xfId="0" applyFont="1" applyFill="1" applyBorder="1" applyProtection="1"/>
    <xf numFmtId="5" fontId="37" fillId="30" borderId="12" xfId="38" applyNumberFormat="1" applyFont="1" applyFill="1" applyBorder="1" applyAlignment="1" applyProtection="1">
      <alignment horizontal="right"/>
    </xf>
    <xf numFmtId="165" fontId="37" fillId="0" borderId="0" xfId="38" applyNumberFormat="1" applyFont="1" applyFill="1" applyBorder="1" applyAlignment="1" applyProtection="1">
      <alignment horizontal="right"/>
    </xf>
    <xf numFmtId="165" fontId="33" fillId="0" borderId="0" xfId="0" applyNumberFormat="1" applyFont="1" applyBorder="1" applyProtection="1"/>
    <xf numFmtId="165" fontId="33" fillId="28" borderId="0" xfId="0" applyNumberFormat="1" applyFont="1" applyFill="1" applyBorder="1" applyProtection="1"/>
    <xf numFmtId="0" fontId="33" fillId="28" borderId="0" xfId="0" applyFont="1" applyFill="1" applyBorder="1" applyProtection="1"/>
    <xf numFmtId="5" fontId="33" fillId="0" borderId="0" xfId="0" applyNumberFormat="1" applyFont="1" applyBorder="1" applyProtection="1"/>
    <xf numFmtId="5" fontId="33" fillId="28" borderId="0" xfId="0" applyNumberFormat="1" applyFont="1" applyFill="1" applyBorder="1" applyProtection="1"/>
    <xf numFmtId="5" fontId="37" fillId="0" borderId="0" xfId="0" applyNumberFormat="1" applyFont="1" applyProtection="1"/>
    <xf numFmtId="5" fontId="37" fillId="28" borderId="0" xfId="0" applyNumberFormat="1" applyFont="1" applyFill="1" applyProtection="1"/>
    <xf numFmtId="5" fontId="37" fillId="0" borderId="0" xfId="0" applyNumberFormat="1" applyFont="1" applyBorder="1" applyProtection="1"/>
    <xf numFmtId="0" fontId="33" fillId="28" borderId="0" xfId="0" applyFont="1" applyFill="1" applyProtection="1"/>
    <xf numFmtId="0" fontId="42" fillId="0" borderId="0" xfId="0" applyFont="1" applyAlignment="1" applyProtection="1">
      <alignment horizontal="center"/>
    </xf>
    <xf numFmtId="165" fontId="33" fillId="0" borderId="0" xfId="0" applyNumberFormat="1" applyFont="1" applyAlignment="1" applyProtection="1">
      <alignment horizontal="right"/>
    </xf>
    <xf numFmtId="165" fontId="33" fillId="0" borderId="0" xfId="0" applyNumberFormat="1" applyFont="1" applyAlignment="1" applyProtection="1">
      <alignment horizontal="left"/>
    </xf>
    <xf numFmtId="165" fontId="33" fillId="28" borderId="0" xfId="0" applyNumberFormat="1" applyFont="1" applyFill="1" applyAlignment="1" applyProtection="1">
      <alignment horizontal="right"/>
    </xf>
    <xf numFmtId="5" fontId="33" fillId="0" borderId="0" xfId="0" applyNumberFormat="1" applyFont="1" applyAlignment="1" applyProtection="1">
      <alignment horizontal="left"/>
    </xf>
    <xf numFmtId="5" fontId="33" fillId="28" borderId="0" xfId="0" applyNumberFormat="1" applyFont="1" applyFill="1" applyAlignment="1" applyProtection="1">
      <alignment horizontal="right"/>
    </xf>
    <xf numFmtId="165" fontId="33" fillId="28" borderId="0" xfId="0" applyNumberFormat="1" applyFont="1" applyFill="1" applyBorder="1" applyAlignment="1" applyProtection="1">
      <alignment horizontal="right"/>
    </xf>
    <xf numFmtId="165" fontId="33" fillId="28" borderId="0" xfId="0" applyNumberFormat="1" applyFont="1" applyFill="1" applyAlignment="1" applyProtection="1">
      <alignment horizontal="left"/>
    </xf>
    <xf numFmtId="165" fontId="38" fillId="0" borderId="0" xfId="0" applyNumberFormat="1" applyFont="1" applyAlignment="1" applyProtection="1">
      <alignment horizontal="center"/>
    </xf>
    <xf numFmtId="165" fontId="38" fillId="28" borderId="0" xfId="0" applyNumberFormat="1" applyFont="1" applyFill="1" applyAlignment="1" applyProtection="1">
      <alignment horizontal="center"/>
    </xf>
    <xf numFmtId="165" fontId="33" fillId="0" borderId="0" xfId="38" applyNumberFormat="1" applyFont="1" applyAlignment="1" applyProtection="1">
      <alignment horizontal="left"/>
    </xf>
    <xf numFmtId="165" fontId="33" fillId="28" borderId="0" xfId="38" applyNumberFormat="1" applyFont="1" applyFill="1" applyAlignment="1" applyProtection="1">
      <alignment horizontal="right"/>
    </xf>
    <xf numFmtId="165" fontId="37" fillId="28" borderId="0" xfId="38" applyNumberFormat="1" applyFont="1" applyFill="1" applyBorder="1" applyAlignment="1" applyProtection="1">
      <alignment horizontal="right"/>
    </xf>
    <xf numFmtId="165" fontId="37" fillId="28" borderId="0" xfId="38" applyNumberFormat="1" applyFont="1" applyFill="1" applyAlignment="1" applyProtection="1">
      <alignment horizontal="left"/>
    </xf>
    <xf numFmtId="165" fontId="33" fillId="28" borderId="0" xfId="38" applyNumberFormat="1" applyFont="1" applyFill="1" applyAlignment="1" applyProtection="1">
      <alignment horizontal="left"/>
    </xf>
    <xf numFmtId="165" fontId="33" fillId="28" borderId="0" xfId="0" applyNumberFormat="1" applyFont="1" applyFill="1" applyProtection="1"/>
    <xf numFmtId="165" fontId="33" fillId="0" borderId="0" xfId="38" applyNumberFormat="1" applyFont="1" applyAlignment="1" applyProtection="1">
      <alignment horizontal="right"/>
    </xf>
    <xf numFmtId="165" fontId="33" fillId="0" borderId="0" xfId="38" applyNumberFormat="1" applyFont="1" applyBorder="1" applyAlignment="1" applyProtection="1">
      <alignment horizontal="right"/>
    </xf>
    <xf numFmtId="165" fontId="33" fillId="0" borderId="0" xfId="38" applyNumberFormat="1" applyFont="1" applyBorder="1" applyAlignment="1" applyProtection="1">
      <alignment horizontal="left"/>
    </xf>
    <xf numFmtId="165" fontId="33" fillId="28" borderId="0" xfId="38" applyNumberFormat="1" applyFont="1" applyFill="1" applyBorder="1" applyAlignment="1" applyProtection="1">
      <alignment horizontal="right"/>
    </xf>
    <xf numFmtId="0" fontId="0" fillId="32" borderId="31" xfId="0" applyFill="1" applyBorder="1" applyProtection="1"/>
    <xf numFmtId="0" fontId="0" fillId="32" borderId="0" xfId="0" applyFill="1" applyBorder="1" applyProtection="1"/>
    <xf numFmtId="0" fontId="0" fillId="32" borderId="25" xfId="0" applyFill="1" applyBorder="1" applyProtection="1"/>
    <xf numFmtId="1" fontId="30" fillId="31" borderId="12" xfId="0" applyNumberFormat="1" applyFont="1" applyFill="1" applyBorder="1" applyAlignment="1" applyProtection="1">
      <alignment horizontal="center"/>
    </xf>
    <xf numFmtId="168" fontId="0" fillId="30" borderId="15" xfId="0" applyNumberFormat="1" applyFill="1" applyBorder="1" applyProtection="1"/>
    <xf numFmtId="168" fontId="0" fillId="30" borderId="10" xfId="0" applyNumberFormat="1" applyFill="1" applyBorder="1" applyProtection="1"/>
    <xf numFmtId="168" fontId="0" fillId="0" borderId="0" xfId="0" applyNumberFormat="1" applyProtection="1"/>
    <xf numFmtId="168" fontId="29" fillId="30" borderId="12" xfId="0" applyNumberFormat="1" applyFont="1" applyFill="1" applyBorder="1" applyProtection="1"/>
    <xf numFmtId="168" fontId="29" fillId="28" borderId="0" xfId="0" applyNumberFormat="1" applyFont="1" applyFill="1" applyBorder="1" applyProtection="1"/>
    <xf numFmtId="168" fontId="0" fillId="28" borderId="0" xfId="0" applyNumberFormat="1" applyFill="1" applyProtection="1"/>
    <xf numFmtId="9" fontId="37" fillId="30" borderId="12" xfId="38" applyNumberFormat="1" applyFont="1" applyFill="1" applyBorder="1" applyAlignment="1" applyProtection="1">
      <alignment horizontal="right"/>
    </xf>
    <xf numFmtId="166" fontId="0" fillId="30" borderId="15" xfId="0" applyNumberFormat="1" applyFill="1" applyBorder="1" applyProtection="1"/>
    <xf numFmtId="166" fontId="29" fillId="30" borderId="12" xfId="0" applyNumberFormat="1" applyFont="1" applyFill="1" applyBorder="1" applyProtection="1"/>
    <xf numFmtId="166" fontId="29" fillId="28" borderId="0" xfId="0" applyNumberFormat="1" applyFont="1" applyFill="1" applyBorder="1" applyProtection="1"/>
    <xf numFmtId="166" fontId="0" fillId="30" borderId="10" xfId="0" applyNumberFormat="1" applyFill="1" applyBorder="1" applyProtection="1"/>
    <xf numFmtId="166" fontId="37" fillId="30" borderId="12" xfId="38" applyNumberFormat="1" applyFont="1" applyFill="1" applyBorder="1" applyAlignment="1" applyProtection="1">
      <alignment horizontal="right"/>
    </xf>
    <xf numFmtId="167" fontId="48" fillId="29" borderId="15" xfId="28" applyNumberFormat="1" applyFont="1" applyFill="1" applyBorder="1" applyProtection="1"/>
    <xf numFmtId="0" fontId="30"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30" fillId="0" borderId="12" xfId="0" applyNumberFormat="1" applyFont="1" applyBorder="1" applyAlignment="1" applyProtection="1">
      <alignment horizontal="center"/>
      <protection locked="0"/>
    </xf>
    <xf numFmtId="0" fontId="30" fillId="27" borderId="12" xfId="0" applyFont="1" applyFill="1" applyBorder="1" applyAlignment="1" applyProtection="1">
      <alignment horizontal="center"/>
      <protection locked="0"/>
    </xf>
    <xf numFmtId="0" fontId="31" fillId="30" borderId="12" xfId="0" applyFont="1" applyFill="1" applyBorder="1" applyAlignment="1">
      <alignment horizontal="left" vertical="top"/>
    </xf>
    <xf numFmtId="0" fontId="30" fillId="30" borderId="21" xfId="0" applyFont="1" applyFill="1" applyBorder="1" applyAlignment="1">
      <alignment horizontal="left"/>
    </xf>
    <xf numFmtId="5" fontId="37" fillId="28" borderId="0" xfId="0" applyNumberFormat="1" applyFont="1" applyFill="1" applyBorder="1"/>
    <xf numFmtId="5" fontId="37" fillId="28" borderId="0" xfId="0" applyNumberFormat="1" applyFont="1" applyFill="1" applyBorder="1" applyProtection="1"/>
    <xf numFmtId="164" fontId="36" fillId="28" borderId="0" xfId="0" applyNumberFormat="1" applyFont="1" applyFill="1" applyBorder="1" applyAlignment="1" applyProtection="1">
      <alignment horizontal="left" indent="2"/>
      <protection locked="0"/>
    </xf>
    <xf numFmtId="0" fontId="29" fillId="0" borderId="33" xfId="0" applyNumberFormat="1" applyFont="1" applyBorder="1" applyAlignment="1">
      <alignment vertical="top" wrapText="1"/>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165" fontId="39" fillId="27" borderId="12" xfId="38" applyNumberFormat="1" applyFont="1" applyFill="1" applyBorder="1" applyAlignment="1" applyProtection="1">
      <alignment horizontal="center"/>
    </xf>
    <xf numFmtId="165" fontId="39" fillId="0" borderId="12" xfId="38" applyNumberFormat="1" applyFont="1" applyBorder="1" applyAlignment="1" applyProtection="1">
      <alignment horizontal="center"/>
    </xf>
    <xf numFmtId="168" fontId="39" fillId="0" borderId="12" xfId="38" applyNumberFormat="1" applyFont="1" applyBorder="1" applyAlignment="1" applyProtection="1">
      <alignment horizontal="center"/>
    </xf>
    <xf numFmtId="165" fontId="33" fillId="0" borderId="10" xfId="0" applyNumberFormat="1" applyFont="1" applyBorder="1" applyProtection="1"/>
    <xf numFmtId="0" fontId="0" fillId="30" borderId="12" xfId="0" applyFill="1" applyBorder="1"/>
    <xf numFmtId="9" fontId="30" fillId="28" borderId="17" xfId="0" applyNumberFormat="1" applyFont="1" applyFill="1" applyBorder="1" applyAlignment="1">
      <alignment horizontal="right"/>
    </xf>
    <xf numFmtId="5" fontId="30" fillId="28" borderId="0" xfId="0" applyNumberFormat="1" applyFont="1" applyFill="1" applyBorder="1" applyAlignment="1" applyProtection="1">
      <alignment horizontal="center"/>
    </xf>
    <xf numFmtId="0" fontId="29" fillId="30" borderId="10" xfId="0" applyFont="1" applyFill="1" applyBorder="1" applyAlignment="1">
      <alignment horizontal="left"/>
    </xf>
    <xf numFmtId="0" fontId="29" fillId="31" borderId="46" xfId="0" applyFont="1" applyFill="1" applyBorder="1" applyAlignment="1">
      <alignment horizontal="left"/>
    </xf>
    <xf numFmtId="0" fontId="29" fillId="28" borderId="60" xfId="0" applyFont="1" applyFill="1" applyBorder="1" applyAlignment="1">
      <alignment horizontal="left"/>
    </xf>
    <xf numFmtId="5" fontId="30" fillId="31" borderId="10" xfId="0" applyNumberFormat="1" applyFont="1" applyFill="1" applyBorder="1" applyAlignment="1" applyProtection="1">
      <alignment horizontal="center"/>
    </xf>
    <xf numFmtId="5" fontId="30" fillId="31" borderId="15" xfId="0" applyNumberFormat="1" applyFont="1" applyFill="1" applyBorder="1" applyAlignment="1" applyProtection="1">
      <alignment horizontal="center"/>
    </xf>
    <xf numFmtId="0" fontId="29" fillId="31" borderId="48" xfId="0" applyFont="1" applyFill="1" applyBorder="1" applyAlignment="1">
      <alignment horizontal="left"/>
    </xf>
    <xf numFmtId="0" fontId="31" fillId="28" borderId="0" xfId="0" applyFont="1" applyFill="1" applyBorder="1" applyAlignment="1">
      <alignment horizontal="left" wrapText="1"/>
    </xf>
    <xf numFmtId="43" fontId="3" fillId="30" borderId="15" xfId="28" applyFont="1" applyFill="1" applyBorder="1" applyAlignment="1" applyProtection="1">
      <alignment horizontal="center"/>
    </xf>
    <xf numFmtId="0" fontId="30" fillId="0" borderId="25" xfId="0" applyFont="1" applyFill="1" applyBorder="1" applyProtection="1">
      <protection locked="0"/>
    </xf>
    <xf numFmtId="3" fontId="3" fillId="30" borderId="12" xfId="0" applyNumberFormat="1" applyFont="1" applyFill="1" applyBorder="1" applyAlignment="1" applyProtection="1">
      <alignment horizontal="center" wrapText="1"/>
    </xf>
    <xf numFmtId="5" fontId="48" fillId="30" borderId="10" xfId="28" applyNumberFormat="1" applyFont="1" applyFill="1" applyBorder="1" applyAlignment="1" applyProtection="1"/>
    <xf numFmtId="5" fontId="30" fillId="30" borderId="12" xfId="0" applyNumberFormat="1" applyFont="1" applyFill="1" applyBorder="1" applyAlignment="1" applyProtection="1">
      <alignment wrapText="1"/>
    </xf>
    <xf numFmtId="0" fontId="29" fillId="30" borderId="12" xfId="0" applyFont="1" applyFill="1" applyBorder="1" applyAlignment="1" applyProtection="1">
      <alignment horizontal="left" wrapText="1" readingOrder="1"/>
    </xf>
    <xf numFmtId="0" fontId="3" fillId="30" borderId="10" xfId="0" applyFont="1" applyFill="1" applyBorder="1" applyAlignment="1" applyProtection="1">
      <alignment vertical="top"/>
    </xf>
    <xf numFmtId="43" fontId="30" fillId="30" borderId="12" xfId="28" applyFont="1" applyFill="1" applyBorder="1" applyAlignment="1" applyProtection="1"/>
    <xf numFmtId="0" fontId="30" fillId="30" borderId="12" xfId="0" applyFont="1" applyFill="1" applyBorder="1" applyAlignment="1" applyProtection="1">
      <alignment horizontal="center" wrapText="1"/>
    </xf>
    <xf numFmtId="0" fontId="29" fillId="30" borderId="12" xfId="0" applyFont="1" applyFill="1" applyBorder="1" applyProtection="1"/>
    <xf numFmtId="0" fontId="29" fillId="30" borderId="12" xfId="0" applyFont="1" applyFill="1" applyBorder="1" applyAlignment="1" applyProtection="1">
      <alignment horizontal="left"/>
    </xf>
    <xf numFmtId="0" fontId="31" fillId="30" borderId="14" xfId="0" applyFont="1" applyFill="1" applyBorder="1" applyAlignment="1">
      <alignment horizontal="left" wrapText="1"/>
    </xf>
    <xf numFmtId="0" fontId="31" fillId="30" borderId="28" xfId="0" applyFont="1" applyFill="1" applyBorder="1" applyAlignment="1">
      <alignment horizontal="left" wrapText="1"/>
    </xf>
    <xf numFmtId="0" fontId="0" fillId="28" borderId="17" xfId="0" applyFill="1" applyBorder="1" applyProtection="1">
      <protection locked="0"/>
    </xf>
    <xf numFmtId="5" fontId="48" fillId="29" borderId="15" xfId="28" applyNumberFormat="1" applyFont="1" applyFill="1" applyBorder="1" applyProtection="1">
      <protection locked="0"/>
    </xf>
    <xf numFmtId="10" fontId="30" fillId="30" borderId="10" xfId="0" applyNumberFormat="1" applyFont="1" applyFill="1" applyBorder="1" applyAlignment="1">
      <alignment horizontal="center"/>
    </xf>
    <xf numFmtId="39" fontId="0" fillId="30" borderId="15" xfId="0" applyNumberFormat="1" applyFill="1" applyBorder="1" applyAlignment="1">
      <alignment horizontal="center"/>
    </xf>
    <xf numFmtId="39" fontId="0" fillId="30" borderId="10" xfId="0" applyNumberFormat="1" applyFill="1" applyBorder="1" applyAlignment="1">
      <alignment horizontal="center"/>
    </xf>
    <xf numFmtId="39" fontId="30" fillId="30" borderId="12" xfId="0" applyNumberFormat="1" applyFont="1" applyFill="1" applyBorder="1" applyAlignment="1">
      <alignment horizontal="center"/>
    </xf>
    <xf numFmtId="0" fontId="3" fillId="30" borderId="13" xfId="0" applyFont="1" applyFill="1" applyBorder="1" applyAlignment="1" applyProtection="1">
      <alignment vertical="top"/>
    </xf>
    <xf numFmtId="43" fontId="0" fillId="30" borderId="12" xfId="0" applyNumberFormat="1" applyFill="1" applyBorder="1" applyProtection="1"/>
    <xf numFmtId="0" fontId="30" fillId="30" borderId="12" xfId="0" quotePrefix="1" applyFont="1" applyFill="1" applyBorder="1" applyProtection="1"/>
    <xf numFmtId="0" fontId="25" fillId="0" borderId="0" xfId="0" applyFont="1" applyBorder="1" applyAlignment="1">
      <alignment vertical="top" wrapText="1"/>
    </xf>
    <xf numFmtId="0" fontId="30" fillId="0" borderId="13" xfId="0" applyFont="1" applyBorder="1" applyAlignment="1">
      <alignment horizontal="center"/>
    </xf>
    <xf numFmtId="0" fontId="30" fillId="27" borderId="10" xfId="0" applyFont="1" applyFill="1" applyBorder="1" applyAlignment="1">
      <alignment horizontal="center"/>
    </xf>
    <xf numFmtId="0" fontId="25" fillId="0" borderId="13" xfId="0" applyFont="1" applyBorder="1" applyAlignment="1">
      <alignment vertical="top" wrapText="1"/>
    </xf>
    <xf numFmtId="0" fontId="24" fillId="27" borderId="10" xfId="0" applyFont="1" applyFill="1" applyBorder="1" applyAlignment="1">
      <alignment horizontal="center" wrapText="1"/>
    </xf>
    <xf numFmtId="0" fontId="25" fillId="28" borderId="10" xfId="0" applyFont="1" applyFill="1" applyBorder="1" applyAlignment="1">
      <alignment horizontal="left" vertical="top" wrapText="1"/>
    </xf>
    <xf numFmtId="0" fontId="30" fillId="0" borderId="34" xfId="0" applyFont="1" applyBorder="1" applyAlignment="1">
      <alignment horizontal="center"/>
    </xf>
    <xf numFmtId="0" fontId="25" fillId="0" borderId="14" xfId="0" applyFont="1" applyBorder="1" applyAlignment="1">
      <alignment horizontal="left" vertical="top" wrapText="1"/>
    </xf>
    <xf numFmtId="0" fontId="25" fillId="0" borderId="10" xfId="0" applyFont="1" applyBorder="1" applyAlignment="1">
      <alignment horizontal="left" vertical="top" wrapText="1"/>
    </xf>
    <xf numFmtId="0" fontId="30" fillId="29" borderId="24" xfId="0" applyFont="1" applyFill="1" applyBorder="1" applyAlignment="1">
      <alignment horizontal="center"/>
    </xf>
    <xf numFmtId="9" fontId="30" fillId="28" borderId="10" xfId="0" applyNumberFormat="1" applyFont="1" applyFill="1" applyBorder="1" applyAlignment="1" applyProtection="1">
      <alignment horizontal="center"/>
      <protection locked="0"/>
    </xf>
    <xf numFmtId="0" fontId="25" fillId="0" borderId="42" xfId="0" applyFont="1" applyBorder="1" applyAlignment="1">
      <alignment horizontal="left" vertical="top" wrapText="1"/>
    </xf>
    <xf numFmtId="0" fontId="30" fillId="0" borderId="15" xfId="0" applyFont="1" applyBorder="1" applyAlignment="1">
      <alignment horizontal="center"/>
    </xf>
    <xf numFmtId="0" fontId="3" fillId="28" borderId="15" xfId="0" applyFont="1" applyFill="1" applyBorder="1" applyAlignment="1" applyProtection="1">
      <alignment horizontal="center"/>
      <protection locked="0"/>
    </xf>
    <xf numFmtId="0" fontId="3" fillId="28" borderId="17" xfId="0" applyFont="1" applyFill="1" applyBorder="1" applyAlignment="1" applyProtection="1">
      <alignment horizontal="center"/>
      <protection locked="0"/>
    </xf>
    <xf numFmtId="0" fontId="0" fillId="29" borderId="43" xfId="0" applyFill="1" applyBorder="1" applyProtection="1"/>
    <xf numFmtId="49" fontId="56" fillId="35" borderId="12" xfId="0" applyNumberFormat="1" applyFont="1" applyFill="1" applyBorder="1" applyAlignment="1">
      <alignment horizontal="left" vertical="top" wrapText="1"/>
    </xf>
    <xf numFmtId="0" fontId="29" fillId="0" borderId="33" xfId="0" applyFont="1" applyBorder="1" applyAlignment="1">
      <alignment horizontal="left" vertical="top" wrapText="1"/>
    </xf>
    <xf numFmtId="0" fontId="45" fillId="0" borderId="33" xfId="0" applyFont="1" applyBorder="1" applyAlignment="1">
      <alignment horizontal="left" vertical="top" wrapText="1"/>
    </xf>
    <xf numFmtId="0" fontId="29" fillId="31" borderId="12" xfId="0" applyFont="1" applyFill="1" applyBorder="1" applyAlignment="1" applyProtection="1">
      <alignment horizontal="left" vertical="top" wrapText="1" readingOrder="1"/>
    </xf>
    <xf numFmtId="0" fontId="29" fillId="31" borderId="12" xfId="0" applyFont="1" applyFill="1" applyBorder="1" applyAlignment="1" applyProtection="1">
      <alignment wrapText="1"/>
    </xf>
    <xf numFmtId="0" fontId="29" fillId="31" borderId="14" xfId="0" applyFont="1" applyFill="1" applyBorder="1" applyAlignment="1" applyProtection="1">
      <alignment wrapText="1"/>
    </xf>
    <xf numFmtId="0" fontId="25" fillId="0" borderId="12" xfId="0" applyFont="1" applyFill="1" applyBorder="1" applyAlignment="1">
      <alignment vertical="top" wrapText="1"/>
    </xf>
    <xf numFmtId="0" fontId="25" fillId="0" borderId="37" xfId="0" applyNumberFormat="1" applyFont="1" applyBorder="1" applyAlignment="1">
      <alignment vertical="top" wrapText="1"/>
    </xf>
    <xf numFmtId="0" fontId="25" fillId="28" borderId="37" xfId="0" applyNumberFormat="1" applyFont="1" applyFill="1" applyBorder="1" applyAlignment="1">
      <alignment horizontal="left" vertical="top" wrapText="1"/>
    </xf>
    <xf numFmtId="0" fontId="25" fillId="0" borderId="26" xfId="0" applyFont="1" applyBorder="1"/>
    <xf numFmtId="0" fontId="25" fillId="0" borderId="26" xfId="0" applyFont="1" applyBorder="1" applyAlignment="1">
      <alignment vertical="top" wrapText="1"/>
    </xf>
    <xf numFmtId="0" fontId="45" fillId="0" borderId="26" xfId="0" applyFont="1" applyBorder="1" applyAlignment="1">
      <alignment vertical="top" wrapText="1"/>
    </xf>
    <xf numFmtId="165" fontId="39" fillId="0" borderId="10" xfId="0" applyNumberFormat="1" applyFont="1" applyBorder="1" applyAlignment="1" applyProtection="1">
      <alignment horizontal="left" wrapText="1" indent="1"/>
    </xf>
    <xf numFmtId="0" fontId="29" fillId="28" borderId="12" xfId="0" applyFont="1" applyFill="1" applyBorder="1" applyAlignment="1">
      <alignment wrapText="1"/>
    </xf>
    <xf numFmtId="165" fontId="27" fillId="0" borderId="0" xfId="0" applyNumberFormat="1" applyFont="1" applyFill="1" applyBorder="1" applyAlignment="1" applyProtection="1">
      <alignment horizontal="left" indent="2"/>
      <protection locked="0"/>
    </xf>
    <xf numFmtId="0" fontId="36" fillId="31" borderId="12" xfId="0" applyNumberFormat="1" applyFont="1" applyFill="1" applyBorder="1" applyAlignment="1" applyProtection="1">
      <alignment horizontal="center" wrapText="1"/>
    </xf>
    <xf numFmtId="0" fontId="41" fillId="27" borderId="28" xfId="0" applyFont="1" applyFill="1" applyBorder="1" applyAlignment="1" applyProtection="1">
      <alignment horizontal="center"/>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28" borderId="34" xfId="0" applyFont="1" applyFill="1" applyBorder="1" applyAlignment="1">
      <alignment horizontal="center" wrapText="1"/>
    </xf>
    <xf numFmtId="0" fontId="30" fillId="30" borderId="28" xfId="0" applyFont="1" applyFill="1" applyBorder="1" applyAlignment="1">
      <alignment horizontal="center" wrapText="1"/>
    </xf>
    <xf numFmtId="0" fontId="30" fillId="30" borderId="21" xfId="0" applyFont="1" applyFill="1" applyBorder="1" applyAlignment="1">
      <alignment horizontal="center"/>
    </xf>
    <xf numFmtId="0" fontId="30" fillId="31" borderId="29" xfId="0" applyFont="1" applyFill="1" applyBorder="1" applyAlignment="1">
      <alignment horizontal="center"/>
    </xf>
    <xf numFmtId="0" fontId="30" fillId="30" borderId="28" xfId="0" applyFont="1" applyFill="1" applyBorder="1" applyAlignment="1">
      <alignment horizontal="center"/>
    </xf>
    <xf numFmtId="0" fontId="30" fillId="30" borderId="21" xfId="0" applyFont="1" applyFill="1" applyBorder="1" applyAlignment="1">
      <alignment horizontal="center" wrapText="1"/>
    </xf>
    <xf numFmtId="7" fontId="0" fillId="30" borderId="19" xfId="0" applyNumberFormat="1" applyFill="1" applyBorder="1"/>
    <xf numFmtId="7" fontId="30" fillId="30" borderId="21" xfId="0" applyNumberFormat="1" applyFont="1" applyFill="1" applyBorder="1"/>
    <xf numFmtId="5" fontId="30" fillId="30" borderId="21" xfId="0" applyNumberFormat="1" applyFont="1" applyFill="1" applyBorder="1" applyAlignment="1">
      <alignment wrapText="1"/>
    </xf>
    <xf numFmtId="5" fontId="0" fillId="30" borderId="19" xfId="0" applyNumberFormat="1" applyFill="1" applyBorder="1"/>
    <xf numFmtId="5" fontId="30" fillId="30" borderId="21" xfId="0" applyNumberFormat="1" applyFont="1" applyFill="1" applyBorder="1"/>
    <xf numFmtId="0" fontId="0" fillId="0" borderId="0" xfId="0" applyBorder="1"/>
    <xf numFmtId="0" fontId="0" fillId="0" borderId="15" xfId="0" applyBorder="1" applyAlignment="1" applyProtection="1">
      <alignment horizontal="right"/>
      <protection locked="0"/>
    </xf>
    <xf numFmtId="0" fontId="0" fillId="0" borderId="15" xfId="0" applyBorder="1" applyProtection="1">
      <protection locked="0"/>
    </xf>
    <xf numFmtId="165" fontId="33" fillId="0" borderId="15" xfId="0" applyNumberFormat="1" applyFont="1" applyBorder="1" applyAlignment="1" applyProtection="1">
      <alignment horizontal="left" wrapText="1" indent="1"/>
      <protection locked="0"/>
    </xf>
    <xf numFmtId="0" fontId="3" fillId="0" borderId="0" xfId="0" applyFont="1" applyBorder="1"/>
    <xf numFmtId="10" fontId="30" fillId="28" borderId="14" xfId="0" applyNumberFormat="1" applyFont="1" applyFill="1" applyBorder="1" applyProtection="1">
      <protection locked="0"/>
    </xf>
    <xf numFmtId="0" fontId="36" fillId="28" borderId="12" xfId="0" applyNumberFormat="1" applyFont="1" applyFill="1" applyBorder="1" applyAlignment="1" applyProtection="1">
      <alignment horizontal="left" wrapText="1" indent="2"/>
      <protection locked="0"/>
    </xf>
    <xf numFmtId="165" fontId="33" fillId="0" borderId="15" xfId="0" applyNumberFormat="1" applyFont="1" applyBorder="1" applyAlignment="1" applyProtection="1">
      <alignment horizontal="left" wrapText="1" indent="1"/>
      <protection locked="0"/>
    </xf>
    <xf numFmtId="0" fontId="0" fillId="0" borderId="0" xfId="0"/>
    <xf numFmtId="165" fontId="33" fillId="0" borderId="10" xfId="0" applyNumberFormat="1" applyFont="1" applyBorder="1" applyAlignment="1" applyProtection="1">
      <alignment horizontal="right"/>
      <protection locked="0"/>
    </xf>
    <xf numFmtId="0" fontId="0" fillId="0" borderId="0" xfId="0" applyBorder="1"/>
    <xf numFmtId="165" fontId="33" fillId="0" borderId="15" xfId="0" applyNumberFormat="1" applyFont="1" applyBorder="1" applyAlignment="1" applyProtection="1">
      <alignment horizontal="left" wrapText="1" indent="1"/>
      <protection locked="0"/>
    </xf>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3" fillId="0" borderId="0" xfId="0" applyFont="1" applyAlignment="1">
      <alignment vertical="center"/>
    </xf>
    <xf numFmtId="172" fontId="63" fillId="0" borderId="0" xfId="0" applyNumberFormat="1" applyFont="1" applyAlignment="1">
      <alignment vertical="center"/>
    </xf>
    <xf numFmtId="0" fontId="63" fillId="0" borderId="0" xfId="0" applyFont="1" applyAlignment="1">
      <alignment horizontal="center" vertical="center"/>
    </xf>
    <xf numFmtId="0" fontId="65" fillId="0" borderId="0" xfId="0" applyFont="1" applyAlignment="1">
      <alignment horizontal="left" vertical="center"/>
    </xf>
    <xf numFmtId="0" fontId="66" fillId="0" borderId="0" xfId="0" applyFont="1" applyAlignment="1">
      <alignment vertical="center"/>
    </xf>
    <xf numFmtId="0" fontId="63" fillId="0" borderId="10" xfId="0" applyFont="1" applyBorder="1" applyAlignment="1">
      <alignment horizontal="left" vertical="center"/>
    </xf>
    <xf numFmtId="0" fontId="63" fillId="0" borderId="10" xfId="0" applyFont="1" applyBorder="1" applyAlignment="1">
      <alignment vertical="center"/>
    </xf>
    <xf numFmtId="172"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3" fillId="0" borderId="10" xfId="0" applyFont="1" applyBorder="1" applyAlignment="1">
      <alignment horizontal="center" vertical="center"/>
    </xf>
    <xf numFmtId="172" fontId="63" fillId="0" borderId="10" xfId="0" applyNumberFormat="1" applyFont="1" applyBorder="1" applyAlignment="1">
      <alignment vertical="center"/>
    </xf>
    <xf numFmtId="0" fontId="67" fillId="0" borderId="10" xfId="0" applyFont="1" applyBorder="1" applyAlignment="1">
      <alignment horizontal="center" vertical="center"/>
    </xf>
    <xf numFmtId="0" fontId="63" fillId="0" borderId="0" xfId="0" applyFont="1" applyBorder="1" applyAlignment="1">
      <alignment horizontal="left" vertical="center"/>
    </xf>
    <xf numFmtId="172" fontId="63" fillId="0" borderId="0" xfId="45" applyNumberFormat="1"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left" vertical="center"/>
    </xf>
    <xf numFmtId="172" fontId="66" fillId="0" borderId="0" xfId="45" applyNumberFormat="1" applyFont="1" applyBorder="1" applyAlignment="1">
      <alignment vertical="center"/>
    </xf>
    <xf numFmtId="0" fontId="63" fillId="0" borderId="0" xfId="0" applyFont="1" applyBorder="1" applyAlignment="1">
      <alignment vertical="center"/>
    </xf>
    <xf numFmtId="0" fontId="62" fillId="0" borderId="0" xfId="0" applyFont="1" applyBorder="1"/>
    <xf numFmtId="0" fontId="66" fillId="0" borderId="0" xfId="0" applyFont="1"/>
    <xf numFmtId="44" fontId="0" fillId="0" borderId="0" xfId="0" applyNumberFormat="1"/>
    <xf numFmtId="0" fontId="66" fillId="0" borderId="11" xfId="0" applyFont="1" applyBorder="1"/>
    <xf numFmtId="0" fontId="63" fillId="0" borderId="0" xfId="0" applyNumberFormat="1" applyFont="1" applyAlignment="1">
      <alignment vertical="center"/>
    </xf>
    <xf numFmtId="167" fontId="63" fillId="0" borderId="0" xfId="28" applyNumberFormat="1" applyFont="1" applyAlignment="1">
      <alignment vertical="center"/>
    </xf>
    <xf numFmtId="0" fontId="70" fillId="0" borderId="22" xfId="0" applyFont="1" applyBorder="1"/>
    <xf numFmtId="0" fontId="73" fillId="0" borderId="22" xfId="0" applyFont="1" applyBorder="1"/>
    <xf numFmtId="0" fontId="68" fillId="0" borderId="18" xfId="0" applyFont="1" applyBorder="1"/>
    <xf numFmtId="0" fontId="73" fillId="0" borderId="18" xfId="0" applyFont="1" applyBorder="1"/>
    <xf numFmtId="0" fontId="0" fillId="38" borderId="0" xfId="0" applyFill="1"/>
    <xf numFmtId="0" fontId="74" fillId="0" borderId="0" xfId="0" applyFont="1" applyAlignment="1">
      <alignment horizontal="center"/>
    </xf>
    <xf numFmtId="9" fontId="66" fillId="0" borderId="0" xfId="41" applyFont="1" applyAlignment="1">
      <alignment horizontal="center"/>
    </xf>
    <xf numFmtId="0" fontId="74" fillId="0" borderId="0" xfId="0" applyFont="1" applyBorder="1" applyAlignment="1">
      <alignment horizontal="center"/>
    </xf>
    <xf numFmtId="0" fontId="74" fillId="0" borderId="0" xfId="0" applyFont="1" applyBorder="1" applyAlignment="1">
      <alignment horizontal="center" wrapText="1"/>
    </xf>
    <xf numFmtId="0" fontId="73" fillId="0" borderId="0" xfId="0" applyFont="1" applyFill="1" applyBorder="1" applyAlignment="1">
      <alignment horizontal="left"/>
    </xf>
    <xf numFmtId="6" fontId="66" fillId="32" borderId="0" xfId="0" applyNumberFormat="1" applyFont="1" applyFill="1" applyBorder="1" applyAlignment="1">
      <alignment horizontal="center"/>
    </xf>
    <xf numFmtId="0" fontId="62" fillId="0" borderId="0" xfId="0" applyFont="1"/>
    <xf numFmtId="172" fontId="75" fillId="0" borderId="0" xfId="0" applyNumberFormat="1" applyFont="1" applyAlignment="1">
      <alignment vertical="center"/>
    </xf>
    <xf numFmtId="3" fontId="63" fillId="0" borderId="0" xfId="0" applyNumberFormat="1" applyFont="1" applyAlignment="1">
      <alignment horizontal="right" vertical="center"/>
    </xf>
    <xf numFmtId="0" fontId="0" fillId="0" borderId="0" xfId="0" applyAlignment="1">
      <alignment horizontal="right"/>
    </xf>
    <xf numFmtId="0" fontId="63" fillId="38" borderId="0" xfId="0" applyFont="1" applyFill="1" applyAlignment="1">
      <alignment horizontal="left" vertical="center"/>
    </xf>
    <xf numFmtId="8" fontId="66" fillId="0" borderId="0" xfId="0" applyNumberFormat="1" applyFont="1"/>
    <xf numFmtId="3" fontId="63" fillId="32" borderId="0" xfId="0" applyNumberFormat="1" applyFont="1" applyFill="1" applyAlignment="1">
      <alignment horizontal="right" vertical="center"/>
    </xf>
    <xf numFmtId="8" fontId="66" fillId="32" borderId="0" xfId="0" applyNumberFormat="1" applyFont="1" applyFill="1"/>
    <xf numFmtId="0" fontId="64" fillId="0" borderId="0" xfId="0" applyFont="1" applyAlignment="1">
      <alignment horizontal="left" vertical="center" wrapText="1"/>
    </xf>
    <xf numFmtId="0" fontId="74" fillId="0" borderId="0" xfId="0" applyFont="1" applyAlignment="1">
      <alignment vertical="center" wrapText="1"/>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0" fontId="33" fillId="0" borderId="10" xfId="38" applyFont="1" applyBorder="1" applyAlignment="1" applyProtection="1">
      <alignment horizontal="left" vertical="top"/>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Protection="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33" fillId="0" borderId="10" xfId="38" applyFont="1" applyBorder="1" applyAlignment="1" applyProtection="1">
      <alignment horizontal="left"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0" fillId="0" borderId="0" xfId="0"/>
    <xf numFmtId="0" fontId="30" fillId="0" borderId="0" xfId="0" applyFont="1"/>
    <xf numFmtId="0" fontId="0" fillId="0" borderId="25" xfId="0" applyBorder="1"/>
    <xf numFmtId="0" fontId="3" fillId="0" borderId="0" xfId="0" applyFont="1" applyBorder="1"/>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6" fillId="0" borderId="0" xfId="0" applyFont="1"/>
    <xf numFmtId="0" fontId="30" fillId="0" borderId="15" xfId="0" applyFont="1" applyBorder="1" applyAlignment="1" applyProtection="1">
      <protection locked="0"/>
    </xf>
    <xf numFmtId="0" fontId="68" fillId="0" borderId="0" xfId="0" applyFont="1"/>
    <xf numFmtId="43" fontId="63"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0" fontId="70" fillId="0" borderId="0" xfId="0" applyFont="1"/>
    <xf numFmtId="0" fontId="47" fillId="0" borderId="0" xfId="0" applyFont="1"/>
    <xf numFmtId="167" fontId="71" fillId="0" borderId="0" xfId="28" applyNumberFormat="1" applyFont="1" applyAlignment="1">
      <alignment vertical="center"/>
    </xf>
    <xf numFmtId="43" fontId="71" fillId="0" borderId="0" xfId="28" applyFont="1" applyAlignment="1">
      <alignment vertical="center"/>
    </xf>
    <xf numFmtId="0" fontId="72" fillId="0" borderId="0" xfId="0" applyFont="1" applyAlignment="1">
      <alignment horizontal="left" vertical="center"/>
    </xf>
    <xf numFmtId="167" fontId="0" fillId="0" borderId="0" xfId="0" applyNumberFormat="1"/>
    <xf numFmtId="0" fontId="3" fillId="0" borderId="31" xfId="0" applyFont="1" applyBorder="1"/>
    <xf numFmtId="167" fontId="63" fillId="0" borderId="31" xfId="28" applyNumberFormat="1" applyFont="1" applyBorder="1" applyAlignment="1">
      <alignment vertical="center"/>
    </xf>
    <xf numFmtId="167" fontId="63" fillId="0" borderId="32" xfId="28" applyNumberFormat="1" applyFont="1" applyBorder="1" applyAlignment="1">
      <alignment vertical="center"/>
    </xf>
    <xf numFmtId="0" fontId="63" fillId="0" borderId="24" xfId="0" applyFont="1" applyBorder="1" applyAlignment="1">
      <alignment horizontal="left" vertical="center"/>
    </xf>
    <xf numFmtId="167" fontId="63" fillId="0" borderId="0" xfId="28" applyNumberFormat="1" applyFont="1" applyBorder="1" applyAlignment="1">
      <alignment vertical="center"/>
    </xf>
    <xf numFmtId="167" fontId="63" fillId="0" borderId="26" xfId="28" applyNumberFormat="1" applyFont="1" applyBorder="1" applyAlignment="1">
      <alignment vertical="center"/>
    </xf>
    <xf numFmtId="0" fontId="63" fillId="0" borderId="27" xfId="0" applyFont="1" applyBorder="1" applyAlignment="1">
      <alignment horizontal="left" vertical="center"/>
    </xf>
    <xf numFmtId="167" fontId="63" fillId="0" borderId="25" xfId="28" applyNumberFormat="1" applyFont="1" applyBorder="1" applyAlignment="1">
      <alignment vertical="center"/>
    </xf>
    <xf numFmtId="0" fontId="69" fillId="37" borderId="34" xfId="0" applyFont="1" applyFill="1" applyBorder="1" applyAlignment="1">
      <alignment horizontal="left" vertical="center"/>
    </xf>
    <xf numFmtId="9" fontId="63" fillId="32" borderId="10" xfId="41" applyFont="1" applyFill="1" applyBorder="1" applyAlignment="1">
      <alignment horizontal="center" vertical="center"/>
    </xf>
    <xf numFmtId="167" fontId="76" fillId="0" borderId="0" xfId="28" applyNumberFormat="1" applyFont="1" applyAlignment="1">
      <alignment vertical="center"/>
    </xf>
    <xf numFmtId="0" fontId="66" fillId="0" borderId="0" xfId="0" applyFont="1"/>
    <xf numFmtId="0" fontId="66" fillId="0" borderId="0" xfId="0" applyFont="1"/>
    <xf numFmtId="165" fontId="33" fillId="0" borderId="10" xfId="0" applyNumberFormat="1" applyFont="1" applyBorder="1" applyProtection="1">
      <protection locked="0"/>
    </xf>
    <xf numFmtId="0" fontId="33" fillId="0" borderId="10" xfId="38" applyFont="1" applyBorder="1" applyAlignment="1" applyProtection="1">
      <alignment horizontal="left" indent="2"/>
      <protection locked="0"/>
    </xf>
    <xf numFmtId="0" fontId="66" fillId="0" borderId="0" xfId="0" applyFont="1"/>
    <xf numFmtId="0" fontId="68" fillId="0" borderId="0" xfId="0" applyFont="1"/>
    <xf numFmtId="167" fontId="63" fillId="0" borderId="0" xfId="28" applyNumberFormat="1" applyFont="1" applyAlignment="1">
      <alignment vertical="center"/>
    </xf>
    <xf numFmtId="167" fontId="69" fillId="0" borderId="0" xfId="28" applyNumberFormat="1" applyFont="1" applyAlignment="1">
      <alignment vertical="center"/>
    </xf>
    <xf numFmtId="0" fontId="70" fillId="0" borderId="0" xfId="0" applyFont="1"/>
    <xf numFmtId="0" fontId="63" fillId="0" borderId="24" xfId="0" applyFont="1" applyBorder="1" applyAlignment="1">
      <alignment horizontal="left" vertical="center"/>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Alignment="1" applyProtection="1">
      <alignment horizontal="left" wrapText="1" indent="1"/>
      <protection locked="0"/>
    </xf>
    <xf numFmtId="0" fontId="63" fillId="0" borderId="0" xfId="0" applyFont="1" applyAlignment="1">
      <alignment horizontal="left" vertical="center"/>
    </xf>
    <xf numFmtId="8" fontId="66" fillId="0" borderId="0" xfId="0" applyNumberFormat="1" applyFont="1"/>
    <xf numFmtId="165" fontId="33" fillId="0" borderId="10" xfId="0" applyNumberFormat="1" applyFont="1" applyBorder="1" applyProtection="1">
      <protection locked="0"/>
    </xf>
    <xf numFmtId="165" fontId="33" fillId="0" borderId="10" xfId="38" applyNumberFormat="1" applyFont="1" applyBorder="1" applyAlignment="1" applyProtection="1">
      <alignment horizontal="right"/>
      <protection locked="0"/>
    </xf>
    <xf numFmtId="165" fontId="33" fillId="0" borderId="10" xfId="0" applyNumberFormat="1" applyFont="1" applyBorder="1" applyProtection="1">
      <protection locked="0"/>
    </xf>
    <xf numFmtId="0" fontId="3" fillId="0" borderId="15" xfId="0" applyFont="1" applyBorder="1" applyAlignment="1" applyProtection="1">
      <protection locked="0"/>
    </xf>
    <xf numFmtId="0" fontId="33" fillId="0" borderId="10" xfId="38" applyFont="1" applyBorder="1" applyAlignment="1" applyProtection="1">
      <alignment horizontal="left" vertical="top"/>
      <protection locked="0"/>
    </xf>
    <xf numFmtId="167" fontId="63" fillId="0" borderId="0" xfId="28" applyNumberFormat="1" applyFont="1" applyAlignment="1">
      <alignment vertical="center"/>
    </xf>
    <xf numFmtId="167" fontId="71" fillId="0" borderId="0" xfId="28" applyNumberFormat="1" applyFont="1" applyAlignment="1">
      <alignment vertical="center"/>
    </xf>
    <xf numFmtId="43" fontId="71"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167" fontId="71" fillId="0" borderId="0" xfId="28" applyNumberFormat="1" applyFont="1" applyAlignment="1">
      <alignment vertical="center"/>
    </xf>
    <xf numFmtId="167" fontId="63" fillId="0" borderId="0" xfId="28" applyNumberFormat="1" applyFont="1" applyBorder="1" applyAlignment="1">
      <alignment vertical="center"/>
    </xf>
    <xf numFmtId="167" fontId="63" fillId="0" borderId="25" xfId="28" applyNumberFormat="1" applyFont="1" applyBorder="1" applyAlignment="1">
      <alignment vertical="center"/>
    </xf>
    <xf numFmtId="167" fontId="76" fillId="0" borderId="0" xfId="28" applyNumberFormat="1" applyFont="1" applyAlignment="1">
      <alignment vertical="center"/>
    </xf>
    <xf numFmtId="172" fontId="63" fillId="0" borderId="0" xfId="0" applyNumberFormat="1" applyFont="1" applyAlignment="1">
      <alignment vertical="center"/>
    </xf>
    <xf numFmtId="0" fontId="66" fillId="0" borderId="0" xfId="0" applyFont="1"/>
    <xf numFmtId="172" fontId="66" fillId="0" borderId="0" xfId="45" applyNumberFormat="1" applyFont="1"/>
    <xf numFmtId="9" fontId="66" fillId="0" borderId="0" xfId="41" applyFont="1"/>
    <xf numFmtId="172" fontId="66" fillId="0" borderId="11" xfId="45" applyNumberFormat="1" applyFont="1" applyBorder="1"/>
    <xf numFmtId="0" fontId="73" fillId="0" borderId="22" xfId="0" applyFont="1" applyBorder="1"/>
    <xf numFmtId="6" fontId="68" fillId="0" borderId="22" xfId="0" applyNumberFormat="1" applyFont="1" applyBorder="1"/>
    <xf numFmtId="172" fontId="63" fillId="0" borderId="0" xfId="0" applyNumberFormat="1" applyFont="1" applyAlignment="1">
      <alignment vertical="center"/>
    </xf>
    <xf numFmtId="172" fontId="63" fillId="0" borderId="0" xfId="0" applyNumberFormat="1" applyFont="1" applyAlignment="1">
      <alignment vertical="center"/>
    </xf>
    <xf numFmtId="0" fontId="30" fillId="0" borderId="14" xfId="0" applyFont="1" applyBorder="1" applyAlignment="1">
      <alignment horizontal="center"/>
    </xf>
    <xf numFmtId="0" fontId="30" fillId="0" borderId="33" xfId="0" applyFont="1" applyBorder="1" applyAlignment="1">
      <alignment horizontal="center"/>
    </xf>
    <xf numFmtId="0" fontId="30" fillId="0" borderId="28" xfId="0" applyFont="1" applyBorder="1" applyAlignment="1">
      <alignment horizontal="center"/>
    </xf>
    <xf numFmtId="0" fontId="31" fillId="30" borderId="21" xfId="0" applyFont="1" applyFill="1" applyBorder="1" applyAlignment="1">
      <alignment horizontal="left" wrapText="1"/>
    </xf>
    <xf numFmtId="0" fontId="31" fillId="30" borderId="37" xfId="0" applyFont="1" applyFill="1" applyBorder="1" applyAlignment="1">
      <alignment horizontal="left" wrapText="1"/>
    </xf>
    <xf numFmtId="0" fontId="24" fillId="31" borderId="21" xfId="0" applyFont="1" applyFill="1" applyBorder="1" applyAlignment="1" applyProtection="1">
      <alignment horizontal="center"/>
    </xf>
    <xf numFmtId="0" fontId="24" fillId="31" borderId="29" xfId="0" applyFont="1" applyFill="1" applyBorder="1" applyAlignment="1" applyProtection="1">
      <alignment horizontal="center"/>
    </xf>
    <xf numFmtId="0" fontId="24" fillId="31" borderId="37" xfId="0" applyFont="1" applyFill="1" applyBorder="1" applyAlignment="1" applyProtection="1">
      <alignment horizontal="center"/>
    </xf>
    <xf numFmtId="0" fontId="24" fillId="30" borderId="18" xfId="0" applyFont="1" applyFill="1" applyBorder="1" applyAlignment="1" applyProtection="1">
      <alignment horizontal="center"/>
    </xf>
    <xf numFmtId="0" fontId="28" fillId="30" borderId="42" xfId="0" applyFont="1" applyFill="1" applyBorder="1" applyProtection="1"/>
    <xf numFmtId="0" fontId="24" fillId="30" borderId="21" xfId="0" applyFont="1" applyFill="1" applyBorder="1" applyAlignment="1" applyProtection="1">
      <alignment horizontal="center"/>
    </xf>
    <xf numFmtId="0" fontId="24" fillId="30" borderId="29" xfId="0" applyFont="1" applyFill="1" applyBorder="1" applyAlignment="1" applyProtection="1">
      <alignment horizontal="center"/>
    </xf>
    <xf numFmtId="0" fontId="24" fillId="30" borderId="37" xfId="0" applyFont="1" applyFill="1" applyBorder="1" applyAlignment="1" applyProtection="1">
      <alignment horizontal="center"/>
    </xf>
    <xf numFmtId="0" fontId="30" fillId="31" borderId="21" xfId="0" applyFont="1" applyFill="1" applyBorder="1" applyAlignment="1">
      <alignment horizontal="center"/>
    </xf>
    <xf numFmtId="0" fontId="30" fillId="31" borderId="29" xfId="0" applyFont="1" applyFill="1" applyBorder="1" applyAlignment="1">
      <alignment horizontal="center"/>
    </xf>
    <xf numFmtId="0" fontId="30" fillId="31" borderId="37" xfId="0" applyFont="1" applyFill="1" applyBorder="1" applyAlignment="1">
      <alignment horizontal="center"/>
    </xf>
    <xf numFmtId="0" fontId="3" fillId="30" borderId="29" xfId="0" applyFont="1" applyFill="1" applyBorder="1" applyAlignment="1">
      <alignment horizontal="left" wrapText="1"/>
    </xf>
    <xf numFmtId="0" fontId="3" fillId="30" borderId="37" xfId="0" applyFont="1" applyFill="1" applyBorder="1" applyAlignment="1">
      <alignment horizontal="left" wrapText="1"/>
    </xf>
    <xf numFmtId="0" fontId="24" fillId="31" borderId="21" xfId="0" applyFont="1" applyFill="1" applyBorder="1" applyAlignment="1">
      <alignment horizontal="center" wrapText="1"/>
    </xf>
    <xf numFmtId="0" fontId="24" fillId="31" borderId="29" xfId="0" applyFont="1" applyFill="1" applyBorder="1" applyAlignment="1">
      <alignment horizontal="center" wrapText="1"/>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31" borderId="21" xfId="0" applyFont="1" applyFill="1" applyBorder="1" applyAlignment="1">
      <alignment horizontal="center" vertical="top" wrapText="1"/>
    </xf>
    <xf numFmtId="0" fontId="24" fillId="31" borderId="29" xfId="0" applyFont="1" applyFill="1" applyBorder="1" applyAlignment="1">
      <alignment horizontal="center" vertical="top" wrapText="1"/>
    </xf>
    <xf numFmtId="0" fontId="24" fillId="31" borderId="37" xfId="0" applyFont="1" applyFill="1" applyBorder="1" applyAlignment="1">
      <alignment horizontal="center" vertical="top" wrapText="1"/>
    </xf>
    <xf numFmtId="0" fontId="3" fillId="30" borderId="21" xfId="0" applyFont="1" applyFill="1" applyBorder="1" applyAlignment="1">
      <alignment horizontal="left"/>
    </xf>
    <xf numFmtId="0" fontId="3" fillId="30" borderId="37" xfId="0" applyFont="1" applyFill="1" applyBorder="1" applyAlignment="1">
      <alignment horizontal="left"/>
    </xf>
    <xf numFmtId="0" fontId="30" fillId="30" borderId="29" xfId="0" applyFont="1" applyFill="1" applyBorder="1" applyAlignment="1">
      <alignment horizontal="center"/>
    </xf>
    <xf numFmtId="0" fontId="24" fillId="31" borderId="34" xfId="0" applyFont="1" applyFill="1" applyBorder="1" applyAlignment="1">
      <alignment horizontal="center"/>
    </xf>
    <xf numFmtId="0" fontId="24" fillId="31" borderId="31" xfId="0" applyFont="1" applyFill="1" applyBorder="1" applyAlignment="1">
      <alignment horizontal="center"/>
    </xf>
    <xf numFmtId="0" fontId="24" fillId="31" borderId="27" xfId="0" applyFont="1" applyFill="1" applyBorder="1" applyAlignment="1">
      <alignment horizontal="center"/>
    </xf>
    <xf numFmtId="0" fontId="24" fillId="31" borderId="25" xfId="0" applyFont="1" applyFill="1" applyBorder="1" applyAlignment="1">
      <alignment horizontal="center"/>
    </xf>
    <xf numFmtId="0" fontId="30" fillId="31" borderId="34" xfId="0" applyFont="1" applyFill="1" applyBorder="1" applyAlignment="1">
      <alignment horizontal="center" wrapText="1"/>
    </xf>
    <xf numFmtId="0" fontId="30" fillId="31" borderId="31" xfId="0" applyFont="1" applyFill="1" applyBorder="1" applyAlignment="1">
      <alignment horizontal="center" wrapText="1"/>
    </xf>
    <xf numFmtId="0" fontId="30" fillId="31" borderId="27" xfId="0" applyFont="1" applyFill="1" applyBorder="1" applyAlignment="1">
      <alignment horizontal="center" wrapText="1"/>
    </xf>
    <xf numFmtId="0" fontId="30" fillId="31" borderId="25" xfId="0" applyFont="1" applyFill="1" applyBorder="1" applyAlignment="1">
      <alignment horizontal="center" wrapText="1"/>
    </xf>
    <xf numFmtId="0" fontId="29" fillId="31" borderId="21" xfId="0" applyFont="1" applyFill="1" applyBorder="1" applyAlignment="1">
      <alignment horizontal="left" wrapText="1"/>
    </xf>
    <xf numFmtId="0" fontId="29" fillId="31" borderId="29" xfId="0" applyFont="1" applyFill="1" applyBorder="1" applyAlignment="1">
      <alignment horizontal="left" wrapText="1"/>
    </xf>
    <xf numFmtId="0" fontId="30" fillId="30" borderId="14" xfId="0" applyFont="1" applyFill="1" applyBorder="1" applyAlignment="1">
      <alignment horizontal="center" wrapText="1"/>
    </xf>
    <xf numFmtId="0" fontId="30" fillId="30" borderId="28" xfId="0" applyFont="1" applyFill="1" applyBorder="1" applyAlignment="1">
      <alignment horizontal="center" wrapText="1"/>
    </xf>
    <xf numFmtId="0" fontId="47" fillId="31" borderId="34" xfId="0" applyFont="1" applyFill="1" applyBorder="1" applyAlignment="1">
      <alignment horizontal="left" wrapText="1"/>
    </xf>
    <xf numFmtId="0" fontId="47" fillId="31" borderId="31" xfId="0" applyFont="1" applyFill="1" applyBorder="1" applyAlignment="1">
      <alignment horizontal="left" wrapText="1"/>
    </xf>
    <xf numFmtId="0" fontId="47" fillId="31" borderId="32" xfId="0" applyFont="1" applyFill="1" applyBorder="1" applyAlignment="1">
      <alignment horizontal="left" wrapText="1"/>
    </xf>
    <xf numFmtId="0" fontId="47" fillId="31" borderId="27" xfId="0" applyFont="1" applyFill="1" applyBorder="1" applyAlignment="1">
      <alignment horizontal="left" wrapText="1"/>
    </xf>
    <xf numFmtId="0" fontId="47" fillId="31" borderId="25" xfId="0" applyFont="1" applyFill="1" applyBorder="1" applyAlignment="1">
      <alignment horizontal="left" wrapText="1"/>
    </xf>
    <xf numFmtId="0" fontId="47" fillId="31" borderId="30" xfId="0" applyFont="1" applyFill="1" applyBorder="1" applyAlignment="1">
      <alignment horizontal="left" wrapText="1"/>
    </xf>
    <xf numFmtId="0" fontId="24" fillId="31" borderId="32" xfId="0" applyFont="1" applyFill="1" applyBorder="1" applyAlignment="1">
      <alignment horizontal="center"/>
    </xf>
    <xf numFmtId="0" fontId="24" fillId="31" borderId="30" xfId="0" applyFont="1" applyFill="1" applyBorder="1" applyAlignment="1">
      <alignment horizontal="center"/>
    </xf>
    <xf numFmtId="0" fontId="30" fillId="31" borderId="32" xfId="0" applyFont="1" applyFill="1" applyBorder="1" applyAlignment="1">
      <alignment horizontal="center" wrapText="1"/>
    </xf>
    <xf numFmtId="0" fontId="30" fillId="31" borderId="30" xfId="0" applyFont="1" applyFill="1" applyBorder="1" applyAlignment="1">
      <alignment horizontal="center" wrapText="1"/>
    </xf>
    <xf numFmtId="0" fontId="47" fillId="31" borderId="21" xfId="0" applyFont="1" applyFill="1" applyBorder="1" applyAlignment="1">
      <alignment horizontal="left" wrapText="1"/>
    </xf>
    <xf numFmtId="0" fontId="47" fillId="31" borderId="29" xfId="0" applyFont="1" applyFill="1" applyBorder="1" applyAlignment="1">
      <alignment horizontal="left" wrapText="1"/>
    </xf>
    <xf numFmtId="0" fontId="47" fillId="31" borderId="37" xfId="0" applyFont="1" applyFill="1" applyBorder="1" applyAlignment="1">
      <alignment horizontal="left" wrapText="1"/>
    </xf>
    <xf numFmtId="0" fontId="30" fillId="30" borderId="14" xfId="0" applyFont="1" applyFill="1" applyBorder="1" applyAlignment="1">
      <alignment horizontal="center"/>
    </xf>
    <xf numFmtId="0" fontId="30" fillId="30" borderId="28" xfId="0" applyFont="1" applyFill="1" applyBorder="1" applyAlignment="1">
      <alignment horizontal="center"/>
    </xf>
    <xf numFmtId="0" fontId="24" fillId="31" borderId="37" xfId="0" applyFont="1" applyFill="1" applyBorder="1" applyAlignment="1">
      <alignment horizontal="center" wrapText="1"/>
    </xf>
    <xf numFmtId="0" fontId="29" fillId="31" borderId="37" xfId="0" applyFont="1" applyFill="1" applyBorder="1" applyAlignment="1">
      <alignment horizontal="left" wrapText="1"/>
    </xf>
    <xf numFmtId="0" fontId="24" fillId="35" borderId="34" xfId="0" applyFont="1" applyFill="1" applyBorder="1" applyAlignment="1">
      <alignment horizontal="center" wrapText="1"/>
    </xf>
    <xf numFmtId="0" fontId="24" fillId="35" borderId="32" xfId="0" applyFont="1" applyFill="1" applyBorder="1" applyAlignment="1">
      <alignment horizontal="center" wrapText="1"/>
    </xf>
    <xf numFmtId="0" fontId="31" fillId="31" borderId="34" xfId="0" applyNumberFormat="1" applyFont="1" applyFill="1" applyBorder="1" applyAlignment="1" applyProtection="1">
      <alignment horizontal="center"/>
    </xf>
    <xf numFmtId="0" fontId="31" fillId="31" borderId="31" xfId="0" applyNumberFormat="1" applyFont="1" applyFill="1" applyBorder="1" applyAlignment="1" applyProtection="1">
      <alignment horizontal="center"/>
    </xf>
    <xf numFmtId="0" fontId="31" fillId="31" borderId="27" xfId="0" applyNumberFormat="1" applyFont="1" applyFill="1" applyBorder="1" applyAlignment="1" applyProtection="1">
      <alignment horizontal="center"/>
    </xf>
    <xf numFmtId="0" fontId="31" fillId="31" borderId="25" xfId="0" applyNumberFormat="1" applyFont="1" applyFill="1" applyBorder="1" applyAlignment="1" applyProtection="1">
      <alignment horizontal="center"/>
    </xf>
    <xf numFmtId="0" fontId="31" fillId="31" borderId="21" xfId="0" quotePrefix="1" applyFont="1" applyFill="1" applyBorder="1" applyAlignment="1" applyProtection="1">
      <alignment horizontal="center"/>
      <protection locked="0"/>
    </xf>
    <xf numFmtId="0" fontId="31" fillId="31" borderId="37" xfId="0" quotePrefix="1" applyFont="1" applyFill="1" applyBorder="1" applyAlignment="1" applyProtection="1">
      <alignment horizontal="center"/>
      <protection locked="0"/>
    </xf>
    <xf numFmtId="1" fontId="31" fillId="31" borderId="31" xfId="0" applyNumberFormat="1" applyFont="1" applyFill="1" applyBorder="1" applyAlignment="1" applyProtection="1">
      <alignment horizontal="center"/>
    </xf>
    <xf numFmtId="1" fontId="31" fillId="31" borderId="25" xfId="0" applyNumberFormat="1" applyFont="1" applyFill="1" applyBorder="1" applyAlignment="1" applyProtection="1">
      <alignment horizontal="center"/>
    </xf>
    <xf numFmtId="0" fontId="30" fillId="30" borderId="32" xfId="0" applyFont="1" applyFill="1" applyBorder="1" applyAlignment="1">
      <alignment horizontal="center"/>
    </xf>
    <xf numFmtId="0" fontId="30" fillId="30" borderId="30" xfId="0" applyFont="1" applyFill="1" applyBorder="1" applyAlignment="1">
      <alignment horizontal="center"/>
    </xf>
    <xf numFmtId="0" fontId="24" fillId="35" borderId="21" xfId="0" applyFont="1" applyFill="1" applyBorder="1" applyAlignment="1">
      <alignment horizontal="center" wrapText="1"/>
    </xf>
    <xf numFmtId="0" fontId="24" fillId="35" borderId="37" xfId="0" applyFont="1" applyFill="1" applyBorder="1" applyAlignment="1">
      <alignment horizontal="center" wrapText="1"/>
    </xf>
    <xf numFmtId="0" fontId="3" fillId="30" borderId="29" xfId="0" applyFont="1" applyFill="1" applyBorder="1" applyAlignment="1">
      <alignment horizontal="left"/>
    </xf>
    <xf numFmtId="0" fontId="30" fillId="30" borderId="34" xfId="0" applyFont="1" applyFill="1" applyBorder="1" applyAlignment="1">
      <alignment horizontal="center" wrapText="1"/>
    </xf>
    <xf numFmtId="0" fontId="30" fillId="30" borderId="27" xfId="0" applyFont="1" applyFill="1" applyBorder="1" applyAlignment="1">
      <alignment horizontal="center" wrapText="1"/>
    </xf>
    <xf numFmtId="0" fontId="31" fillId="31" borderId="29" xfId="0" quotePrefix="1" applyFont="1" applyFill="1" applyBorder="1" applyAlignment="1" applyProtection="1">
      <alignment horizontal="center"/>
      <protection locked="0"/>
    </xf>
    <xf numFmtId="0" fontId="3" fillId="30" borderId="21" xfId="0" applyFont="1" applyFill="1" applyBorder="1" applyAlignment="1">
      <alignment horizontal="left" wrapText="1"/>
    </xf>
    <xf numFmtId="0" fontId="29" fillId="31" borderId="29" xfId="0" applyFont="1" applyFill="1" applyBorder="1" applyAlignment="1">
      <alignment horizontal="center"/>
    </xf>
    <xf numFmtId="0" fontId="29" fillId="31" borderId="29" xfId="0" quotePrefix="1" applyFont="1" applyFill="1" applyBorder="1" applyAlignment="1">
      <alignment horizontal="center"/>
    </xf>
    <xf numFmtId="0" fontId="29" fillId="31" borderId="37" xfId="0" quotePrefix="1" applyFont="1" applyFill="1" applyBorder="1" applyAlignment="1">
      <alignment horizontal="center"/>
    </xf>
    <xf numFmtId="0" fontId="31" fillId="31" borderId="21" xfId="0" quotePrefix="1" applyFont="1" applyFill="1" applyBorder="1" applyAlignment="1">
      <alignment horizontal="center"/>
    </xf>
    <xf numFmtId="0" fontId="31" fillId="31" borderId="29" xfId="0" quotePrefix="1" applyFont="1" applyFill="1" applyBorder="1" applyAlignment="1">
      <alignment horizontal="center"/>
    </xf>
    <xf numFmtId="0" fontId="31" fillId="31" borderId="37" xfId="0" quotePrefix="1" applyFont="1" applyFill="1" applyBorder="1" applyAlignment="1">
      <alignment horizontal="center"/>
    </xf>
    <xf numFmtId="0" fontId="29" fillId="31" borderId="21" xfId="0" applyFont="1" applyFill="1" applyBorder="1" applyAlignment="1">
      <alignment horizontal="center"/>
    </xf>
    <xf numFmtId="0" fontId="30" fillId="31" borderId="21" xfId="0" applyFont="1" applyFill="1" applyBorder="1" applyAlignment="1" applyProtection="1">
      <alignment horizontal="center"/>
    </xf>
    <xf numFmtId="0" fontId="30" fillId="31" borderId="29" xfId="0" applyFont="1" applyFill="1" applyBorder="1" applyAlignment="1" applyProtection="1">
      <alignment horizontal="center"/>
    </xf>
    <xf numFmtId="0" fontId="30" fillId="31" borderId="37" xfId="0" applyFont="1" applyFill="1" applyBorder="1" applyAlignment="1" applyProtection="1">
      <alignment horizontal="center"/>
    </xf>
    <xf numFmtId="0" fontId="29" fillId="31" borderId="14" xfId="0" applyFont="1" applyFill="1" applyBorder="1" applyAlignment="1" applyProtection="1">
      <alignment horizontal="center" wrapText="1"/>
    </xf>
    <xf numFmtId="0" fontId="29" fillId="31" borderId="28" xfId="0" applyFont="1" applyFill="1" applyBorder="1" applyAlignment="1" applyProtection="1">
      <alignment horizontal="center" wrapText="1"/>
    </xf>
    <xf numFmtId="0" fontId="30" fillId="27" borderId="61" xfId="0" applyFont="1" applyFill="1" applyBorder="1" applyAlignment="1" applyProtection="1">
      <alignment horizontal="center" wrapText="1"/>
      <protection locked="0"/>
    </xf>
    <xf numFmtId="0" fontId="30" fillId="27" borderId="62" xfId="0" applyFont="1" applyFill="1" applyBorder="1" applyAlignment="1" applyProtection="1">
      <alignment horizontal="center" wrapText="1"/>
      <protection locked="0"/>
    </xf>
    <xf numFmtId="0" fontId="41" fillId="31" borderId="21" xfId="0" applyFont="1" applyFill="1" applyBorder="1" applyAlignment="1">
      <alignment horizontal="center"/>
    </xf>
    <xf numFmtId="0" fontId="41" fillId="31" borderId="29" xfId="0" applyFont="1" applyFill="1" applyBorder="1" applyAlignment="1">
      <alignment horizontal="center"/>
    </xf>
    <xf numFmtId="0" fontId="41" fillId="31" borderId="37" xfId="0" applyFont="1" applyFill="1" applyBorder="1" applyAlignment="1">
      <alignment horizontal="center"/>
    </xf>
    <xf numFmtId="0" fontId="45" fillId="31" borderId="14" xfId="0" applyFont="1" applyFill="1" applyBorder="1" applyAlignment="1" applyProtection="1">
      <alignment horizontal="center" vertical="top" wrapText="1"/>
    </xf>
    <xf numFmtId="0" fontId="45" fillId="31" borderId="28" xfId="0" applyFont="1" applyFill="1" applyBorder="1" applyAlignment="1" applyProtection="1">
      <alignment horizontal="center" vertical="top" wrapText="1"/>
    </xf>
    <xf numFmtId="165" fontId="33" fillId="31" borderId="14" xfId="0" applyNumberFormat="1" applyFont="1" applyFill="1" applyBorder="1" applyAlignment="1" applyProtection="1">
      <alignment horizontal="center"/>
    </xf>
    <xf numFmtId="165" fontId="33" fillId="31" borderId="33" xfId="0" applyNumberFormat="1" applyFont="1" applyFill="1" applyBorder="1" applyAlignment="1" applyProtection="1">
      <alignment horizontal="center"/>
    </xf>
    <xf numFmtId="165" fontId="33" fillId="31" borderId="28" xfId="0" applyNumberFormat="1" applyFont="1" applyFill="1" applyBorder="1" applyAlignment="1" applyProtection="1">
      <alignment horizontal="center"/>
    </xf>
    <xf numFmtId="165" fontId="37" fillId="31" borderId="32" xfId="0" applyNumberFormat="1" applyFont="1" applyFill="1" applyBorder="1" applyAlignment="1" applyProtection="1">
      <alignment horizontal="center" wrapText="1"/>
    </xf>
    <xf numFmtId="165" fontId="37" fillId="31" borderId="26" xfId="0" applyNumberFormat="1" applyFont="1" applyFill="1" applyBorder="1" applyAlignment="1" applyProtection="1">
      <alignment horizontal="center" wrapText="1"/>
    </xf>
    <xf numFmtId="165" fontId="37" fillId="31" borderId="30" xfId="0" applyNumberFormat="1" applyFont="1" applyFill="1" applyBorder="1" applyAlignment="1" applyProtection="1">
      <alignment horizontal="center" wrapText="1"/>
    </xf>
    <xf numFmtId="165" fontId="37" fillId="31" borderId="14" xfId="0" applyNumberFormat="1" applyFont="1" applyFill="1" applyBorder="1" applyAlignment="1" applyProtection="1">
      <alignment horizontal="center" wrapText="1"/>
    </xf>
    <xf numFmtId="165" fontId="37" fillId="31" borderId="33" xfId="0" applyNumberFormat="1" applyFont="1" applyFill="1" applyBorder="1" applyAlignment="1" applyProtection="1">
      <alignment horizontal="center" wrapText="1"/>
    </xf>
    <xf numFmtId="165" fontId="37" fillId="31" borderId="28" xfId="0" applyNumberFormat="1" applyFont="1" applyFill="1" applyBorder="1" applyAlignment="1" applyProtection="1">
      <alignment horizontal="center" wrapText="1"/>
    </xf>
    <xf numFmtId="165" fontId="37" fillId="31" borderId="14" xfId="0" applyNumberFormat="1" applyFont="1" applyFill="1" applyBorder="1" applyAlignment="1">
      <alignment horizontal="center" wrapText="1"/>
    </xf>
    <xf numFmtId="165" fontId="37" fillId="31" borderId="33" xfId="0" applyNumberFormat="1" applyFont="1" applyFill="1" applyBorder="1" applyAlignment="1">
      <alignment horizontal="center" wrapText="1"/>
    </xf>
    <xf numFmtId="165" fontId="37" fillId="31" borderId="28" xfId="0" applyNumberFormat="1" applyFont="1" applyFill="1" applyBorder="1" applyAlignment="1">
      <alignment horizontal="center" wrapText="1"/>
    </xf>
    <xf numFmtId="168" fontId="24" fillId="31" borderId="21" xfId="0" applyNumberFormat="1" applyFont="1" applyFill="1" applyBorder="1" applyAlignment="1" applyProtection="1">
      <alignment horizontal="center"/>
    </xf>
    <xf numFmtId="168" fontId="24" fillId="31" borderId="29" xfId="0" applyNumberFormat="1" applyFont="1" applyFill="1" applyBorder="1" applyAlignment="1" applyProtection="1">
      <alignment horizontal="center"/>
    </xf>
    <xf numFmtId="168" fontId="24" fillId="31" borderId="37" xfId="0" applyNumberFormat="1" applyFont="1" applyFill="1" applyBorder="1" applyAlignment="1" applyProtection="1">
      <alignment horizontal="center"/>
    </xf>
    <xf numFmtId="0" fontId="45" fillId="31" borderId="14" xfId="0" applyFont="1" applyFill="1" applyBorder="1" applyAlignment="1" applyProtection="1">
      <alignment horizontal="center" wrapText="1"/>
    </xf>
    <xf numFmtId="0" fontId="45" fillId="31" borderId="28" xfId="0" applyFont="1" applyFill="1" applyBorder="1" applyAlignment="1" applyProtection="1">
      <alignment horizontal="center" wrapText="1"/>
    </xf>
    <xf numFmtId="0" fontId="24" fillId="30" borderId="21" xfId="0" applyFont="1" applyFill="1" applyBorder="1" applyAlignment="1" applyProtection="1">
      <alignment horizontal="left"/>
    </xf>
    <xf numFmtId="0" fontId="24" fillId="30" borderId="37" xfId="0" applyFont="1" applyFill="1" applyBorder="1" applyAlignment="1" applyProtection="1">
      <alignment horizontal="left"/>
    </xf>
    <xf numFmtId="0" fontId="3" fillId="30" borderId="21" xfId="0" applyFont="1" applyFill="1" applyBorder="1" applyAlignment="1" applyProtection="1">
      <alignment horizontal="left"/>
    </xf>
    <xf numFmtId="0" fontId="3" fillId="30" borderId="29" xfId="0" applyFont="1" applyFill="1" applyBorder="1" applyAlignment="1" applyProtection="1">
      <alignment horizontal="left"/>
    </xf>
    <xf numFmtId="0" fontId="3" fillId="30" borderId="37" xfId="0" applyFont="1" applyFill="1" applyBorder="1" applyAlignment="1" applyProtection="1">
      <alignment horizontal="left"/>
    </xf>
    <xf numFmtId="0" fontId="77" fillId="32" borderId="0" xfId="0" applyFont="1" applyFill="1" applyAlignment="1">
      <alignment horizontal="center"/>
    </xf>
    <xf numFmtId="0" fontId="77" fillId="32" borderId="0" xfId="0" applyFont="1" applyFill="1" applyAlignment="1">
      <alignment horizontal="center" wrapText="1"/>
    </xf>
    <xf numFmtId="0" fontId="77" fillId="32" borderId="0" xfId="0" applyFont="1" applyFill="1" applyBorder="1" applyAlignment="1">
      <alignment horizontal="center"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urrency 2" xfId="47"/>
    <cellStyle name="Currency 3" xfId="45"/>
    <cellStyle name="Explanatory Text" xfId="29" builtinId="53" customBuiltin="1"/>
    <cellStyle name="Good" xfId="30" builtinId="26" customBuiltin="1"/>
    <cellStyle name="Heading 1" xfId="31" builtinId="16" customBuiltin="1"/>
    <cellStyle name="Heading 2" xfId="32" builtinId="17" customBuiltin="1"/>
    <cellStyle name="Heading 2 2" xfId="48"/>
    <cellStyle name="Heading 3" xfId="33" builtinId="18" customBuiltin="1"/>
    <cellStyle name="Heading 3 2" xfId="49"/>
    <cellStyle name="Heading 4" xfId="34" builtinId="19" customBuiltin="1"/>
    <cellStyle name="Input" xfId="35" builtinId="20" customBuiltin="1"/>
    <cellStyle name="Input 2" xfId="50"/>
    <cellStyle name="Linked Cell" xfId="36" builtinId="24" customBuiltin="1"/>
    <cellStyle name="Neutral" xfId="37" builtinId="28" customBuiltin="1"/>
    <cellStyle name="Normal" xfId="0" builtinId="0"/>
    <cellStyle name="Normal 2 2" xfId="51"/>
    <cellStyle name="Normal 3 2" xfId="52"/>
    <cellStyle name="Normal 3 3" xfId="53"/>
    <cellStyle name="Normal 4" xfId="54"/>
    <cellStyle name="Normal 4 2" xfId="55"/>
    <cellStyle name="Normal 4 3" xfId="60"/>
    <cellStyle name="Normal 5 2" xfId="56"/>
    <cellStyle name="Normal 6" xfId="57"/>
    <cellStyle name="Normal_Sheet1" xfId="38"/>
    <cellStyle name="Note" xfId="39" builtinId="10" customBuiltin="1"/>
    <cellStyle name="Output" xfId="40" builtinId="21" customBuiltin="1"/>
    <cellStyle name="Percent" xfId="41" builtinId="5"/>
    <cellStyle name="Percent 2" xfId="58"/>
    <cellStyle name="Title" xfId="42" builtinId="15" customBuiltin="1"/>
    <cellStyle name="Total" xfId="43" builtinId="25" customBuiltin="1"/>
    <cellStyle name="Total 2" xfId="59"/>
    <cellStyle name="Warning Text" xfId="44" builtinId="11" customBuiltin="1"/>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2686050</xdr:colOff>
      <xdr:row>11</xdr:row>
      <xdr:rowOff>85725</xdr:rowOff>
    </xdr:from>
    <xdr:ext cx="184731" cy="264560"/>
    <xdr:sp macro="" textlink="">
      <xdr:nvSpPr>
        <xdr:cNvPr id="2" name="TextBox 1"/>
        <xdr:cNvSpPr txBox="1"/>
      </xdr:nvSpPr>
      <xdr:spPr>
        <a:xfrm>
          <a:off x="26860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1000125</xdr:colOff>
      <xdr:row>32</xdr:row>
      <xdr:rowOff>0</xdr:rowOff>
    </xdr:from>
    <xdr:ext cx="184731" cy="264560"/>
    <xdr:sp macro="" textlink="">
      <xdr:nvSpPr>
        <xdr:cNvPr id="3" name="TextBox 2"/>
        <xdr:cNvSpPr txBox="1"/>
      </xdr:nvSpPr>
      <xdr:spPr>
        <a:xfrm>
          <a:off x="731520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4"/>
  <sheetViews>
    <sheetView topLeftCell="A184" workbookViewId="0">
      <selection activeCell="B105" sqref="B105"/>
    </sheetView>
  </sheetViews>
  <sheetFormatPr defaultRowHeight="12.75" x14ac:dyDescent="0.2"/>
  <cols>
    <col min="1" max="1" width="9.140625" style="5"/>
    <col min="2" max="2" width="84.5703125" customWidth="1"/>
  </cols>
  <sheetData>
    <row r="1" spans="1:2" ht="30" customHeight="1" thickBot="1" x14ac:dyDescent="0.3">
      <c r="A1" s="5" t="s">
        <v>65</v>
      </c>
      <c r="B1" s="740" t="s">
        <v>456</v>
      </c>
    </row>
    <row r="3" spans="1:2" ht="15" x14ac:dyDescent="0.2">
      <c r="B3" s="651"/>
    </row>
    <row r="4" spans="1:2" ht="13.5" thickBot="1" x14ac:dyDescent="0.25"/>
    <row r="5" spans="1:2" ht="24" customHeight="1" thickBot="1" x14ac:dyDescent="0.3">
      <c r="A5" s="113"/>
      <c r="B5" s="115" t="s">
        <v>357</v>
      </c>
    </row>
    <row r="6" spans="1:2" ht="44.25" customHeight="1" thickBot="1" x14ac:dyDescent="0.25">
      <c r="A6" s="697">
        <v>1</v>
      </c>
      <c r="B6" s="720" t="s">
        <v>529</v>
      </c>
    </row>
    <row r="7" spans="1:2" ht="45.75" customHeight="1" thickBot="1" x14ac:dyDescent="0.25">
      <c r="A7" s="697">
        <v>2</v>
      </c>
      <c r="B7" s="720" t="s">
        <v>579</v>
      </c>
    </row>
    <row r="8" spans="1:2" ht="31.5" customHeight="1" thickBot="1" x14ac:dyDescent="0.25">
      <c r="A8" s="697">
        <v>3</v>
      </c>
      <c r="B8" s="720" t="s">
        <v>389</v>
      </c>
    </row>
    <row r="9" spans="1:2" ht="30.75" customHeight="1" thickBot="1" x14ac:dyDescent="0.25">
      <c r="A9" s="697">
        <v>4</v>
      </c>
      <c r="B9" s="720" t="s">
        <v>353</v>
      </c>
    </row>
    <row r="10" spans="1:2" ht="48" customHeight="1" x14ac:dyDescent="0.2">
      <c r="A10" s="721"/>
      <c r="B10" s="724" t="s">
        <v>553</v>
      </c>
    </row>
    <row r="11" spans="1:2" ht="6" customHeight="1" x14ac:dyDescent="0.2">
      <c r="A11" s="723"/>
      <c r="B11" s="725"/>
    </row>
    <row r="12" spans="1:2" ht="15.75" customHeight="1" x14ac:dyDescent="0.2">
      <c r="A12" s="723"/>
      <c r="B12" s="726" t="s">
        <v>410</v>
      </c>
    </row>
    <row r="13" spans="1:2" ht="5.25" customHeight="1" x14ac:dyDescent="0.2">
      <c r="A13" s="723"/>
      <c r="B13" s="726"/>
    </row>
    <row r="14" spans="1:2" ht="16.5" customHeight="1" thickBot="1" x14ac:dyDescent="0.25">
      <c r="A14" s="722">
        <v>5</v>
      </c>
      <c r="B14" s="727" t="s">
        <v>452</v>
      </c>
    </row>
    <row r="15" spans="1:2" ht="18.75" customHeight="1" thickBot="1" x14ac:dyDescent="0.25">
      <c r="A15" s="697">
        <v>6</v>
      </c>
      <c r="B15" s="728" t="s">
        <v>554</v>
      </c>
    </row>
    <row r="16" spans="1:2" ht="33.75" customHeight="1" thickBot="1" x14ac:dyDescent="0.25">
      <c r="A16" s="697">
        <v>7</v>
      </c>
      <c r="B16" s="728" t="s">
        <v>390</v>
      </c>
    </row>
    <row r="17" spans="1:2" ht="59.25" customHeight="1" thickBot="1" x14ac:dyDescent="0.25">
      <c r="A17" s="697">
        <v>8</v>
      </c>
      <c r="B17" s="992" t="s">
        <v>480</v>
      </c>
    </row>
    <row r="18" spans="1:2" ht="30" thickBot="1" x14ac:dyDescent="0.3">
      <c r="A18" s="102">
        <v>9</v>
      </c>
      <c r="B18" s="464" t="s">
        <v>348</v>
      </c>
    </row>
    <row r="19" spans="1:2" ht="15" x14ac:dyDescent="0.25">
      <c r="A19" s="1173">
        <v>10</v>
      </c>
      <c r="B19" s="277" t="s">
        <v>379</v>
      </c>
    </row>
    <row r="20" spans="1:2" ht="14.25" x14ac:dyDescent="0.2">
      <c r="A20" s="1174"/>
      <c r="B20" s="278" t="s">
        <v>380</v>
      </c>
    </row>
    <row r="21" spans="1:2" ht="14.25" x14ac:dyDescent="0.2">
      <c r="A21" s="1174"/>
      <c r="B21" s="278" t="s">
        <v>356</v>
      </c>
    </row>
    <row r="22" spans="1:2" ht="14.25" x14ac:dyDescent="0.2">
      <c r="A22" s="1174"/>
      <c r="B22" s="278" t="s">
        <v>481</v>
      </c>
    </row>
    <row r="23" spans="1:2" ht="14.25" x14ac:dyDescent="0.2">
      <c r="A23" s="1174"/>
      <c r="B23" s="278" t="s">
        <v>482</v>
      </c>
    </row>
    <row r="24" spans="1:2" ht="14.25" x14ac:dyDescent="0.2">
      <c r="A24" s="1174"/>
      <c r="B24" s="730" t="s">
        <v>483</v>
      </c>
    </row>
    <row r="25" spans="1:2" ht="14.25" x14ac:dyDescent="0.2">
      <c r="A25" s="1174"/>
      <c r="B25" s="278" t="s">
        <v>484</v>
      </c>
    </row>
    <row r="26" spans="1:2" ht="14.25" customHeight="1" x14ac:dyDescent="0.2">
      <c r="A26" s="1174"/>
      <c r="B26" s="730" t="s">
        <v>485</v>
      </c>
    </row>
    <row r="27" spans="1:2" ht="14.25" customHeight="1" x14ac:dyDescent="0.2">
      <c r="A27" s="1174"/>
      <c r="B27" s="730" t="s">
        <v>486</v>
      </c>
    </row>
    <row r="28" spans="1:2" ht="15" thickBot="1" x14ac:dyDescent="0.25">
      <c r="A28" s="1175"/>
      <c r="B28" s="275" t="s">
        <v>487</v>
      </c>
    </row>
    <row r="29" spans="1:2" ht="16.5" customHeight="1" thickBot="1" x14ac:dyDescent="0.25">
      <c r="A29" s="86"/>
      <c r="B29" s="99"/>
    </row>
    <row r="30" spans="1:2" ht="24" customHeight="1" thickBot="1" x14ac:dyDescent="0.3">
      <c r="A30" s="113"/>
      <c r="B30" s="114" t="s">
        <v>355</v>
      </c>
    </row>
    <row r="31" spans="1:2" ht="25.5" customHeight="1" thickBot="1" x14ac:dyDescent="0.3">
      <c r="A31" s="113"/>
      <c r="B31" s="114" t="s">
        <v>59</v>
      </c>
    </row>
    <row r="32" spans="1:2" ht="117" customHeight="1" x14ac:dyDescent="0.2">
      <c r="A32" s="102"/>
      <c r="B32" s="466" t="s">
        <v>450</v>
      </c>
    </row>
    <row r="33" spans="1:2" ht="6.75" customHeight="1" x14ac:dyDescent="0.2">
      <c r="A33" s="276"/>
      <c r="B33" s="278"/>
    </row>
    <row r="34" spans="1:2" ht="45.75" customHeight="1" x14ac:dyDescent="0.2">
      <c r="A34" s="276"/>
      <c r="B34" s="994" t="s">
        <v>555</v>
      </c>
    </row>
    <row r="35" spans="1:2" ht="9.75" customHeight="1" x14ac:dyDescent="0.2">
      <c r="A35" s="276"/>
      <c r="B35" s="993"/>
    </row>
    <row r="36" spans="1:2" ht="48" customHeight="1" thickBot="1" x14ac:dyDescent="0.25">
      <c r="A36" s="191">
        <v>1</v>
      </c>
      <c r="B36" s="481" t="s">
        <v>508</v>
      </c>
    </row>
    <row r="37" spans="1:2" ht="28.5" customHeight="1" thickBot="1" x14ac:dyDescent="0.3">
      <c r="A37" s="785"/>
      <c r="B37" s="468" t="s">
        <v>312</v>
      </c>
    </row>
    <row r="38" spans="1:2" ht="61.5" customHeight="1" x14ac:dyDescent="0.2">
      <c r="A38" s="102"/>
      <c r="B38" s="779" t="s">
        <v>511</v>
      </c>
    </row>
    <row r="39" spans="1:2" ht="35.25" customHeight="1" x14ac:dyDescent="0.2">
      <c r="A39" s="276"/>
      <c r="B39" s="780" t="s">
        <v>512</v>
      </c>
    </row>
    <row r="40" spans="1:2" ht="33" customHeight="1" x14ac:dyDescent="0.2">
      <c r="A40" s="276"/>
      <c r="B40" s="780" t="s">
        <v>513</v>
      </c>
    </row>
    <row r="41" spans="1:2" ht="79.5" customHeight="1" x14ac:dyDescent="0.2">
      <c r="A41" s="276"/>
      <c r="B41" s="780" t="s">
        <v>514</v>
      </c>
    </row>
    <row r="42" spans="1:2" ht="9" customHeight="1" x14ac:dyDescent="0.2">
      <c r="A42" s="276"/>
      <c r="B42" s="780"/>
    </row>
    <row r="43" spans="1:2" ht="32.25" customHeight="1" x14ac:dyDescent="0.2">
      <c r="A43" s="276"/>
      <c r="B43" s="780" t="s">
        <v>388</v>
      </c>
    </row>
    <row r="44" spans="1:2" ht="15" customHeight="1" x14ac:dyDescent="0.2">
      <c r="A44" s="276"/>
      <c r="B44" s="780" t="s">
        <v>391</v>
      </c>
    </row>
    <row r="45" spans="1:2" ht="15" customHeight="1" x14ac:dyDescent="0.2">
      <c r="A45" s="276"/>
      <c r="B45" s="780" t="s">
        <v>384</v>
      </c>
    </row>
    <row r="46" spans="1:2" ht="15" customHeight="1" x14ac:dyDescent="0.2">
      <c r="A46" s="276"/>
      <c r="B46" s="780" t="s">
        <v>385</v>
      </c>
    </row>
    <row r="47" spans="1:2" ht="15" customHeight="1" x14ac:dyDescent="0.2">
      <c r="A47" s="276"/>
      <c r="B47" s="780" t="s">
        <v>386</v>
      </c>
    </row>
    <row r="48" spans="1:2" ht="15" customHeight="1" x14ac:dyDescent="0.2">
      <c r="A48" s="276"/>
      <c r="B48" s="780" t="s">
        <v>387</v>
      </c>
    </row>
    <row r="49" spans="1:2" ht="15" customHeight="1" x14ac:dyDescent="0.2">
      <c r="A49" s="276"/>
      <c r="B49" s="780" t="s">
        <v>417</v>
      </c>
    </row>
    <row r="50" spans="1:2" ht="6.75" customHeight="1" x14ac:dyDescent="0.2">
      <c r="A50" s="276"/>
      <c r="B50" s="780"/>
    </row>
    <row r="51" spans="1:2" ht="58.5" customHeight="1" x14ac:dyDescent="0.2">
      <c r="A51" s="276">
        <v>2</v>
      </c>
      <c r="B51" s="780" t="s">
        <v>488</v>
      </c>
    </row>
    <row r="52" spans="1:2" ht="6.75" customHeight="1" thickBot="1" x14ac:dyDescent="0.25">
      <c r="A52" s="276"/>
      <c r="B52" s="780"/>
    </row>
    <row r="53" spans="1:2" ht="80.25" hidden="1" customHeight="1" thickBot="1" x14ac:dyDescent="0.25">
      <c r="A53" s="276">
        <v>2</v>
      </c>
      <c r="B53" s="937"/>
    </row>
    <row r="54" spans="1:2" ht="141" customHeight="1" thickBot="1" x14ac:dyDescent="0.25">
      <c r="A54" s="85">
        <v>3</v>
      </c>
      <c r="B54" s="476" t="s">
        <v>565</v>
      </c>
    </row>
    <row r="55" spans="1:2" ht="87" customHeight="1" thickBot="1" x14ac:dyDescent="0.25">
      <c r="A55" s="85">
        <v>4</v>
      </c>
      <c r="B55" s="731" t="s">
        <v>515</v>
      </c>
    </row>
    <row r="56" spans="1:2" ht="51" customHeight="1" thickBot="1" x14ac:dyDescent="0.25">
      <c r="A56" s="85">
        <v>5</v>
      </c>
      <c r="B56" s="998" t="s">
        <v>516</v>
      </c>
    </row>
    <row r="57" spans="1:2" ht="36.75" customHeight="1" thickBot="1" x14ac:dyDescent="0.25">
      <c r="A57" s="85">
        <v>6</v>
      </c>
      <c r="B57" s="998" t="s">
        <v>566</v>
      </c>
    </row>
    <row r="58" spans="1:2" ht="56.25" customHeight="1" thickBot="1" x14ac:dyDescent="0.25">
      <c r="A58" s="85">
        <v>7</v>
      </c>
      <c r="B58" s="467" t="s">
        <v>489</v>
      </c>
    </row>
    <row r="59" spans="1:2" ht="89.25" thickBot="1" x14ac:dyDescent="0.25">
      <c r="A59" s="85">
        <v>8</v>
      </c>
      <c r="B59" s="477" t="s">
        <v>582</v>
      </c>
    </row>
    <row r="60" spans="1:2" ht="59.25" thickBot="1" x14ac:dyDescent="0.25">
      <c r="A60" s="85">
        <v>9</v>
      </c>
      <c r="B60" s="477" t="s">
        <v>322</v>
      </c>
    </row>
    <row r="61" spans="1:2" ht="45" thickBot="1" x14ac:dyDescent="0.25">
      <c r="A61" s="85">
        <v>10</v>
      </c>
      <c r="B61" s="477" t="s">
        <v>323</v>
      </c>
    </row>
    <row r="62" spans="1:2" ht="37.5" customHeight="1" thickBot="1" x14ac:dyDescent="0.25">
      <c r="A62" s="85">
        <v>11</v>
      </c>
      <c r="B62" s="477" t="s">
        <v>324</v>
      </c>
    </row>
    <row r="63" spans="1:2" ht="30" customHeight="1" thickBot="1" x14ac:dyDescent="0.25">
      <c r="A63" s="85">
        <v>12</v>
      </c>
      <c r="B63" s="477" t="s">
        <v>325</v>
      </c>
    </row>
    <row r="64" spans="1:2" ht="48" customHeight="1" thickBot="1" x14ac:dyDescent="0.25">
      <c r="A64" s="85">
        <v>13</v>
      </c>
      <c r="B64" s="478" t="s">
        <v>393</v>
      </c>
    </row>
    <row r="65" spans="1:2" ht="21" customHeight="1" thickBot="1" x14ac:dyDescent="0.25">
      <c r="A65" s="85">
        <v>14</v>
      </c>
      <c r="B65" s="467" t="s">
        <v>412</v>
      </c>
    </row>
    <row r="66" spans="1:2" ht="93.75" customHeight="1" thickBot="1" x14ac:dyDescent="0.25">
      <c r="A66" s="85">
        <v>15</v>
      </c>
      <c r="B66" s="467" t="s">
        <v>453</v>
      </c>
    </row>
    <row r="67" spans="1:2" ht="90.75" customHeight="1" thickBot="1" x14ac:dyDescent="0.3">
      <c r="A67" s="85">
        <v>16</v>
      </c>
      <c r="B67" s="465" t="s">
        <v>567</v>
      </c>
    </row>
    <row r="68" spans="1:2" ht="60.75" thickBot="1" x14ac:dyDescent="0.25">
      <c r="A68" s="85">
        <v>17</v>
      </c>
      <c r="B68" s="476" t="s">
        <v>413</v>
      </c>
    </row>
    <row r="69" spans="1:2" ht="45.75" thickBot="1" x14ac:dyDescent="0.25">
      <c r="A69" s="85">
        <v>18</v>
      </c>
      <c r="B69" s="476" t="s">
        <v>392</v>
      </c>
    </row>
    <row r="70" spans="1:2" ht="122.25" customHeight="1" thickBot="1" x14ac:dyDescent="0.25">
      <c r="A70" s="85">
        <v>19</v>
      </c>
      <c r="B70" s="467" t="s">
        <v>490</v>
      </c>
    </row>
    <row r="71" spans="1:2" ht="40.5" customHeight="1" thickBot="1" x14ac:dyDescent="0.25">
      <c r="A71" s="86"/>
      <c r="B71" s="976"/>
    </row>
    <row r="72" spans="1:2" ht="37.5" customHeight="1" thickBot="1" x14ac:dyDescent="0.3">
      <c r="A72" s="113"/>
      <c r="B72" s="114" t="s">
        <v>498</v>
      </c>
    </row>
    <row r="73" spans="1:2" ht="36" customHeight="1" x14ac:dyDescent="0.25">
      <c r="A73" s="785"/>
      <c r="B73" s="468" t="s">
        <v>59</v>
      </c>
    </row>
    <row r="74" spans="1:2" ht="60" customHeight="1" x14ac:dyDescent="0.2">
      <c r="A74" s="977">
        <v>1</v>
      </c>
      <c r="B74" s="979" t="s">
        <v>583</v>
      </c>
    </row>
    <row r="75" spans="1:2" ht="28.5" customHeight="1" x14ac:dyDescent="0.25">
      <c r="A75" s="978"/>
      <c r="B75" s="980" t="s">
        <v>312</v>
      </c>
    </row>
    <row r="76" spans="1:2" ht="64.5" customHeight="1" x14ac:dyDescent="0.2">
      <c r="A76" s="377">
        <v>2</v>
      </c>
      <c r="B76" s="981" t="s">
        <v>584</v>
      </c>
    </row>
    <row r="77" spans="1:2" ht="49.5" customHeight="1" x14ac:dyDescent="0.2">
      <c r="A77" s="377">
        <v>3</v>
      </c>
      <c r="B77" s="981" t="s">
        <v>556</v>
      </c>
    </row>
    <row r="78" spans="1:2" ht="38.25" customHeight="1" x14ac:dyDescent="0.2">
      <c r="A78" s="377">
        <v>4</v>
      </c>
      <c r="B78" s="981" t="s">
        <v>500</v>
      </c>
    </row>
    <row r="79" spans="1:2" ht="38.25" customHeight="1" x14ac:dyDescent="0.2">
      <c r="A79" s="377">
        <v>5</v>
      </c>
      <c r="B79" s="981" t="s">
        <v>530</v>
      </c>
    </row>
    <row r="80" spans="1:2" ht="77.25" customHeight="1" x14ac:dyDescent="0.2">
      <c r="A80" s="377">
        <v>6</v>
      </c>
      <c r="B80" s="981" t="s">
        <v>557</v>
      </c>
    </row>
    <row r="81" spans="1:2" s="97" customFormat="1" ht="18.75" customHeight="1" thickBot="1" x14ac:dyDescent="0.25">
      <c r="A81" s="86"/>
      <c r="B81" s="96"/>
    </row>
    <row r="82" spans="1:2" s="97" customFormat="1" ht="24.75" customHeight="1" thickBot="1" x14ac:dyDescent="0.3">
      <c r="A82" s="113"/>
      <c r="B82" s="735" t="s">
        <v>499</v>
      </c>
    </row>
    <row r="83" spans="1:2" s="97" customFormat="1" ht="24.75" customHeight="1" thickBot="1" x14ac:dyDescent="0.3">
      <c r="A83" s="113"/>
      <c r="B83" s="735" t="s">
        <v>59</v>
      </c>
    </row>
    <row r="84" spans="1:2" s="97" customFormat="1" ht="65.25" customHeight="1" thickBot="1" x14ac:dyDescent="0.25">
      <c r="A84" s="85">
        <v>1</v>
      </c>
      <c r="B84" s="736" t="s">
        <v>531</v>
      </c>
    </row>
    <row r="85" spans="1:2" s="97" customFormat="1" ht="30.75" customHeight="1" thickBot="1" x14ac:dyDescent="0.3">
      <c r="A85" s="113"/>
      <c r="B85" s="737" t="s">
        <v>313</v>
      </c>
    </row>
    <row r="86" spans="1:2" s="97" customFormat="1" ht="15.75" customHeight="1" x14ac:dyDescent="0.2">
      <c r="A86" s="102"/>
      <c r="B86" s="466" t="s">
        <v>309</v>
      </c>
    </row>
    <row r="87" spans="1:2" s="97" customFormat="1" ht="30.75" customHeight="1" x14ac:dyDescent="0.2">
      <c r="A87" s="276"/>
      <c r="B87" s="278" t="s">
        <v>415</v>
      </c>
    </row>
    <row r="88" spans="1:2" s="97" customFormat="1" ht="29.25" x14ac:dyDescent="0.2">
      <c r="A88" s="276"/>
      <c r="B88" s="278" t="s">
        <v>416</v>
      </c>
    </row>
    <row r="89" spans="1:2" s="97" customFormat="1" ht="28.5" x14ac:dyDescent="0.2">
      <c r="A89" s="276"/>
      <c r="B89" s="278" t="s">
        <v>414</v>
      </c>
    </row>
    <row r="90" spans="1:2" s="97" customFormat="1" ht="15" x14ac:dyDescent="0.25">
      <c r="A90" s="276"/>
      <c r="B90" s="278" t="s">
        <v>491</v>
      </c>
    </row>
    <row r="91" spans="1:2" s="97" customFormat="1" ht="15" x14ac:dyDescent="0.25">
      <c r="A91" s="276"/>
      <c r="B91" s="278" t="s">
        <v>492</v>
      </c>
    </row>
    <row r="92" spans="1:2" s="97" customFormat="1" ht="71.25" x14ac:dyDescent="0.2">
      <c r="A92" s="276"/>
      <c r="B92" s="278" t="s">
        <v>494</v>
      </c>
    </row>
    <row r="93" spans="1:2" s="97" customFormat="1" ht="15" x14ac:dyDescent="0.25">
      <c r="A93" s="276"/>
      <c r="B93" s="278" t="s">
        <v>493</v>
      </c>
    </row>
    <row r="94" spans="1:2" s="97" customFormat="1" ht="9.75" customHeight="1" x14ac:dyDescent="0.2">
      <c r="A94" s="276"/>
      <c r="B94" s="278"/>
    </row>
    <row r="95" spans="1:2" s="97" customFormat="1" ht="56.25" customHeight="1" x14ac:dyDescent="0.2">
      <c r="A95" s="276"/>
      <c r="B95" s="278" t="s">
        <v>495</v>
      </c>
    </row>
    <row r="96" spans="1:2" s="97" customFormat="1" ht="6" customHeight="1" x14ac:dyDescent="0.2">
      <c r="A96" s="276"/>
      <c r="B96" s="278"/>
    </row>
    <row r="97" spans="1:2" s="97" customFormat="1" ht="47.25" customHeight="1" x14ac:dyDescent="0.2">
      <c r="A97" s="276"/>
      <c r="B97" s="278" t="s">
        <v>496</v>
      </c>
    </row>
    <row r="98" spans="1:2" s="97" customFormat="1" ht="5.25" customHeight="1" x14ac:dyDescent="0.2">
      <c r="A98" s="276"/>
      <c r="B98" s="278"/>
    </row>
    <row r="99" spans="1:2" s="97" customFormat="1" ht="74.25" customHeight="1" x14ac:dyDescent="0.2">
      <c r="A99" s="276"/>
      <c r="B99" s="278" t="s">
        <v>585</v>
      </c>
    </row>
    <row r="100" spans="1:2" s="97" customFormat="1" ht="14.25" x14ac:dyDescent="0.2">
      <c r="A100" s="276"/>
      <c r="B100" s="278"/>
    </row>
    <row r="101" spans="1:2" s="97" customFormat="1" ht="29.25" thickBot="1" x14ac:dyDescent="0.25">
      <c r="A101" s="191">
        <v>2</v>
      </c>
      <c r="B101" s="275" t="s">
        <v>310</v>
      </c>
    </row>
    <row r="102" spans="1:2" s="97" customFormat="1" ht="27" customHeight="1" thickBot="1" x14ac:dyDescent="0.25">
      <c r="A102" s="113"/>
      <c r="B102" s="479" t="s">
        <v>326</v>
      </c>
    </row>
    <row r="103" spans="1:2" s="97" customFormat="1" ht="71.25" customHeight="1" thickBot="1" x14ac:dyDescent="0.25">
      <c r="A103" s="85">
        <v>3</v>
      </c>
      <c r="B103" s="467" t="s">
        <v>532</v>
      </c>
    </row>
    <row r="104" spans="1:2" s="97" customFormat="1" ht="27" customHeight="1" thickBot="1" x14ac:dyDescent="0.3">
      <c r="A104" s="785"/>
      <c r="B104" s="469" t="s">
        <v>311</v>
      </c>
    </row>
    <row r="105" spans="1:2" s="97" customFormat="1" ht="98.25" customHeight="1" thickBot="1" x14ac:dyDescent="0.25">
      <c r="A105" s="102"/>
      <c r="B105" s="736" t="s">
        <v>520</v>
      </c>
    </row>
    <row r="106" spans="1:2" s="97" customFormat="1" ht="16.5" customHeight="1" thickBot="1" x14ac:dyDescent="0.25">
      <c r="A106" s="276"/>
      <c r="B106" s="736" t="s">
        <v>517</v>
      </c>
    </row>
    <row r="107" spans="1:2" s="97" customFormat="1" ht="16.5" customHeight="1" thickBot="1" x14ac:dyDescent="0.25">
      <c r="A107" s="276"/>
      <c r="B107" s="736" t="s">
        <v>518</v>
      </c>
    </row>
    <row r="108" spans="1:2" s="97" customFormat="1" ht="16.5" customHeight="1" thickBot="1" x14ac:dyDescent="0.25">
      <c r="A108" s="276"/>
      <c r="B108" s="736" t="s">
        <v>533</v>
      </c>
    </row>
    <row r="109" spans="1:2" s="97" customFormat="1" ht="51.75" customHeight="1" thickBot="1" x14ac:dyDescent="0.25">
      <c r="A109" s="191">
        <v>4</v>
      </c>
      <c r="B109" s="999" t="s">
        <v>519</v>
      </c>
    </row>
    <row r="110" spans="1:2" s="97" customFormat="1" ht="13.5" customHeight="1" thickBot="1" x14ac:dyDescent="0.25">
      <c r="A110" s="191"/>
      <c r="B110" s="467"/>
    </row>
    <row r="111" spans="1:2" s="97" customFormat="1" ht="33.75" customHeight="1" thickBot="1" x14ac:dyDescent="0.3">
      <c r="A111" s="113"/>
      <c r="B111" s="469" t="s">
        <v>344</v>
      </c>
    </row>
    <row r="112" spans="1:2" s="97" customFormat="1" ht="45.75" thickBot="1" x14ac:dyDescent="0.25">
      <c r="A112" s="85">
        <v>5</v>
      </c>
      <c r="B112" s="467" t="s">
        <v>558</v>
      </c>
    </row>
    <row r="113" spans="1:2" s="97" customFormat="1" ht="4.5" customHeight="1" x14ac:dyDescent="0.2">
      <c r="A113" s="102"/>
      <c r="B113" s="480"/>
    </row>
    <row r="114" spans="1:2" s="97" customFormat="1" ht="45" x14ac:dyDescent="0.2">
      <c r="A114" s="276"/>
      <c r="B114" s="480" t="s">
        <v>535</v>
      </c>
    </row>
    <row r="115" spans="1:2" s="97" customFormat="1" ht="3" customHeight="1" x14ac:dyDescent="0.2">
      <c r="A115" s="276"/>
      <c r="B115" s="480"/>
    </row>
    <row r="116" spans="1:2" s="97" customFormat="1" ht="44.25" x14ac:dyDescent="0.2">
      <c r="A116" s="276"/>
      <c r="B116" s="480" t="s">
        <v>534</v>
      </c>
    </row>
    <row r="117" spans="1:2" s="97" customFormat="1" ht="3.75" customHeight="1" x14ac:dyDescent="0.2">
      <c r="A117" s="276"/>
      <c r="B117" s="480"/>
    </row>
    <row r="118" spans="1:2" s="97" customFormat="1" ht="61.5" customHeight="1" x14ac:dyDescent="0.2">
      <c r="A118" s="276"/>
      <c r="B118" s="480" t="s">
        <v>536</v>
      </c>
    </row>
    <row r="119" spans="1:2" s="97" customFormat="1" ht="3.75" customHeight="1" x14ac:dyDescent="0.2">
      <c r="A119" s="276"/>
      <c r="B119" s="480"/>
    </row>
    <row r="120" spans="1:2" s="97" customFormat="1" ht="46.5" customHeight="1" thickBot="1" x14ac:dyDescent="0.25">
      <c r="A120" s="191">
        <v>6</v>
      </c>
      <c r="B120" s="481" t="s">
        <v>497</v>
      </c>
    </row>
    <row r="121" spans="1:2" s="97" customFormat="1" ht="8.25" customHeight="1" x14ac:dyDescent="0.2">
      <c r="A121" s="102"/>
      <c r="B121" s="480"/>
    </row>
    <row r="122" spans="1:2" s="97" customFormat="1" ht="30" customHeight="1" x14ac:dyDescent="0.2">
      <c r="A122" s="276"/>
      <c r="B122" s="739" t="s">
        <v>381</v>
      </c>
    </row>
    <row r="123" spans="1:2" s="97" customFormat="1" ht="17.25" customHeight="1" x14ac:dyDescent="0.2">
      <c r="A123" s="276"/>
      <c r="B123" s="480" t="s">
        <v>382</v>
      </c>
    </row>
    <row r="124" spans="1:2" s="97" customFormat="1" ht="17.25" customHeight="1" x14ac:dyDescent="0.2">
      <c r="A124" s="276"/>
      <c r="B124" s="480" t="s">
        <v>383</v>
      </c>
    </row>
    <row r="125" spans="1:2" s="97" customFormat="1" ht="17.25" customHeight="1" x14ac:dyDescent="0.2">
      <c r="A125" s="276"/>
      <c r="B125" s="480" t="s">
        <v>404</v>
      </c>
    </row>
    <row r="126" spans="1:2" s="97" customFormat="1" ht="5.25" customHeight="1" x14ac:dyDescent="0.2">
      <c r="A126" s="276"/>
      <c r="B126" s="480"/>
    </row>
    <row r="127" spans="1:2" s="97" customFormat="1" ht="63.75" customHeight="1" thickBot="1" x14ac:dyDescent="0.25">
      <c r="A127" s="191">
        <v>7</v>
      </c>
      <c r="B127" s="480" t="s">
        <v>537</v>
      </c>
    </row>
    <row r="128" spans="1:2" s="97" customFormat="1" ht="27" customHeight="1" thickBot="1" x14ac:dyDescent="0.25">
      <c r="A128" s="113"/>
      <c r="B128" s="479" t="s">
        <v>327</v>
      </c>
    </row>
    <row r="129" spans="1:2" s="97" customFormat="1" ht="66.75" customHeight="1" thickBot="1" x14ac:dyDescent="0.25">
      <c r="A129" s="85">
        <v>8</v>
      </c>
      <c r="B129" s="482" t="s">
        <v>568</v>
      </c>
    </row>
    <row r="130" spans="1:2" s="97" customFormat="1" ht="25.5" customHeight="1" thickBot="1" x14ac:dyDescent="0.3">
      <c r="A130" s="113"/>
      <c r="B130" s="469" t="s">
        <v>328</v>
      </c>
    </row>
    <row r="131" spans="1:2" s="97" customFormat="1" ht="153.75" customHeight="1" thickBot="1" x14ac:dyDescent="0.25">
      <c r="A131" s="102">
        <v>9</v>
      </c>
      <c r="B131" s="983" t="s">
        <v>569</v>
      </c>
    </row>
    <row r="132" spans="1:2" s="97" customFormat="1" ht="94.5" customHeight="1" x14ac:dyDescent="0.2">
      <c r="A132" s="982">
        <v>10</v>
      </c>
      <c r="B132" s="984" t="s">
        <v>543</v>
      </c>
    </row>
    <row r="133" spans="1:2" s="97" customFormat="1" ht="207.75" customHeight="1" x14ac:dyDescent="0.2">
      <c r="A133" s="977"/>
      <c r="B133" s="987" t="s">
        <v>575</v>
      </c>
    </row>
    <row r="134" spans="1:2" s="97" customFormat="1" ht="30.75" thickBot="1" x14ac:dyDescent="0.25">
      <c r="A134" s="988">
        <v>11</v>
      </c>
      <c r="B134" s="691" t="s">
        <v>544</v>
      </c>
    </row>
    <row r="135" spans="1:2" s="97" customFormat="1" x14ac:dyDescent="0.2">
      <c r="A135" s="86"/>
      <c r="B135" s="96"/>
    </row>
    <row r="136" spans="1:2" s="97" customFormat="1" ht="14.25" x14ac:dyDescent="0.2">
      <c r="A136" s="86"/>
      <c r="B136" s="99"/>
    </row>
    <row r="137" spans="1:2" s="97" customFormat="1" ht="13.5" thickBot="1" x14ac:dyDescent="0.25">
      <c r="A137" s="86"/>
      <c r="B137" s="96"/>
    </row>
    <row r="138" spans="1:2" s="97" customFormat="1" ht="24" customHeight="1" thickBot="1" x14ac:dyDescent="0.3">
      <c r="A138" s="113"/>
      <c r="B138" s="279" t="s">
        <v>502</v>
      </c>
    </row>
    <row r="139" spans="1:2" s="97" customFormat="1" ht="30" x14ac:dyDescent="0.25">
      <c r="A139" s="102"/>
      <c r="B139" s="277" t="s">
        <v>345</v>
      </c>
    </row>
    <row r="140" spans="1:2" s="97" customFormat="1" ht="15" customHeight="1" x14ac:dyDescent="0.25">
      <c r="A140" s="276"/>
      <c r="B140" s="278" t="s">
        <v>394</v>
      </c>
    </row>
    <row r="141" spans="1:2" s="97" customFormat="1" ht="15" customHeight="1" x14ac:dyDescent="0.25">
      <c r="A141" s="276"/>
      <c r="B141" s="278" t="s">
        <v>395</v>
      </c>
    </row>
    <row r="142" spans="1:2" s="97" customFormat="1" ht="15" customHeight="1" x14ac:dyDescent="0.25">
      <c r="A142" s="276"/>
      <c r="B142" s="278" t="s">
        <v>396</v>
      </c>
    </row>
    <row r="143" spans="1:2" s="97" customFormat="1" ht="15" customHeight="1" x14ac:dyDescent="0.25">
      <c r="A143" s="276"/>
      <c r="B143" s="278" t="s">
        <v>405</v>
      </c>
    </row>
    <row r="144" spans="1:2" s="97" customFormat="1" ht="15" customHeight="1" thickBot="1" x14ac:dyDescent="0.3">
      <c r="A144" s="191">
        <v>1</v>
      </c>
      <c r="B144" s="275" t="s">
        <v>397</v>
      </c>
    </row>
    <row r="145" spans="1:2" s="97" customFormat="1" ht="158.25" customHeight="1" thickBot="1" x14ac:dyDescent="0.25">
      <c r="A145" s="85">
        <v>2</v>
      </c>
      <c r="B145" s="695" t="s">
        <v>545</v>
      </c>
    </row>
    <row r="146" spans="1:2" ht="103.5" customHeight="1" x14ac:dyDescent="0.2">
      <c r="A146" s="102"/>
      <c r="B146" s="692" t="s">
        <v>562</v>
      </c>
    </row>
    <row r="147" spans="1:2" ht="8.25" customHeight="1" x14ac:dyDescent="0.2">
      <c r="A147" s="276"/>
      <c r="B147" s="694"/>
    </row>
    <row r="148" spans="1:2" ht="63" customHeight="1" x14ac:dyDescent="0.2">
      <c r="A148" s="276"/>
      <c r="B148" s="694" t="s">
        <v>570</v>
      </c>
    </row>
    <row r="149" spans="1:2" ht="8.25" customHeight="1" x14ac:dyDescent="0.2">
      <c r="A149" s="276"/>
      <c r="B149" s="694"/>
    </row>
    <row r="150" spans="1:2" ht="60.75" customHeight="1" thickBot="1" x14ac:dyDescent="0.25">
      <c r="A150" s="191">
        <v>3</v>
      </c>
      <c r="B150" s="695" t="s">
        <v>451</v>
      </c>
    </row>
    <row r="151" spans="1:2" ht="60.75" thickBot="1" x14ac:dyDescent="0.3">
      <c r="A151" s="191">
        <v>4</v>
      </c>
      <c r="B151" s="693" t="s">
        <v>576</v>
      </c>
    </row>
    <row r="152" spans="1:2" ht="95.25" customHeight="1" x14ac:dyDescent="0.2">
      <c r="A152" s="102"/>
      <c r="B152" s="483" t="s">
        <v>546</v>
      </c>
    </row>
    <row r="153" spans="1:2" ht="6" customHeight="1" x14ac:dyDescent="0.2">
      <c r="A153" s="276"/>
      <c r="B153" s="278"/>
    </row>
    <row r="154" spans="1:2" ht="153.75" customHeight="1" thickBot="1" x14ac:dyDescent="0.25">
      <c r="A154" s="191">
        <v>5</v>
      </c>
      <c r="B154" s="691" t="s">
        <v>454</v>
      </c>
    </row>
    <row r="155" spans="1:2" ht="104.25" thickBot="1" x14ac:dyDescent="0.25">
      <c r="A155" s="85">
        <v>6</v>
      </c>
      <c r="B155" s="1005" t="s">
        <v>547</v>
      </c>
    </row>
    <row r="156" spans="1:2" ht="45" thickBot="1" x14ac:dyDescent="0.25">
      <c r="A156" s="85">
        <v>7</v>
      </c>
      <c r="B156" s="98" t="s">
        <v>548</v>
      </c>
    </row>
    <row r="157" spans="1:2" ht="14.25" x14ac:dyDescent="0.2">
      <c r="B157" s="1"/>
    </row>
    <row r="158" spans="1:2" ht="14.25" x14ac:dyDescent="0.2">
      <c r="A158" s="86"/>
      <c r="B158" s="99"/>
    </row>
    <row r="159" spans="1:2" ht="15" thickBot="1" x14ac:dyDescent="0.25">
      <c r="A159" s="86"/>
      <c r="B159" s="99"/>
    </row>
    <row r="160" spans="1:2" ht="24" customHeight="1" thickBot="1" x14ac:dyDescent="0.3">
      <c r="A160" s="113"/>
      <c r="B160" s="114" t="s">
        <v>503</v>
      </c>
    </row>
    <row r="161" spans="1:2" ht="24" customHeight="1" thickBot="1" x14ac:dyDescent="0.3">
      <c r="A161" s="113"/>
      <c r="B161" s="468" t="s">
        <v>59</v>
      </c>
    </row>
    <row r="162" spans="1:2" s="337" customFormat="1" ht="18" customHeight="1" thickBot="1" x14ac:dyDescent="0.25">
      <c r="A162" s="701">
        <v>1</v>
      </c>
      <c r="B162" s="720" t="s">
        <v>358</v>
      </c>
    </row>
    <row r="163" spans="1:2" s="337" customFormat="1" ht="48" customHeight="1" thickBot="1" x14ac:dyDescent="0.25">
      <c r="A163" s="697">
        <v>2</v>
      </c>
      <c r="B163" s="720" t="s">
        <v>406</v>
      </c>
    </row>
    <row r="164" spans="1:2" s="337" customFormat="1" ht="47.25" customHeight="1" thickBot="1" x14ac:dyDescent="0.25">
      <c r="A164" s="721">
        <v>3</v>
      </c>
      <c r="B164" s="720" t="s">
        <v>418</v>
      </c>
    </row>
    <row r="165" spans="1:2" s="337" customFormat="1" ht="31.5" customHeight="1" thickBot="1" x14ac:dyDescent="0.25">
      <c r="A165" s="721"/>
      <c r="B165" s="1000" t="s">
        <v>563</v>
      </c>
    </row>
    <row r="166" spans="1:2" s="337" customFormat="1" ht="16.5" customHeight="1" thickBot="1" x14ac:dyDescent="0.25">
      <c r="A166" s="723"/>
      <c r="B166" s="1000" t="s">
        <v>521</v>
      </c>
    </row>
    <row r="167" spans="1:2" s="337" customFormat="1" ht="16.5" customHeight="1" thickBot="1" x14ac:dyDescent="0.25">
      <c r="A167" s="723"/>
      <c r="B167" s="1000" t="s">
        <v>522</v>
      </c>
    </row>
    <row r="168" spans="1:2" s="337" customFormat="1" ht="16.5" customHeight="1" thickBot="1" x14ac:dyDescent="0.25">
      <c r="A168" s="723"/>
      <c r="B168" s="1000" t="s">
        <v>525</v>
      </c>
    </row>
    <row r="169" spans="1:2" s="337" customFormat="1" ht="16.5" customHeight="1" thickBot="1" x14ac:dyDescent="0.25">
      <c r="A169" s="723"/>
      <c r="B169" s="1000" t="s">
        <v>523</v>
      </c>
    </row>
    <row r="170" spans="1:2" s="337" customFormat="1" ht="16.5" customHeight="1" thickBot="1" x14ac:dyDescent="0.25">
      <c r="A170" s="723"/>
      <c r="B170" s="1000" t="s">
        <v>526</v>
      </c>
    </row>
    <row r="171" spans="1:2" s="337" customFormat="1" ht="32.25" customHeight="1" thickBot="1" x14ac:dyDescent="0.25">
      <c r="A171" s="722">
        <v>4</v>
      </c>
      <c r="B171" s="1000" t="s">
        <v>524</v>
      </c>
    </row>
    <row r="172" spans="1:2" s="337" customFormat="1" ht="36.75" customHeight="1" thickBot="1" x14ac:dyDescent="0.25">
      <c r="A172" s="187">
        <v>5</v>
      </c>
      <c r="B172" s="720" t="s">
        <v>419</v>
      </c>
    </row>
    <row r="173" spans="1:2" s="337" customFormat="1" ht="34.5" customHeight="1" thickBot="1" x14ac:dyDescent="0.25">
      <c r="A173" s="701">
        <v>6</v>
      </c>
      <c r="B173" s="720" t="s">
        <v>420</v>
      </c>
    </row>
    <row r="174" spans="1:2" ht="48.75" customHeight="1" thickBot="1" x14ac:dyDescent="0.3">
      <c r="A174" s="697">
        <v>7</v>
      </c>
      <c r="B174" s="784" t="s">
        <v>402</v>
      </c>
    </row>
    <row r="175" spans="1:2" ht="34.5" customHeight="1" thickBot="1" x14ac:dyDescent="0.25">
      <c r="A175" s="701">
        <v>8</v>
      </c>
      <c r="B175" s="733" t="s">
        <v>421</v>
      </c>
    </row>
    <row r="176" spans="1:2" ht="36.75" customHeight="1" thickBot="1" x14ac:dyDescent="0.25">
      <c r="A176" s="697">
        <v>9</v>
      </c>
      <c r="B176" s="734" t="s">
        <v>580</v>
      </c>
    </row>
    <row r="177" spans="1:2" ht="30" customHeight="1" thickBot="1" x14ac:dyDescent="0.25">
      <c r="A177" s="721">
        <v>10</v>
      </c>
      <c r="B177" s="733" t="s">
        <v>359</v>
      </c>
    </row>
    <row r="178" spans="1:2" ht="36" customHeight="1" thickBot="1" x14ac:dyDescent="0.25">
      <c r="A178" s="721">
        <v>11</v>
      </c>
      <c r="B178" s="778" t="s">
        <v>549</v>
      </c>
    </row>
    <row r="179" spans="1:2" ht="17.25" customHeight="1" thickBot="1" x14ac:dyDescent="0.25">
      <c r="A179" s="721">
        <v>12</v>
      </c>
      <c r="B179" s="467" t="s">
        <v>550</v>
      </c>
    </row>
    <row r="180" spans="1:2" ht="58.5" customHeight="1" thickBot="1" x14ac:dyDescent="0.25">
      <c r="A180" s="697">
        <v>13</v>
      </c>
      <c r="B180" s="732" t="s">
        <v>422</v>
      </c>
    </row>
    <row r="181" spans="1:2" ht="24.75" customHeight="1" thickBot="1" x14ac:dyDescent="0.3">
      <c r="A181" s="738"/>
      <c r="B181" s="776" t="s">
        <v>361</v>
      </c>
    </row>
    <row r="182" spans="1:2" ht="22.5" customHeight="1" thickBot="1" x14ac:dyDescent="0.25">
      <c r="A182" s="85">
        <v>14</v>
      </c>
      <c r="B182" s="478" t="s">
        <v>527</v>
      </c>
    </row>
    <row r="183" spans="1:2" ht="0.75" customHeight="1" thickBot="1" x14ac:dyDescent="0.25">
      <c r="A183" s="85">
        <v>2</v>
      </c>
      <c r="B183" s="98"/>
    </row>
    <row r="184" spans="1:2" ht="0.75" customHeight="1" thickBot="1" x14ac:dyDescent="0.25">
      <c r="A184" s="85"/>
      <c r="B184" s="98"/>
    </row>
    <row r="185" spans="1:2" ht="40.5" customHeight="1" thickBot="1" x14ac:dyDescent="0.25">
      <c r="A185" s="85">
        <v>15</v>
      </c>
      <c r="B185" s="477" t="s">
        <v>423</v>
      </c>
    </row>
    <row r="186" spans="1:2" ht="91.5" customHeight="1" thickBot="1" x14ac:dyDescent="0.25">
      <c r="A186" s="85">
        <v>16</v>
      </c>
      <c r="B186" s="98" t="s">
        <v>403</v>
      </c>
    </row>
    <row r="187" spans="1:2" ht="62.25" customHeight="1" x14ac:dyDescent="0.2">
      <c r="A187" s="102"/>
      <c r="B187" s="483" t="s">
        <v>455</v>
      </c>
    </row>
    <row r="188" spans="1:2" ht="12.75" customHeight="1" x14ac:dyDescent="0.25">
      <c r="A188" s="276"/>
      <c r="B188" s="1001" t="s">
        <v>362</v>
      </c>
    </row>
    <row r="189" spans="1:2" ht="12.75" customHeight="1" x14ac:dyDescent="0.25">
      <c r="A189" s="276"/>
      <c r="B189" s="1001" t="s">
        <v>363</v>
      </c>
    </row>
    <row r="190" spans="1:2" ht="12.75" customHeight="1" x14ac:dyDescent="0.25">
      <c r="A190" s="276"/>
      <c r="B190" s="1001" t="s">
        <v>364</v>
      </c>
    </row>
    <row r="191" spans="1:2" ht="12.75" customHeight="1" x14ac:dyDescent="0.25">
      <c r="A191" s="276"/>
      <c r="B191" s="1001" t="s">
        <v>365</v>
      </c>
    </row>
    <row r="192" spans="1:2" ht="12.75" customHeight="1" x14ac:dyDescent="0.25">
      <c r="A192" s="276"/>
      <c r="B192" s="1001" t="s">
        <v>366</v>
      </c>
    </row>
    <row r="193" spans="1:2" ht="48" customHeight="1" x14ac:dyDescent="0.2">
      <c r="A193" s="276"/>
      <c r="B193" s="1002" t="s">
        <v>424</v>
      </c>
    </row>
    <row r="194" spans="1:2" ht="37.5" customHeight="1" x14ac:dyDescent="0.2">
      <c r="A194" s="276"/>
      <c r="B194" s="1002" t="s">
        <v>425</v>
      </c>
    </row>
    <row r="195" spans="1:2" ht="30.75" customHeight="1" x14ac:dyDescent="0.2">
      <c r="A195" s="276"/>
      <c r="B195" s="1002" t="s">
        <v>426</v>
      </c>
    </row>
    <row r="196" spans="1:2" ht="74.25" customHeight="1" x14ac:dyDescent="0.2">
      <c r="A196" s="276"/>
      <c r="B196" s="1003" t="s">
        <v>564</v>
      </c>
    </row>
    <row r="197" spans="1:2" ht="35.25" customHeight="1" x14ac:dyDescent="0.2">
      <c r="A197" s="276"/>
      <c r="B197" s="1002" t="s">
        <v>367</v>
      </c>
    </row>
    <row r="198" spans="1:2" ht="64.5" customHeight="1" thickBot="1" x14ac:dyDescent="0.25">
      <c r="A198" s="191">
        <v>17</v>
      </c>
      <c r="B198" s="482" t="s">
        <v>427</v>
      </c>
    </row>
    <row r="199" spans="1:2" ht="72.75" thickBot="1" x14ac:dyDescent="0.25">
      <c r="A199" s="191">
        <v>18</v>
      </c>
      <c r="B199" s="482" t="s">
        <v>577</v>
      </c>
    </row>
    <row r="200" spans="1:2" ht="20.25" customHeight="1" thickBot="1" x14ac:dyDescent="0.25">
      <c r="A200" s="86"/>
      <c r="B200" s="97"/>
    </row>
    <row r="201" spans="1:2" ht="20.25" customHeight="1" thickBot="1" x14ac:dyDescent="0.3">
      <c r="A201" s="113"/>
      <c r="B201" s="114" t="s">
        <v>504</v>
      </c>
    </row>
    <row r="202" spans="1:2" ht="46.5" customHeight="1" thickBot="1" x14ac:dyDescent="0.25">
      <c r="A202" s="85">
        <v>1</v>
      </c>
      <c r="B202" s="467" t="s">
        <v>551</v>
      </c>
    </row>
    <row r="203" spans="1:2" ht="26.25" customHeight="1" thickBot="1" x14ac:dyDescent="0.25">
      <c r="A203" s="86"/>
      <c r="B203" s="3"/>
    </row>
    <row r="204" spans="1:2" ht="24" customHeight="1" thickBot="1" x14ac:dyDescent="0.3">
      <c r="A204" s="113"/>
      <c r="B204" s="115" t="s">
        <v>505</v>
      </c>
    </row>
    <row r="205" spans="1:2" ht="34.5" customHeight="1" thickBot="1" x14ac:dyDescent="0.25">
      <c r="A205" s="774">
        <v>1</v>
      </c>
      <c r="B205" s="773" t="s">
        <v>407</v>
      </c>
    </row>
    <row r="206" spans="1:2" ht="21" customHeight="1" thickBot="1" x14ac:dyDescent="0.25">
      <c r="A206" s="775" t="s">
        <v>375</v>
      </c>
      <c r="B206" s="773" t="s">
        <v>408</v>
      </c>
    </row>
    <row r="207" spans="1:2" ht="21.75" customHeight="1" thickBot="1" x14ac:dyDescent="0.25">
      <c r="A207" s="774">
        <v>3</v>
      </c>
      <c r="B207" s="773" t="s">
        <v>376</v>
      </c>
    </row>
    <row r="208" spans="1:2" s="97" customFormat="1" ht="24" customHeight="1" thickBot="1" x14ac:dyDescent="0.25">
      <c r="A208" s="774">
        <v>4</v>
      </c>
      <c r="B208" s="773" t="s">
        <v>401</v>
      </c>
    </row>
    <row r="209" spans="1:2" ht="64.5" customHeight="1" thickBot="1" x14ac:dyDescent="0.25">
      <c r="A209" s="774">
        <v>5</v>
      </c>
      <c r="B209" s="773" t="s">
        <v>409</v>
      </c>
    </row>
    <row r="210" spans="1:2" ht="14.25" x14ac:dyDescent="0.2">
      <c r="B210" s="1"/>
    </row>
    <row r="211" spans="1:2" ht="15" thickBot="1" x14ac:dyDescent="0.25">
      <c r="B211" s="1"/>
    </row>
    <row r="212" spans="1:2" ht="24" customHeight="1" thickBot="1" x14ac:dyDescent="0.3">
      <c r="A212" s="113"/>
      <c r="B212" s="114" t="s">
        <v>506</v>
      </c>
    </row>
    <row r="213" spans="1:2" ht="45" thickBot="1" x14ac:dyDescent="0.25">
      <c r="A213" s="85">
        <v>1</v>
      </c>
      <c r="B213" s="98" t="s">
        <v>586</v>
      </c>
    </row>
    <row r="214" spans="1:2" ht="14.25" x14ac:dyDescent="0.2">
      <c r="B214" s="1"/>
    </row>
  </sheetData>
  <sheetProtection password="CC59" sheet="1" formatColumns="0" formatRows="0"/>
  <mergeCells count="1">
    <mergeCell ref="A19:A28"/>
  </mergeCells>
  <phoneticPr fontId="44" type="noConversion"/>
  <pageMargins left="0.7" right="0.7" top="0.75" bottom="0.75" header="0.3" footer="0.3"/>
  <pageSetup paperSize="5" scale="70" orientation="portrait"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1"/>
  <sheetViews>
    <sheetView topLeftCell="A66" workbookViewId="0">
      <selection activeCell="L40" sqref="L40"/>
    </sheetView>
  </sheetViews>
  <sheetFormatPr defaultRowHeight="12.75" x14ac:dyDescent="0.2"/>
  <cols>
    <col min="1" max="1" width="23.42578125" customWidth="1"/>
  </cols>
  <sheetData>
    <row r="2" spans="1:15" x14ac:dyDescent="0.2">
      <c r="A2" s="1112" t="s">
        <v>82</v>
      </c>
      <c r="B2" s="1104"/>
      <c r="C2" s="1104"/>
      <c r="D2" s="1104"/>
      <c r="E2" s="1104"/>
      <c r="F2" s="1104"/>
      <c r="G2" s="1104"/>
      <c r="H2" s="1104"/>
      <c r="I2" s="1104"/>
      <c r="J2" s="1104"/>
      <c r="K2" s="1104"/>
      <c r="L2" s="1104"/>
      <c r="M2" s="1104"/>
      <c r="N2" s="1104"/>
      <c r="O2" s="1104"/>
    </row>
    <row r="3" spans="1:15" x14ac:dyDescent="0.2">
      <c r="A3" s="1113" t="s">
        <v>688</v>
      </c>
      <c r="B3" s="1110">
        <v>2016</v>
      </c>
      <c r="C3" s="1110">
        <v>2017</v>
      </c>
      <c r="D3" s="1110">
        <v>2018</v>
      </c>
      <c r="E3" s="1110">
        <v>2019</v>
      </c>
      <c r="F3" s="1110">
        <v>2020</v>
      </c>
      <c r="G3" s="1110">
        <v>2021</v>
      </c>
      <c r="H3" s="1110">
        <v>2022</v>
      </c>
      <c r="I3" s="1110">
        <v>2023</v>
      </c>
      <c r="J3" s="1110">
        <v>2024</v>
      </c>
      <c r="K3" s="1110">
        <v>2025</v>
      </c>
      <c r="L3" s="1110">
        <v>2026</v>
      </c>
      <c r="M3" s="1104"/>
      <c r="N3" s="1132">
        <v>0.02</v>
      </c>
      <c r="O3" s="1111" t="s">
        <v>689</v>
      </c>
    </row>
    <row r="4" spans="1:15" x14ac:dyDescent="0.2">
      <c r="A4" s="1134" t="s">
        <v>702</v>
      </c>
      <c r="B4" s="1114">
        <v>0.5</v>
      </c>
      <c r="C4" s="1114">
        <v>1</v>
      </c>
      <c r="D4" s="1114">
        <v>1</v>
      </c>
      <c r="E4" s="1114">
        <v>1</v>
      </c>
      <c r="F4" s="1114">
        <v>1</v>
      </c>
      <c r="G4" s="1114">
        <v>1</v>
      </c>
      <c r="H4" s="1114">
        <v>1</v>
      </c>
      <c r="I4" s="1114">
        <v>1</v>
      </c>
      <c r="J4" s="1114">
        <v>1</v>
      </c>
      <c r="K4" s="1114">
        <v>1</v>
      </c>
      <c r="L4" s="1114">
        <v>1</v>
      </c>
      <c r="M4" s="1104"/>
      <c r="N4" s="1132">
        <v>0.23004583244579568</v>
      </c>
      <c r="O4" s="1111" t="s">
        <v>690</v>
      </c>
    </row>
    <row r="5" spans="1:15" x14ac:dyDescent="0.2">
      <c r="A5" s="1134" t="s">
        <v>703</v>
      </c>
      <c r="B5" s="1114">
        <v>0.5</v>
      </c>
      <c r="C5" s="1114">
        <v>1</v>
      </c>
      <c r="D5" s="1114">
        <v>1</v>
      </c>
      <c r="E5" s="1114">
        <v>1</v>
      </c>
      <c r="F5" s="1114">
        <v>1</v>
      </c>
      <c r="G5" s="1114">
        <v>1</v>
      </c>
      <c r="H5" s="1114">
        <v>1</v>
      </c>
      <c r="I5" s="1114">
        <v>1</v>
      </c>
      <c r="J5" s="1114">
        <v>1</v>
      </c>
      <c r="K5" s="1114">
        <v>1</v>
      </c>
      <c r="L5" s="1114">
        <v>1</v>
      </c>
      <c r="M5" s="1104"/>
      <c r="N5" s="1104"/>
      <c r="O5" s="1104"/>
    </row>
    <row r="6" spans="1:15" x14ac:dyDescent="0.2">
      <c r="A6" s="1134" t="s">
        <v>704</v>
      </c>
      <c r="B6" s="1114">
        <v>0.5</v>
      </c>
      <c r="C6" s="1114">
        <v>1</v>
      </c>
      <c r="D6" s="1114">
        <v>1</v>
      </c>
      <c r="E6" s="1114">
        <v>1</v>
      </c>
      <c r="F6" s="1114">
        <v>1</v>
      </c>
      <c r="G6" s="1114">
        <v>1</v>
      </c>
      <c r="H6" s="1114">
        <v>1</v>
      </c>
      <c r="I6" s="1114">
        <v>1</v>
      </c>
      <c r="J6" s="1114">
        <v>1</v>
      </c>
      <c r="K6" s="1114">
        <v>1</v>
      </c>
      <c r="L6" s="1114">
        <v>1</v>
      </c>
      <c r="M6" s="1104"/>
      <c r="N6" s="1104"/>
      <c r="O6" s="1104"/>
    </row>
    <row r="7" spans="1:15" x14ac:dyDescent="0.2">
      <c r="A7" s="1111" t="s">
        <v>691</v>
      </c>
      <c r="B7" s="1114"/>
      <c r="C7" s="1114"/>
      <c r="D7" s="1114"/>
      <c r="E7" s="1114">
        <v>1</v>
      </c>
      <c r="F7" s="1114">
        <v>1</v>
      </c>
      <c r="G7" s="1114">
        <v>1</v>
      </c>
      <c r="H7" s="1114">
        <v>1</v>
      </c>
      <c r="I7" s="1114">
        <v>1</v>
      </c>
      <c r="J7" s="1114">
        <v>1</v>
      </c>
      <c r="K7" s="1114">
        <v>1</v>
      </c>
      <c r="L7" s="1114">
        <v>1</v>
      </c>
      <c r="M7" s="1104"/>
      <c r="N7" s="1104"/>
      <c r="O7" s="1104"/>
    </row>
    <row r="8" spans="1:15" x14ac:dyDescent="0.2">
      <c r="A8" s="1111" t="s">
        <v>692</v>
      </c>
      <c r="B8" s="1114"/>
      <c r="C8" s="1114"/>
      <c r="D8" s="1114">
        <v>1</v>
      </c>
      <c r="E8" s="1114">
        <v>1</v>
      </c>
      <c r="F8" s="1114">
        <v>1</v>
      </c>
      <c r="G8" s="1114">
        <v>1</v>
      </c>
      <c r="H8" s="1114">
        <v>1</v>
      </c>
      <c r="I8" s="1114">
        <v>1</v>
      </c>
      <c r="J8" s="1114">
        <v>1</v>
      </c>
      <c r="K8" s="1114">
        <v>1</v>
      </c>
      <c r="L8" s="1114">
        <v>1</v>
      </c>
      <c r="M8" s="1104"/>
      <c r="N8" s="1104"/>
      <c r="O8" s="1104"/>
    </row>
    <row r="9" spans="1:15" x14ac:dyDescent="0.2">
      <c r="A9" s="1111" t="s">
        <v>693</v>
      </c>
      <c r="B9" s="1114"/>
      <c r="C9" s="1114">
        <v>1</v>
      </c>
      <c r="D9" s="1114">
        <v>1</v>
      </c>
      <c r="E9" s="1114">
        <v>1</v>
      </c>
      <c r="F9" s="1114">
        <v>1</v>
      </c>
      <c r="G9" s="1114">
        <v>1</v>
      </c>
      <c r="H9" s="1114">
        <v>1</v>
      </c>
      <c r="I9" s="1114">
        <v>1</v>
      </c>
      <c r="J9" s="1114">
        <v>1</v>
      </c>
      <c r="K9" s="1114">
        <v>1</v>
      </c>
      <c r="L9" s="1114">
        <v>1</v>
      </c>
      <c r="M9" s="1114"/>
      <c r="N9" s="1104"/>
      <c r="O9" s="1104"/>
    </row>
    <row r="10" spans="1:15" x14ac:dyDescent="0.2">
      <c r="A10" s="1111" t="s">
        <v>694</v>
      </c>
      <c r="B10" s="1114"/>
      <c r="C10" s="1114"/>
      <c r="D10" s="1114">
        <v>1</v>
      </c>
      <c r="E10" s="1114">
        <v>1</v>
      </c>
      <c r="F10" s="1114">
        <v>1</v>
      </c>
      <c r="G10" s="1114">
        <v>1</v>
      </c>
      <c r="H10" s="1114">
        <v>1</v>
      </c>
      <c r="I10" s="1114">
        <v>1</v>
      </c>
      <c r="J10" s="1114">
        <v>1</v>
      </c>
      <c r="K10" s="1114">
        <v>1</v>
      </c>
      <c r="L10" s="1114">
        <v>1</v>
      </c>
      <c r="M10" s="1114"/>
      <c r="N10" s="1104"/>
      <c r="O10" s="1104"/>
    </row>
    <row r="11" spans="1:15" x14ac:dyDescent="0.2">
      <c r="A11" s="1111" t="s">
        <v>695</v>
      </c>
      <c r="B11" s="1114"/>
      <c r="C11" s="1114"/>
      <c r="D11" s="1114"/>
      <c r="E11" s="1114">
        <v>1</v>
      </c>
      <c r="F11" s="1114">
        <v>1</v>
      </c>
      <c r="G11" s="1114">
        <v>1</v>
      </c>
      <c r="H11" s="1114">
        <v>1</v>
      </c>
      <c r="I11" s="1114">
        <v>1</v>
      </c>
      <c r="J11" s="1114">
        <v>1</v>
      </c>
      <c r="K11" s="1114">
        <v>1</v>
      </c>
      <c r="L11" s="1114">
        <v>1</v>
      </c>
      <c r="M11" s="1114"/>
      <c r="N11" s="1104"/>
      <c r="O11" s="1104"/>
    </row>
    <row r="12" spans="1:15" x14ac:dyDescent="0.2">
      <c r="A12" s="1117" t="s">
        <v>595</v>
      </c>
      <c r="B12" s="1120">
        <f>SUM(B4:B11)</f>
        <v>1.5</v>
      </c>
      <c r="C12" s="1157">
        <f t="shared" ref="C12:L12" si="0">SUM(C4:C11)</f>
        <v>4</v>
      </c>
      <c r="D12" s="1157">
        <f t="shared" si="0"/>
        <v>6</v>
      </c>
      <c r="E12" s="1157">
        <f t="shared" si="0"/>
        <v>8</v>
      </c>
      <c r="F12" s="1157">
        <f t="shared" si="0"/>
        <v>8</v>
      </c>
      <c r="G12" s="1157">
        <f t="shared" si="0"/>
        <v>8</v>
      </c>
      <c r="H12" s="1157">
        <f t="shared" si="0"/>
        <v>8</v>
      </c>
      <c r="I12" s="1157">
        <f t="shared" si="0"/>
        <v>8</v>
      </c>
      <c r="J12" s="1157">
        <f t="shared" si="0"/>
        <v>8</v>
      </c>
      <c r="K12" s="1157">
        <f t="shared" si="0"/>
        <v>8</v>
      </c>
      <c r="L12" s="1157">
        <f t="shared" si="0"/>
        <v>8</v>
      </c>
      <c r="M12" s="1120"/>
      <c r="N12" s="1118"/>
      <c r="O12" s="1118"/>
    </row>
    <row r="13" spans="1:15" x14ac:dyDescent="0.2">
      <c r="A13" s="1104"/>
      <c r="B13" s="1114"/>
      <c r="C13" s="1114"/>
      <c r="D13" s="1114"/>
      <c r="E13" s="1114"/>
      <c r="F13" s="1114"/>
      <c r="G13" s="1114"/>
      <c r="H13" s="1114"/>
      <c r="I13" s="1114"/>
      <c r="J13" s="1114"/>
      <c r="K13" s="1114"/>
      <c r="L13" s="1114"/>
      <c r="M13" s="1114"/>
      <c r="N13" s="1104"/>
      <c r="O13" s="1104"/>
    </row>
    <row r="14" spans="1:15" x14ac:dyDescent="0.2">
      <c r="A14" s="1113" t="s">
        <v>14</v>
      </c>
      <c r="B14" s="1104"/>
      <c r="C14" s="1104"/>
      <c r="D14" s="1104"/>
      <c r="E14" s="1104"/>
      <c r="F14" s="1104"/>
      <c r="G14" s="1104"/>
      <c r="H14" s="1104"/>
      <c r="I14" s="1104"/>
      <c r="J14" s="1104"/>
      <c r="K14" s="1104"/>
      <c r="L14" s="1104"/>
      <c r="M14" s="1104"/>
      <c r="N14" s="1104"/>
      <c r="O14" s="1104"/>
    </row>
    <row r="15" spans="1:15" x14ac:dyDescent="0.2">
      <c r="A15" s="1135" t="s">
        <v>702</v>
      </c>
      <c r="B15" s="1115">
        <v>62500</v>
      </c>
      <c r="C15" s="1115">
        <v>125000</v>
      </c>
      <c r="D15" s="1115">
        <f>C15*(1+$N$3)</f>
        <v>127500</v>
      </c>
      <c r="E15" s="1155">
        <f t="shared" ref="E15:L15" si="1">D15*(1+$N$3)</f>
        <v>130050</v>
      </c>
      <c r="F15" s="1155">
        <f t="shared" si="1"/>
        <v>132651</v>
      </c>
      <c r="G15" s="1155">
        <f t="shared" si="1"/>
        <v>135304.01999999999</v>
      </c>
      <c r="H15" s="1155">
        <f t="shared" si="1"/>
        <v>138010.1004</v>
      </c>
      <c r="I15" s="1155">
        <f t="shared" si="1"/>
        <v>140770.30240799999</v>
      </c>
      <c r="J15" s="1155">
        <f t="shared" si="1"/>
        <v>143585.70845615998</v>
      </c>
      <c r="K15" s="1155">
        <f t="shared" si="1"/>
        <v>146457.42262528319</v>
      </c>
      <c r="L15" s="1155">
        <f t="shared" si="1"/>
        <v>149386.57107778886</v>
      </c>
      <c r="M15" s="1104"/>
      <c r="N15" s="1104"/>
      <c r="O15" s="1104"/>
    </row>
    <row r="16" spans="1:15" x14ac:dyDescent="0.2">
      <c r="A16" s="1135" t="s">
        <v>703</v>
      </c>
      <c r="B16" s="1115">
        <v>45000</v>
      </c>
      <c r="C16" s="1115">
        <v>90000</v>
      </c>
      <c r="D16" s="1155">
        <f t="shared" ref="D16:L16" si="2">C16*(1+$N$3)</f>
        <v>91800</v>
      </c>
      <c r="E16" s="1155">
        <f t="shared" si="2"/>
        <v>93636</v>
      </c>
      <c r="F16" s="1155">
        <f t="shared" si="2"/>
        <v>95508.72</v>
      </c>
      <c r="G16" s="1155">
        <f t="shared" si="2"/>
        <v>97418.894400000005</v>
      </c>
      <c r="H16" s="1155">
        <f t="shared" si="2"/>
        <v>99367.272288000007</v>
      </c>
      <c r="I16" s="1155">
        <f t="shared" si="2"/>
        <v>101354.61773376001</v>
      </c>
      <c r="J16" s="1155">
        <f t="shared" si="2"/>
        <v>103381.71008843521</v>
      </c>
      <c r="K16" s="1155">
        <f t="shared" si="2"/>
        <v>105449.34429020392</v>
      </c>
      <c r="L16" s="1155">
        <f t="shared" si="2"/>
        <v>107558.33117600801</v>
      </c>
      <c r="M16" s="1104"/>
      <c r="N16" s="1104"/>
      <c r="O16" s="1104"/>
    </row>
    <row r="17" spans="1:12" x14ac:dyDescent="0.2">
      <c r="A17" s="1135" t="s">
        <v>704</v>
      </c>
      <c r="B17" s="1115">
        <v>45000</v>
      </c>
      <c r="C17" s="1115">
        <v>90000</v>
      </c>
      <c r="D17" s="1155">
        <f t="shared" ref="D17:L22" si="3">C17*(1+$N$3)</f>
        <v>91800</v>
      </c>
      <c r="E17" s="1155">
        <f t="shared" si="3"/>
        <v>93636</v>
      </c>
      <c r="F17" s="1155">
        <f t="shared" si="3"/>
        <v>95508.72</v>
      </c>
      <c r="G17" s="1155">
        <f t="shared" si="3"/>
        <v>97418.894400000005</v>
      </c>
      <c r="H17" s="1155">
        <f t="shared" si="3"/>
        <v>99367.272288000007</v>
      </c>
      <c r="I17" s="1155">
        <f t="shared" si="3"/>
        <v>101354.61773376001</v>
      </c>
      <c r="J17" s="1155">
        <f t="shared" si="3"/>
        <v>103381.71008843521</v>
      </c>
      <c r="K17" s="1155">
        <f t="shared" si="3"/>
        <v>105449.34429020392</v>
      </c>
      <c r="L17" s="1155">
        <f t="shared" si="3"/>
        <v>107558.33117600801</v>
      </c>
    </row>
    <row r="18" spans="1:12" x14ac:dyDescent="0.2">
      <c r="A18" s="1111" t="s">
        <v>691</v>
      </c>
      <c r="B18" s="1115"/>
      <c r="C18" s="1115"/>
      <c r="D18" s="1155">
        <f>C18*(N3+100%)</f>
        <v>0</v>
      </c>
      <c r="E18" s="1115">
        <v>50000</v>
      </c>
      <c r="F18" s="1155">
        <f t="shared" si="3"/>
        <v>51000</v>
      </c>
      <c r="G18" s="1155">
        <f t="shared" si="3"/>
        <v>52020</v>
      </c>
      <c r="H18" s="1155">
        <f t="shared" si="3"/>
        <v>53060.4</v>
      </c>
      <c r="I18" s="1155">
        <f t="shared" si="3"/>
        <v>54121.608</v>
      </c>
      <c r="J18" s="1155">
        <f t="shared" si="3"/>
        <v>55204.040160000004</v>
      </c>
      <c r="K18" s="1155">
        <f t="shared" si="3"/>
        <v>56308.120963200003</v>
      </c>
      <c r="L18" s="1155">
        <f t="shared" si="3"/>
        <v>57434.283382464004</v>
      </c>
    </row>
    <row r="19" spans="1:12" x14ac:dyDescent="0.2">
      <c r="A19" s="1111" t="s">
        <v>692</v>
      </c>
      <c r="B19" s="1115"/>
      <c r="C19" s="1115"/>
      <c r="D19" s="1155">
        <v>60000</v>
      </c>
      <c r="E19" s="1155">
        <f t="shared" si="3"/>
        <v>61200</v>
      </c>
      <c r="F19" s="1155">
        <f t="shared" si="3"/>
        <v>62424</v>
      </c>
      <c r="G19" s="1155">
        <f t="shared" si="3"/>
        <v>63672.480000000003</v>
      </c>
      <c r="H19" s="1155">
        <f t="shared" si="3"/>
        <v>64945.929600000003</v>
      </c>
      <c r="I19" s="1155">
        <f t="shared" si="3"/>
        <v>66244.848192000005</v>
      </c>
      <c r="J19" s="1155">
        <f t="shared" si="3"/>
        <v>67569.745155840006</v>
      </c>
      <c r="K19" s="1155">
        <f t="shared" si="3"/>
        <v>68921.140058956807</v>
      </c>
      <c r="L19" s="1155">
        <f t="shared" si="3"/>
        <v>70299.562860135949</v>
      </c>
    </row>
    <row r="20" spans="1:12" x14ac:dyDescent="0.2">
      <c r="A20" s="1111" t="s">
        <v>693</v>
      </c>
      <c r="B20" s="1115"/>
      <c r="C20" s="1115">
        <v>40000</v>
      </c>
      <c r="D20" s="1155">
        <f t="shared" si="3"/>
        <v>40800</v>
      </c>
      <c r="E20" s="1155">
        <f t="shared" si="3"/>
        <v>41616</v>
      </c>
      <c r="F20" s="1155">
        <f t="shared" si="3"/>
        <v>42448.32</v>
      </c>
      <c r="G20" s="1155">
        <f t="shared" si="3"/>
        <v>43297.286399999997</v>
      </c>
      <c r="H20" s="1155">
        <f t="shared" si="3"/>
        <v>44163.232127999996</v>
      </c>
      <c r="I20" s="1155">
        <f t="shared" si="3"/>
        <v>45046.496770559999</v>
      </c>
      <c r="J20" s="1155">
        <f t="shared" si="3"/>
        <v>45947.4267059712</v>
      </c>
      <c r="K20" s="1155">
        <f t="shared" si="3"/>
        <v>46866.375240090623</v>
      </c>
      <c r="L20" s="1155">
        <f t="shared" si="3"/>
        <v>47803.702744892435</v>
      </c>
    </row>
    <row r="21" spans="1:12" x14ac:dyDescent="0.2">
      <c r="A21" s="1111" t="s">
        <v>694</v>
      </c>
      <c r="B21" s="1115"/>
      <c r="C21" s="1115"/>
      <c r="D21" s="1155">
        <v>50000</v>
      </c>
      <c r="E21" s="1155">
        <f t="shared" si="3"/>
        <v>51000</v>
      </c>
      <c r="F21" s="1155">
        <f t="shared" si="3"/>
        <v>52020</v>
      </c>
      <c r="G21" s="1155">
        <f t="shared" si="3"/>
        <v>53060.4</v>
      </c>
      <c r="H21" s="1155">
        <f t="shared" si="3"/>
        <v>54121.608</v>
      </c>
      <c r="I21" s="1155">
        <f t="shared" si="3"/>
        <v>55204.040160000004</v>
      </c>
      <c r="J21" s="1155">
        <f t="shared" si="3"/>
        <v>56308.120963200003</v>
      </c>
      <c r="K21" s="1155">
        <f t="shared" si="3"/>
        <v>57434.283382464004</v>
      </c>
      <c r="L21" s="1155">
        <f t="shared" si="3"/>
        <v>58582.969050113286</v>
      </c>
    </row>
    <row r="22" spans="1:12" x14ac:dyDescent="0.2">
      <c r="A22" s="1111" t="s">
        <v>695</v>
      </c>
      <c r="B22" s="1115"/>
      <c r="C22" s="1115"/>
      <c r="D22" s="1155">
        <f>C22*(N3+100%)</f>
        <v>0</v>
      </c>
      <c r="E22" s="1115">
        <v>50000</v>
      </c>
      <c r="F22" s="1155">
        <f t="shared" si="3"/>
        <v>51000</v>
      </c>
      <c r="G22" s="1155">
        <f t="shared" si="3"/>
        <v>52020</v>
      </c>
      <c r="H22" s="1155">
        <f t="shared" si="3"/>
        <v>53060.4</v>
      </c>
      <c r="I22" s="1155">
        <f t="shared" si="3"/>
        <v>54121.608</v>
      </c>
      <c r="J22" s="1155">
        <f t="shared" si="3"/>
        <v>55204.040160000004</v>
      </c>
      <c r="K22" s="1155">
        <f t="shared" si="3"/>
        <v>56308.120963200003</v>
      </c>
      <c r="L22" s="1155">
        <f t="shared" si="3"/>
        <v>57434.283382464004</v>
      </c>
    </row>
    <row r="23" spans="1:12" x14ac:dyDescent="0.2">
      <c r="A23" s="1117" t="s">
        <v>595</v>
      </c>
      <c r="B23" s="1119">
        <f>SUM(B15:B22)</f>
        <v>152500</v>
      </c>
      <c r="C23" s="1156">
        <f t="shared" ref="C23:L23" si="4">SUM(C15:C22)</f>
        <v>345000</v>
      </c>
      <c r="D23" s="1156">
        <f t="shared" si="4"/>
        <v>461900</v>
      </c>
      <c r="E23" s="1156">
        <f t="shared" si="4"/>
        <v>571138</v>
      </c>
      <c r="F23" s="1156">
        <f t="shared" si="4"/>
        <v>582560.76</v>
      </c>
      <c r="G23" s="1156">
        <f t="shared" si="4"/>
        <v>594211.97519999999</v>
      </c>
      <c r="H23" s="1156">
        <f t="shared" si="4"/>
        <v>606096.21470400004</v>
      </c>
      <c r="I23" s="1156">
        <f t="shared" si="4"/>
        <v>618218.13899808004</v>
      </c>
      <c r="J23" s="1156">
        <f t="shared" si="4"/>
        <v>630582.50177804159</v>
      </c>
      <c r="K23" s="1156">
        <f t="shared" si="4"/>
        <v>643194.15181360242</v>
      </c>
      <c r="L23" s="1156">
        <f t="shared" si="4"/>
        <v>656058.03484987468</v>
      </c>
    </row>
    <row r="25" spans="1:12" x14ac:dyDescent="0.2">
      <c r="A25" s="1113" t="s">
        <v>696</v>
      </c>
      <c r="B25" s="1104"/>
      <c r="C25" s="1104"/>
      <c r="D25" s="1104"/>
      <c r="E25" s="1104"/>
      <c r="F25" s="1104"/>
      <c r="G25" s="1104"/>
      <c r="H25" s="1104"/>
      <c r="I25" s="1104"/>
      <c r="J25" s="1104"/>
      <c r="K25" s="1104"/>
      <c r="L25" s="1104"/>
    </row>
    <row r="26" spans="1:12" x14ac:dyDescent="0.2">
      <c r="A26" s="1138" t="s">
        <v>702</v>
      </c>
      <c r="B26" s="1115">
        <f>C15/2</f>
        <v>62500</v>
      </c>
      <c r="C26" s="1115">
        <f>C15*(1+$N$4)</f>
        <v>153755.72905572446</v>
      </c>
      <c r="D26" s="1155">
        <f t="shared" ref="D26:L26" si="5">D15*(1+$N$4)</f>
        <v>156830.84363683895</v>
      </c>
      <c r="E26" s="1155">
        <f t="shared" si="5"/>
        <v>159967.46050957573</v>
      </c>
      <c r="F26" s="1155">
        <f t="shared" si="5"/>
        <v>163166.80971976725</v>
      </c>
      <c r="G26" s="1155">
        <f t="shared" si="5"/>
        <v>166430.14591416257</v>
      </c>
      <c r="H26" s="1155">
        <f t="shared" si="5"/>
        <v>169758.74883244582</v>
      </c>
      <c r="I26" s="1155">
        <f t="shared" si="5"/>
        <v>173153.92380909473</v>
      </c>
      <c r="J26" s="1155">
        <f t="shared" si="5"/>
        <v>176617.00228527663</v>
      </c>
      <c r="K26" s="1155">
        <f t="shared" si="5"/>
        <v>180149.34233098218</v>
      </c>
      <c r="L26" s="1155">
        <f t="shared" si="5"/>
        <v>183752.32917760182</v>
      </c>
    </row>
    <row r="27" spans="1:12" x14ac:dyDescent="0.2">
      <c r="A27" s="1138" t="s">
        <v>703</v>
      </c>
      <c r="B27" s="1155">
        <f t="shared" ref="B27:B33" si="6">C16/2</f>
        <v>45000</v>
      </c>
      <c r="C27" s="1155">
        <f t="shared" ref="C27:L27" si="7">C16*(1+$N$4)</f>
        <v>110704.12492012161</v>
      </c>
      <c r="D27" s="1155">
        <f t="shared" si="7"/>
        <v>112918.20741852405</v>
      </c>
      <c r="E27" s="1155">
        <f t="shared" si="7"/>
        <v>115176.57156689452</v>
      </c>
      <c r="F27" s="1155">
        <f t="shared" si="7"/>
        <v>117480.10299823241</v>
      </c>
      <c r="G27" s="1155">
        <f t="shared" si="7"/>
        <v>119829.70505819707</v>
      </c>
      <c r="H27" s="1155">
        <f t="shared" si="7"/>
        <v>122226.29915936102</v>
      </c>
      <c r="I27" s="1155">
        <f t="shared" si="7"/>
        <v>124670.82514254823</v>
      </c>
      <c r="J27" s="1155">
        <f t="shared" si="7"/>
        <v>127164.2416453992</v>
      </c>
      <c r="K27" s="1155">
        <f t="shared" si="7"/>
        <v>129707.52647830719</v>
      </c>
      <c r="L27" s="1155">
        <f t="shared" si="7"/>
        <v>132301.67700787334</v>
      </c>
    </row>
    <row r="28" spans="1:12" x14ac:dyDescent="0.2">
      <c r="A28" s="1138" t="s">
        <v>704</v>
      </c>
      <c r="B28" s="1155">
        <f t="shared" si="6"/>
        <v>45000</v>
      </c>
      <c r="C28" s="1155">
        <f t="shared" ref="C28:L28" si="8">C17*(1+$N$4)</f>
        <v>110704.12492012161</v>
      </c>
      <c r="D28" s="1155">
        <f t="shared" si="8"/>
        <v>112918.20741852405</v>
      </c>
      <c r="E28" s="1155">
        <f t="shared" si="8"/>
        <v>115176.57156689452</v>
      </c>
      <c r="F28" s="1155">
        <f t="shared" si="8"/>
        <v>117480.10299823241</v>
      </c>
      <c r="G28" s="1155">
        <f t="shared" si="8"/>
        <v>119829.70505819707</v>
      </c>
      <c r="H28" s="1155">
        <f t="shared" si="8"/>
        <v>122226.29915936102</v>
      </c>
      <c r="I28" s="1155">
        <f t="shared" si="8"/>
        <v>124670.82514254823</v>
      </c>
      <c r="J28" s="1155">
        <f t="shared" si="8"/>
        <v>127164.2416453992</v>
      </c>
      <c r="K28" s="1155">
        <f t="shared" si="8"/>
        <v>129707.52647830719</v>
      </c>
      <c r="L28" s="1155">
        <f t="shared" si="8"/>
        <v>132301.67700787334</v>
      </c>
    </row>
    <row r="29" spans="1:12" x14ac:dyDescent="0.2">
      <c r="A29" s="1111" t="s">
        <v>691</v>
      </c>
      <c r="B29" s="1155">
        <f t="shared" si="6"/>
        <v>0</v>
      </c>
      <c r="C29" s="1155">
        <f t="shared" ref="C29:L29" si="9">C18*(1+$N$4)</f>
        <v>0</v>
      </c>
      <c r="D29" s="1155">
        <f t="shared" si="9"/>
        <v>0</v>
      </c>
      <c r="E29" s="1155">
        <f t="shared" si="9"/>
        <v>61502.291622289784</v>
      </c>
      <c r="F29" s="1155">
        <f t="shared" si="9"/>
        <v>62732.337454735578</v>
      </c>
      <c r="G29" s="1155">
        <f t="shared" si="9"/>
        <v>63986.984203830289</v>
      </c>
      <c r="H29" s="1155">
        <f t="shared" si="9"/>
        <v>65266.723887906897</v>
      </c>
      <c r="I29" s="1155">
        <f t="shared" si="9"/>
        <v>66572.058365665041</v>
      </c>
      <c r="J29" s="1155">
        <f t="shared" si="9"/>
        <v>67903.499532978341</v>
      </c>
      <c r="K29" s="1155">
        <f t="shared" si="9"/>
        <v>69261.569523637911</v>
      </c>
      <c r="L29" s="1155">
        <f t="shared" si="9"/>
        <v>70646.80091411066</v>
      </c>
    </row>
    <row r="30" spans="1:12" x14ac:dyDescent="0.2">
      <c r="A30" s="1111" t="s">
        <v>692</v>
      </c>
      <c r="B30" s="1155">
        <f t="shared" si="6"/>
        <v>0</v>
      </c>
      <c r="C30" s="1155">
        <f t="shared" ref="C30:L30" si="10">C19*(1+$N$4)</f>
        <v>0</v>
      </c>
      <c r="D30" s="1155">
        <f t="shared" si="10"/>
        <v>73802.749946747746</v>
      </c>
      <c r="E30" s="1155">
        <f t="shared" si="10"/>
        <v>75278.804945682699</v>
      </c>
      <c r="F30" s="1155">
        <f t="shared" si="10"/>
        <v>76784.381044596346</v>
      </c>
      <c r="G30" s="1155">
        <f t="shared" si="10"/>
        <v>78320.068665488274</v>
      </c>
      <c r="H30" s="1155">
        <f t="shared" si="10"/>
        <v>79886.470038798041</v>
      </c>
      <c r="I30" s="1155">
        <f t="shared" si="10"/>
        <v>81484.199439574004</v>
      </c>
      <c r="J30" s="1155">
        <f t="shared" si="10"/>
        <v>83113.883428365487</v>
      </c>
      <c r="K30" s="1155">
        <f t="shared" si="10"/>
        <v>84776.161096932803</v>
      </c>
      <c r="L30" s="1155">
        <f t="shared" si="10"/>
        <v>86471.68431887147</v>
      </c>
    </row>
    <row r="31" spans="1:12" x14ac:dyDescent="0.2">
      <c r="A31" s="1111" t="s">
        <v>693</v>
      </c>
      <c r="B31" s="1155"/>
      <c r="C31" s="1155">
        <f t="shared" ref="C31:L31" si="11">C20*(1+$N$4)</f>
        <v>49201.833297831829</v>
      </c>
      <c r="D31" s="1155">
        <f t="shared" si="11"/>
        <v>50185.869963788464</v>
      </c>
      <c r="E31" s="1155">
        <f t="shared" si="11"/>
        <v>51189.587363064231</v>
      </c>
      <c r="F31" s="1155">
        <f t="shared" si="11"/>
        <v>52213.379110325521</v>
      </c>
      <c r="G31" s="1155">
        <f t="shared" si="11"/>
        <v>53257.646692532027</v>
      </c>
      <c r="H31" s="1155">
        <f t="shared" si="11"/>
        <v>54322.799626382664</v>
      </c>
      <c r="I31" s="1155">
        <f t="shared" si="11"/>
        <v>55409.25561891032</v>
      </c>
      <c r="J31" s="1155">
        <f t="shared" si="11"/>
        <v>56517.440731288531</v>
      </c>
      <c r="K31" s="1155">
        <f t="shared" si="11"/>
        <v>57647.789545914296</v>
      </c>
      <c r="L31" s="1155">
        <f t="shared" si="11"/>
        <v>58800.745336832581</v>
      </c>
    </row>
    <row r="32" spans="1:12" x14ac:dyDescent="0.2">
      <c r="A32" s="1111" t="s">
        <v>694</v>
      </c>
      <c r="B32" s="1155">
        <f t="shared" si="6"/>
        <v>0</v>
      </c>
      <c r="C32" s="1155">
        <f t="shared" ref="C32:L32" si="12">C21*(1+$N$4)</f>
        <v>0</v>
      </c>
      <c r="D32" s="1155">
        <f t="shared" si="12"/>
        <v>61502.291622289784</v>
      </c>
      <c r="E32" s="1155">
        <f t="shared" si="12"/>
        <v>62732.337454735578</v>
      </c>
      <c r="F32" s="1155">
        <f t="shared" si="12"/>
        <v>63986.984203830289</v>
      </c>
      <c r="G32" s="1155">
        <f t="shared" si="12"/>
        <v>65266.723887906897</v>
      </c>
      <c r="H32" s="1155">
        <f t="shared" si="12"/>
        <v>66572.058365665041</v>
      </c>
      <c r="I32" s="1155">
        <f t="shared" si="12"/>
        <v>67903.499532978341</v>
      </c>
      <c r="J32" s="1155">
        <f t="shared" si="12"/>
        <v>69261.569523637911</v>
      </c>
      <c r="K32" s="1155">
        <f t="shared" si="12"/>
        <v>70646.80091411066</v>
      </c>
      <c r="L32" s="1155">
        <f t="shared" si="12"/>
        <v>72059.736932392887</v>
      </c>
    </row>
    <row r="33" spans="1:13" x14ac:dyDescent="0.2">
      <c r="A33" s="1111" t="s">
        <v>695</v>
      </c>
      <c r="B33" s="1155">
        <f t="shared" si="6"/>
        <v>0</v>
      </c>
      <c r="C33" s="1155">
        <f t="shared" ref="C33:L33" si="13">C22*(1+$N$4)</f>
        <v>0</v>
      </c>
      <c r="D33" s="1155">
        <f t="shared" si="13"/>
        <v>0</v>
      </c>
      <c r="E33" s="1155">
        <f t="shared" si="13"/>
        <v>61502.291622289784</v>
      </c>
      <c r="F33" s="1155">
        <f t="shared" si="13"/>
        <v>62732.337454735578</v>
      </c>
      <c r="G33" s="1155">
        <f t="shared" si="13"/>
        <v>63986.984203830289</v>
      </c>
      <c r="H33" s="1155">
        <f t="shared" si="13"/>
        <v>65266.723887906897</v>
      </c>
      <c r="I33" s="1155">
        <f t="shared" si="13"/>
        <v>66572.058365665041</v>
      </c>
      <c r="J33" s="1155">
        <f t="shared" si="13"/>
        <v>67903.499532978341</v>
      </c>
      <c r="K33" s="1155">
        <f t="shared" si="13"/>
        <v>69261.569523637911</v>
      </c>
      <c r="L33" s="1155">
        <f t="shared" si="13"/>
        <v>70646.80091411066</v>
      </c>
      <c r="M33" s="1104"/>
    </row>
    <row r="34" spans="1:13" x14ac:dyDescent="0.2">
      <c r="A34" s="1117" t="s">
        <v>595</v>
      </c>
      <c r="B34" s="1119">
        <f>SUM(B26:B33)</f>
        <v>152500</v>
      </c>
      <c r="C34" s="1156">
        <f t="shared" ref="C34:L34" si="14">SUM(C26:C33)</f>
        <v>424365.81219379953</v>
      </c>
      <c r="D34" s="1156">
        <f t="shared" si="14"/>
        <v>568158.17000671313</v>
      </c>
      <c r="E34" s="1156">
        <f t="shared" si="14"/>
        <v>702525.91665142693</v>
      </c>
      <c r="F34" s="1156">
        <f t="shared" si="14"/>
        <v>716576.43498445523</v>
      </c>
      <c r="G34" s="1156">
        <f t="shared" si="14"/>
        <v>730907.96368414443</v>
      </c>
      <c r="H34" s="1156">
        <f t="shared" si="14"/>
        <v>745526.12295782741</v>
      </c>
      <c r="I34" s="1156">
        <f t="shared" si="14"/>
        <v>760436.64541698399</v>
      </c>
      <c r="J34" s="1156">
        <f t="shared" si="14"/>
        <v>775645.37832532357</v>
      </c>
      <c r="K34" s="1156">
        <f t="shared" si="14"/>
        <v>791158.28589183011</v>
      </c>
      <c r="L34" s="1156">
        <f t="shared" si="14"/>
        <v>806981.45160966681</v>
      </c>
      <c r="M34" s="1118"/>
    </row>
    <row r="35" spans="1:13" x14ac:dyDescent="0.2">
      <c r="A35" s="1113"/>
      <c r="B35" s="1104"/>
      <c r="C35" s="1104"/>
      <c r="D35" s="1104"/>
      <c r="E35" s="1104"/>
      <c r="F35" s="1104"/>
      <c r="G35" s="1104"/>
      <c r="H35" s="1104"/>
      <c r="I35" s="1104"/>
      <c r="J35" s="1104"/>
      <c r="K35" s="1104"/>
      <c r="L35" s="1104"/>
      <c r="M35" s="1104"/>
    </row>
    <row r="36" spans="1:13" x14ac:dyDescent="0.2">
      <c r="A36" s="1142" t="s">
        <v>705</v>
      </c>
      <c r="B36" s="1119"/>
      <c r="C36" s="1160">
        <f>(1/3)*(C26+C28)</f>
        <v>88153.284658615361</v>
      </c>
      <c r="D36" s="1160">
        <f t="shared" ref="D36:E36" si="15">(1/3)*(D26+D28)</f>
        <v>89916.350351787667</v>
      </c>
      <c r="E36" s="1160">
        <f t="shared" si="15"/>
        <v>91714.677358823421</v>
      </c>
      <c r="F36" s="1119"/>
      <c r="G36" s="1119"/>
      <c r="H36" s="1119"/>
      <c r="I36" s="1119"/>
      <c r="J36" s="1119"/>
      <c r="K36" s="1119"/>
      <c r="L36" s="1119"/>
      <c r="M36" s="1140" t="s">
        <v>711</v>
      </c>
    </row>
    <row r="37" spans="1:13" x14ac:dyDescent="0.2">
      <c r="A37" s="1113"/>
      <c r="B37" s="1104"/>
      <c r="C37" s="1104"/>
      <c r="D37" s="1104"/>
      <c r="E37" s="1104"/>
      <c r="F37" s="1104"/>
      <c r="G37" s="1104"/>
      <c r="H37" s="1104"/>
      <c r="I37" s="1104"/>
      <c r="J37" s="1104"/>
      <c r="K37" s="1104"/>
      <c r="L37" s="1104"/>
      <c r="M37" s="1104"/>
    </row>
    <row r="38" spans="1:13" x14ac:dyDescent="0.2">
      <c r="A38" s="1138" t="s">
        <v>706</v>
      </c>
      <c r="B38" s="1104"/>
      <c r="C38" s="1115">
        <f>C71</f>
        <v>330</v>
      </c>
      <c r="D38" s="1158">
        <f t="shared" ref="D38:L38" si="16">D71</f>
        <v>495</v>
      </c>
      <c r="E38" s="1158">
        <f t="shared" si="16"/>
        <v>660</v>
      </c>
      <c r="F38" s="1158">
        <f t="shared" si="16"/>
        <v>825</v>
      </c>
      <c r="G38" s="1158">
        <f t="shared" si="16"/>
        <v>825</v>
      </c>
      <c r="H38" s="1158">
        <f t="shared" si="16"/>
        <v>825</v>
      </c>
      <c r="I38" s="1158">
        <f t="shared" si="16"/>
        <v>825</v>
      </c>
      <c r="J38" s="1158">
        <f t="shared" si="16"/>
        <v>825</v>
      </c>
      <c r="K38" s="1158">
        <f t="shared" si="16"/>
        <v>825</v>
      </c>
      <c r="L38" s="1158">
        <f t="shared" si="16"/>
        <v>825</v>
      </c>
      <c r="M38" s="1104"/>
    </row>
    <row r="39" spans="1:13" x14ac:dyDescent="0.2">
      <c r="A39" s="1138" t="s">
        <v>707</v>
      </c>
      <c r="B39" s="1108"/>
      <c r="C39" s="1115">
        <f>C34/C71</f>
        <v>1285.9570066478773</v>
      </c>
      <c r="D39" s="1158">
        <f t="shared" ref="D39:L39" si="17">D34/D71</f>
        <v>1147.7942828418447</v>
      </c>
      <c r="E39" s="1158">
        <f t="shared" si="17"/>
        <v>1064.4332070476166</v>
      </c>
      <c r="F39" s="1158">
        <f t="shared" si="17"/>
        <v>868.57749695085488</v>
      </c>
      <c r="G39" s="1158">
        <f t="shared" si="17"/>
        <v>885.94904688987208</v>
      </c>
      <c r="H39" s="1158">
        <f t="shared" si="17"/>
        <v>903.66802782766956</v>
      </c>
      <c r="I39" s="1158">
        <f t="shared" si="17"/>
        <v>921.741388384223</v>
      </c>
      <c r="J39" s="1158">
        <f t="shared" si="17"/>
        <v>940.1762161519074</v>
      </c>
      <c r="K39" s="1158">
        <f t="shared" si="17"/>
        <v>958.97974047494563</v>
      </c>
      <c r="L39" s="1158">
        <f t="shared" si="17"/>
        <v>978.15933528444464</v>
      </c>
      <c r="M39" s="1104"/>
    </row>
    <row r="40" spans="1:13" x14ac:dyDescent="0.2">
      <c r="A40" s="1139" t="s">
        <v>708</v>
      </c>
      <c r="B40" s="1116"/>
      <c r="C40" s="1116">
        <f>C39*C71</f>
        <v>424365.81219379953</v>
      </c>
      <c r="D40" s="1159">
        <f t="shared" ref="D40:L40" si="18">D39*D71</f>
        <v>568158.17000671313</v>
      </c>
      <c r="E40" s="1159">
        <f t="shared" si="18"/>
        <v>702525.91665142693</v>
      </c>
      <c r="F40" s="1159">
        <f t="shared" si="18"/>
        <v>716576.43498445523</v>
      </c>
      <c r="G40" s="1159">
        <f t="shared" si="18"/>
        <v>730907.96368414443</v>
      </c>
      <c r="H40" s="1159">
        <f t="shared" si="18"/>
        <v>745526.12295782741</v>
      </c>
      <c r="I40" s="1159">
        <f t="shared" si="18"/>
        <v>760436.64541698399</v>
      </c>
      <c r="J40" s="1159">
        <f t="shared" si="18"/>
        <v>775645.37832532357</v>
      </c>
      <c r="K40" s="1159">
        <f t="shared" si="18"/>
        <v>791158.28589183011</v>
      </c>
      <c r="L40" s="1159">
        <f t="shared" si="18"/>
        <v>806981.45160966681</v>
      </c>
      <c r="M40" s="1104"/>
    </row>
    <row r="41" spans="1:13" x14ac:dyDescent="0.2">
      <c r="A41" s="1108"/>
      <c r="B41" s="1104"/>
      <c r="C41" s="1104"/>
      <c r="D41" s="1104"/>
      <c r="E41" s="1104"/>
      <c r="F41" s="1104"/>
      <c r="G41" s="1104"/>
      <c r="H41" s="1104"/>
      <c r="I41" s="1104"/>
      <c r="J41" s="1104"/>
      <c r="K41" s="1104"/>
      <c r="L41" s="1104"/>
      <c r="M41" s="1104"/>
    </row>
    <row r="42" spans="1:13" x14ac:dyDescent="0.2">
      <c r="A42" s="1141" t="s">
        <v>709</v>
      </c>
      <c r="B42" s="1110">
        <v>2016</v>
      </c>
      <c r="C42" s="1110">
        <v>2017</v>
      </c>
      <c r="D42" s="1110">
        <v>2018</v>
      </c>
      <c r="E42" s="1110">
        <v>2019</v>
      </c>
      <c r="F42" s="1110">
        <v>2020</v>
      </c>
      <c r="G42" s="1110">
        <v>2021</v>
      </c>
      <c r="H42" s="1110">
        <v>2022</v>
      </c>
      <c r="I42" s="1110">
        <v>2023</v>
      </c>
      <c r="J42" s="1110">
        <v>2024</v>
      </c>
      <c r="K42" s="1110">
        <v>2025</v>
      </c>
      <c r="L42" s="1110">
        <v>2026</v>
      </c>
      <c r="M42" s="1104"/>
    </row>
    <row r="43" spans="1:13" x14ac:dyDescent="0.2">
      <c r="A43" s="1109" t="s">
        <v>599</v>
      </c>
      <c r="B43" s="1133">
        <f>$B$34/2</f>
        <v>76250</v>
      </c>
      <c r="C43" s="1115">
        <f>C$39*C66-(C$36/2)</f>
        <v>168106.26376759209</v>
      </c>
      <c r="D43" s="1158">
        <f t="shared" ref="D43:L43" si="19">D$39*D66-(D$36/2)</f>
        <v>144427.88149301056</v>
      </c>
      <c r="E43" s="1158">
        <f t="shared" si="19"/>
        <v>129774.14048344502</v>
      </c>
      <c r="F43" s="1158">
        <f t="shared" si="19"/>
        <v>143315.28699689105</v>
      </c>
      <c r="G43" s="1158">
        <f t="shared" si="19"/>
        <v>146181.5927368289</v>
      </c>
      <c r="H43" s="1158">
        <f t="shared" si="19"/>
        <v>149105.22459156546</v>
      </c>
      <c r="I43" s="1158">
        <f t="shared" si="19"/>
        <v>152087.32908339679</v>
      </c>
      <c r="J43" s="1158">
        <f t="shared" si="19"/>
        <v>155129.07566506471</v>
      </c>
      <c r="K43" s="1158">
        <f t="shared" si="19"/>
        <v>158231.65717836603</v>
      </c>
      <c r="L43" s="1158">
        <f t="shared" si="19"/>
        <v>161396.29032193337</v>
      </c>
      <c r="M43" s="1104"/>
    </row>
    <row r="44" spans="1:13" x14ac:dyDescent="0.2">
      <c r="A44" s="1109" t="s">
        <v>697</v>
      </c>
      <c r="B44" s="1133">
        <f>$B$34/2</f>
        <v>76250</v>
      </c>
      <c r="C44" s="1115">
        <f>C$39*C67-(C$36/2)</f>
        <v>168106.26376759209</v>
      </c>
      <c r="D44" s="1158">
        <f t="shared" ref="D44:L44" si="20">D$39*D67-(D$36/2)</f>
        <v>144427.88149301056</v>
      </c>
      <c r="E44" s="1158">
        <f t="shared" si="20"/>
        <v>129774.14048344502</v>
      </c>
      <c r="F44" s="1158">
        <f t="shared" si="20"/>
        <v>143315.28699689105</v>
      </c>
      <c r="G44" s="1158">
        <f t="shared" si="20"/>
        <v>146181.5927368289</v>
      </c>
      <c r="H44" s="1158">
        <f t="shared" si="20"/>
        <v>149105.22459156546</v>
      </c>
      <c r="I44" s="1158">
        <f t="shared" si="20"/>
        <v>152087.32908339679</v>
      </c>
      <c r="J44" s="1158">
        <f t="shared" si="20"/>
        <v>155129.07566506471</v>
      </c>
      <c r="K44" s="1158">
        <f t="shared" si="20"/>
        <v>158231.65717836603</v>
      </c>
      <c r="L44" s="1158">
        <f t="shared" si="20"/>
        <v>161396.29032193337</v>
      </c>
      <c r="M44" s="1104"/>
    </row>
    <row r="45" spans="1:13" x14ac:dyDescent="0.2">
      <c r="A45" s="1109" t="s">
        <v>600</v>
      </c>
      <c r="B45" s="1115"/>
      <c r="C45" s="1133">
        <f>C36</f>
        <v>88153.284658615361</v>
      </c>
      <c r="D45" s="1115">
        <f>D$39*D68-(D$36/3)</f>
        <v>159413.93988497515</v>
      </c>
      <c r="E45" s="1158">
        <f t="shared" ref="E45:L45" si="21">E$39*E68-(E$36/3)</f>
        <v>145059.92004324892</v>
      </c>
      <c r="F45" s="1158">
        <f t="shared" si="21"/>
        <v>143315.28699689105</v>
      </c>
      <c r="G45" s="1158">
        <f t="shared" si="21"/>
        <v>146181.5927368289</v>
      </c>
      <c r="H45" s="1158">
        <f t="shared" si="21"/>
        <v>149105.22459156546</v>
      </c>
      <c r="I45" s="1158">
        <f t="shared" si="21"/>
        <v>152087.32908339679</v>
      </c>
      <c r="J45" s="1158">
        <f t="shared" si="21"/>
        <v>155129.07566506471</v>
      </c>
      <c r="K45" s="1158">
        <f t="shared" si="21"/>
        <v>158231.65717836603</v>
      </c>
      <c r="L45" s="1158">
        <f t="shared" si="21"/>
        <v>161396.29032193337</v>
      </c>
      <c r="M45" s="1104"/>
    </row>
    <row r="46" spans="1:13" x14ac:dyDescent="0.2">
      <c r="A46" s="1109" t="s">
        <v>601</v>
      </c>
      <c r="B46" s="1115"/>
      <c r="C46" s="1115">
        <v>0</v>
      </c>
      <c r="D46" s="1163">
        <f>D36</f>
        <v>89916.350351787667</v>
      </c>
      <c r="E46" s="1115">
        <f>E$39*E69-(E$36/4)</f>
        <v>152702.80982315086</v>
      </c>
      <c r="F46" s="1158">
        <f t="shared" ref="F46:L46" si="22">F$39*F69-(F$36/4)</f>
        <v>143315.28699689105</v>
      </c>
      <c r="G46" s="1158">
        <f t="shared" si="22"/>
        <v>146181.5927368289</v>
      </c>
      <c r="H46" s="1158">
        <f t="shared" si="22"/>
        <v>149105.22459156546</v>
      </c>
      <c r="I46" s="1158">
        <f t="shared" si="22"/>
        <v>152087.32908339679</v>
      </c>
      <c r="J46" s="1158">
        <f t="shared" si="22"/>
        <v>155129.07566506471</v>
      </c>
      <c r="K46" s="1158">
        <f t="shared" si="22"/>
        <v>158231.65717836603</v>
      </c>
      <c r="L46" s="1158">
        <f t="shared" si="22"/>
        <v>161396.29032193337</v>
      </c>
      <c r="M46" s="1104"/>
    </row>
    <row r="47" spans="1:13" x14ac:dyDescent="0.2">
      <c r="A47" s="1109" t="s">
        <v>602</v>
      </c>
      <c r="B47" s="1108"/>
      <c r="C47" s="1115">
        <v>0</v>
      </c>
      <c r="D47" s="1115">
        <v>0</v>
      </c>
      <c r="E47" s="1163">
        <f>E36</f>
        <v>91714.677358823421</v>
      </c>
      <c r="F47" s="1158">
        <f t="shared" ref="F47:L47" si="23">F$39*F70-(F$36/4)</f>
        <v>143315.28699689105</v>
      </c>
      <c r="G47" s="1158">
        <f t="shared" si="23"/>
        <v>146181.5927368289</v>
      </c>
      <c r="H47" s="1158">
        <f t="shared" si="23"/>
        <v>149105.22459156546</v>
      </c>
      <c r="I47" s="1158">
        <f t="shared" si="23"/>
        <v>152087.32908339679</v>
      </c>
      <c r="J47" s="1158">
        <f t="shared" si="23"/>
        <v>155129.07566506471</v>
      </c>
      <c r="K47" s="1158">
        <f t="shared" si="23"/>
        <v>158231.65717836603</v>
      </c>
      <c r="L47" s="1158">
        <f t="shared" si="23"/>
        <v>161396.29032193337</v>
      </c>
      <c r="M47" s="1104"/>
    </row>
    <row r="48" spans="1:13" x14ac:dyDescent="0.2">
      <c r="A48" s="1121" t="s">
        <v>698</v>
      </c>
      <c r="B48" s="1122">
        <v>0</v>
      </c>
      <c r="C48" s="1122">
        <v>0</v>
      </c>
      <c r="D48" s="1122">
        <v>0</v>
      </c>
      <c r="E48" s="1122">
        <v>0</v>
      </c>
      <c r="F48" s="1122">
        <v>0</v>
      </c>
      <c r="G48" s="1122">
        <v>0</v>
      </c>
      <c r="H48" s="1122">
        <v>0</v>
      </c>
      <c r="I48" s="1122">
        <v>0</v>
      </c>
      <c r="J48" s="1122">
        <v>0</v>
      </c>
      <c r="K48" s="1122">
        <v>0</v>
      </c>
      <c r="L48" s="1122">
        <v>0</v>
      </c>
      <c r="M48" s="1104"/>
    </row>
    <row r="49" spans="1:14" x14ac:dyDescent="0.2">
      <c r="A49" s="1108"/>
      <c r="B49" s="1104"/>
      <c r="C49" s="1104"/>
      <c r="D49" s="1104"/>
      <c r="E49" s="1104"/>
      <c r="F49" s="1104"/>
      <c r="G49" s="1104"/>
      <c r="H49" s="1104"/>
      <c r="I49" s="1104"/>
      <c r="J49" s="1104"/>
      <c r="K49" s="1104"/>
      <c r="L49" s="1104"/>
      <c r="M49" s="1104"/>
      <c r="N49" s="1104"/>
    </row>
    <row r="50" spans="1:14" x14ac:dyDescent="0.2">
      <c r="A50" s="1141" t="s">
        <v>710</v>
      </c>
      <c r="B50" s="1110">
        <v>2016</v>
      </c>
      <c r="C50" s="1110">
        <v>2017</v>
      </c>
      <c r="D50" s="1110">
        <v>2018</v>
      </c>
      <c r="E50" s="1110">
        <v>2019</v>
      </c>
      <c r="F50" s="1110">
        <v>2020</v>
      </c>
      <c r="G50" s="1110">
        <v>2021</v>
      </c>
      <c r="H50" s="1110">
        <v>2022</v>
      </c>
      <c r="I50" s="1110">
        <v>2023</v>
      </c>
      <c r="J50" s="1110">
        <v>2024</v>
      </c>
      <c r="K50" s="1110">
        <v>2025</v>
      </c>
      <c r="L50" s="1110">
        <v>2026</v>
      </c>
      <c r="M50" s="1104"/>
      <c r="N50" s="1104"/>
    </row>
    <row r="51" spans="1:14" x14ac:dyDescent="0.2">
      <c r="A51" s="1115" t="s">
        <v>230</v>
      </c>
      <c r="B51" s="1115"/>
      <c r="C51" s="1115">
        <v>8125</v>
      </c>
      <c r="D51" s="1115">
        <v>13487.5</v>
      </c>
      <c r="E51" s="1115">
        <v>19500</v>
      </c>
      <c r="F51" s="1115">
        <v>24862.5</v>
      </c>
      <c r="G51" s="1115">
        <v>26162.5</v>
      </c>
      <c r="H51" s="1115">
        <v>26812.5</v>
      </c>
      <c r="I51" s="1115">
        <v>26812.5</v>
      </c>
      <c r="J51" s="1115">
        <v>26812.5</v>
      </c>
      <c r="K51" s="1115">
        <v>26812.5</v>
      </c>
      <c r="L51" s="1115">
        <v>26812.5</v>
      </c>
      <c r="M51" s="1104"/>
      <c r="N51" s="1104"/>
    </row>
    <row r="52" spans="1:14" x14ac:dyDescent="0.2">
      <c r="A52" s="1115" t="s">
        <v>232</v>
      </c>
      <c r="B52" s="1115"/>
      <c r="C52" s="1115">
        <v>8125</v>
      </c>
      <c r="D52" s="1115">
        <v>13487.5</v>
      </c>
      <c r="E52" s="1115">
        <v>19500</v>
      </c>
      <c r="F52" s="1115">
        <v>24862.5</v>
      </c>
      <c r="G52" s="1115">
        <v>26162.5</v>
      </c>
      <c r="H52" s="1115">
        <v>26812.5</v>
      </c>
      <c r="I52" s="1115">
        <v>26812.5</v>
      </c>
      <c r="J52" s="1115">
        <v>26812.5</v>
      </c>
      <c r="K52" s="1115">
        <v>26812.5</v>
      </c>
      <c r="L52" s="1115">
        <v>26812.5</v>
      </c>
      <c r="M52" s="1104"/>
      <c r="N52" s="1104"/>
    </row>
    <row r="53" spans="1:14" x14ac:dyDescent="0.2">
      <c r="A53" s="1115" t="s">
        <v>22</v>
      </c>
      <c r="B53" s="1115"/>
      <c r="C53" s="1115">
        <v>17500</v>
      </c>
      <c r="D53" s="1115">
        <v>29050</v>
      </c>
      <c r="E53" s="1115">
        <v>42000</v>
      </c>
      <c r="F53" s="1115">
        <v>53550</v>
      </c>
      <c r="G53" s="1115">
        <v>56350</v>
      </c>
      <c r="H53" s="1115">
        <v>57750</v>
      </c>
      <c r="I53" s="1115">
        <v>57750</v>
      </c>
      <c r="J53" s="1115">
        <v>57750</v>
      </c>
      <c r="K53" s="1115">
        <v>57750</v>
      </c>
      <c r="L53" s="1115">
        <v>57750</v>
      </c>
      <c r="M53" s="1104"/>
      <c r="N53" s="1104"/>
    </row>
    <row r="54" spans="1:14" x14ac:dyDescent="0.2">
      <c r="A54" s="1115"/>
      <c r="B54" s="1115"/>
      <c r="C54" s="1115"/>
      <c r="D54" s="1115"/>
      <c r="E54" s="1115"/>
      <c r="F54" s="1115"/>
      <c r="G54" s="1115"/>
      <c r="H54" s="1115"/>
      <c r="I54" s="1115"/>
      <c r="J54" s="1115"/>
      <c r="K54" s="1115"/>
      <c r="L54" s="1115"/>
      <c r="M54" s="1104"/>
      <c r="N54" s="1104"/>
    </row>
    <row r="55" spans="1:14" x14ac:dyDescent="0.2">
      <c r="A55" s="1141" t="s">
        <v>712</v>
      </c>
      <c r="B55" s="1104"/>
      <c r="C55" s="1104"/>
      <c r="D55" s="1104"/>
      <c r="E55" s="1104"/>
      <c r="F55" s="1104"/>
      <c r="G55" s="1104"/>
      <c r="H55" s="1104"/>
      <c r="I55" s="1104"/>
      <c r="J55" s="1104"/>
      <c r="K55" s="1104"/>
      <c r="L55" s="1104"/>
      <c r="M55" s="1104"/>
      <c r="N55" s="1104"/>
    </row>
    <row r="56" spans="1:14" x14ac:dyDescent="0.2">
      <c r="A56" s="1115" t="s">
        <v>230</v>
      </c>
      <c r="B56" s="1104"/>
      <c r="C56" s="1115">
        <v>32.5</v>
      </c>
      <c r="D56" s="1115">
        <v>32.5</v>
      </c>
      <c r="E56" s="1115">
        <v>32.5</v>
      </c>
      <c r="F56" s="1115">
        <v>32.5</v>
      </c>
      <c r="G56" s="1115">
        <v>32.5</v>
      </c>
      <c r="H56" s="1115">
        <v>32.5</v>
      </c>
      <c r="I56" s="1115">
        <v>32.5</v>
      </c>
      <c r="J56" s="1115">
        <v>32.5</v>
      </c>
      <c r="K56" s="1115">
        <v>32.5</v>
      </c>
      <c r="L56" s="1115">
        <v>32.5</v>
      </c>
      <c r="M56" s="1104"/>
      <c r="N56" s="1104"/>
    </row>
    <row r="57" spans="1:14" x14ac:dyDescent="0.2">
      <c r="A57" s="1115" t="s">
        <v>232</v>
      </c>
      <c r="B57" s="1104"/>
      <c r="C57" s="1115">
        <v>32.5</v>
      </c>
      <c r="D57" s="1115">
        <v>32.5</v>
      </c>
      <c r="E57" s="1115">
        <v>32.5</v>
      </c>
      <c r="F57" s="1115">
        <v>32.5</v>
      </c>
      <c r="G57" s="1115">
        <v>32.5</v>
      </c>
      <c r="H57" s="1115">
        <v>32.5</v>
      </c>
      <c r="I57" s="1115">
        <v>32.5</v>
      </c>
      <c r="J57" s="1115">
        <v>32.5</v>
      </c>
      <c r="K57" s="1115">
        <v>32.5</v>
      </c>
      <c r="L57" s="1115">
        <v>32.5</v>
      </c>
      <c r="M57" s="1104"/>
      <c r="N57" s="1104"/>
    </row>
    <row r="58" spans="1:14" x14ac:dyDescent="0.2">
      <c r="A58" s="1115" t="s">
        <v>22</v>
      </c>
      <c r="B58" s="1104"/>
      <c r="C58" s="1115">
        <v>70</v>
      </c>
      <c r="D58" s="1115">
        <v>70</v>
      </c>
      <c r="E58" s="1115">
        <v>70</v>
      </c>
      <c r="F58" s="1115">
        <v>70</v>
      </c>
      <c r="G58" s="1115">
        <v>70</v>
      </c>
      <c r="H58" s="1115">
        <v>70</v>
      </c>
      <c r="I58" s="1115">
        <v>70</v>
      </c>
      <c r="J58" s="1115">
        <v>70</v>
      </c>
      <c r="K58" s="1115">
        <v>70</v>
      </c>
      <c r="L58" s="1115">
        <v>70</v>
      </c>
      <c r="M58" s="1104"/>
      <c r="N58" s="1104"/>
    </row>
    <row r="60" spans="1:14" x14ac:dyDescent="0.2">
      <c r="A60" s="1141" t="s">
        <v>713</v>
      </c>
      <c r="B60" s="1104"/>
      <c r="C60" s="1115"/>
      <c r="D60" s="1115"/>
      <c r="E60" s="1115"/>
      <c r="F60" s="1115"/>
      <c r="G60" s="1115"/>
      <c r="H60" s="1115"/>
      <c r="I60" s="1115"/>
      <c r="J60" s="1115"/>
      <c r="K60" s="1115"/>
      <c r="L60" s="1115"/>
      <c r="M60" s="1115"/>
      <c r="N60" s="1115"/>
    </row>
    <row r="61" spans="1:14" x14ac:dyDescent="0.2">
      <c r="A61" s="1115" t="s">
        <v>230</v>
      </c>
      <c r="B61" s="1104"/>
      <c r="C61" s="1115">
        <v>0</v>
      </c>
      <c r="D61" s="1115">
        <f>C56*C$71</f>
        <v>10725</v>
      </c>
      <c r="E61" s="1158">
        <f t="shared" ref="E61:L61" si="24">D56*D$71</f>
        <v>16087.5</v>
      </c>
      <c r="F61" s="1158">
        <f t="shared" si="24"/>
        <v>21450</v>
      </c>
      <c r="G61" s="1158">
        <f t="shared" si="24"/>
        <v>26812.5</v>
      </c>
      <c r="H61" s="1158">
        <f t="shared" si="24"/>
        <v>26812.5</v>
      </c>
      <c r="I61" s="1158">
        <f t="shared" si="24"/>
        <v>26812.5</v>
      </c>
      <c r="J61" s="1158">
        <f t="shared" si="24"/>
        <v>26812.5</v>
      </c>
      <c r="K61" s="1158">
        <f t="shared" si="24"/>
        <v>26812.5</v>
      </c>
      <c r="L61" s="1158">
        <f t="shared" si="24"/>
        <v>26812.5</v>
      </c>
      <c r="M61" s="1115"/>
      <c r="N61" s="1115"/>
    </row>
    <row r="62" spans="1:14" x14ac:dyDescent="0.2">
      <c r="A62" s="1115" t="s">
        <v>232</v>
      </c>
      <c r="B62" s="1104"/>
      <c r="C62" s="1115">
        <v>0</v>
      </c>
      <c r="D62" s="1158">
        <f t="shared" ref="D62:L63" si="25">C57*C$71</f>
        <v>10725</v>
      </c>
      <c r="E62" s="1158">
        <f t="shared" si="25"/>
        <v>16087.5</v>
      </c>
      <c r="F62" s="1158">
        <f t="shared" si="25"/>
        <v>21450</v>
      </c>
      <c r="G62" s="1158">
        <f t="shared" si="25"/>
        <v>26812.5</v>
      </c>
      <c r="H62" s="1158">
        <f t="shared" si="25"/>
        <v>26812.5</v>
      </c>
      <c r="I62" s="1158">
        <f t="shared" si="25"/>
        <v>26812.5</v>
      </c>
      <c r="J62" s="1158">
        <f t="shared" si="25"/>
        <v>26812.5</v>
      </c>
      <c r="K62" s="1158">
        <f t="shared" si="25"/>
        <v>26812.5</v>
      </c>
      <c r="L62" s="1158">
        <f t="shared" si="25"/>
        <v>26812.5</v>
      </c>
      <c r="M62" s="1115"/>
      <c r="N62" s="1115"/>
    </row>
    <row r="63" spans="1:14" x14ac:dyDescent="0.2">
      <c r="A63" s="1115" t="s">
        <v>22</v>
      </c>
      <c r="B63" s="1104"/>
      <c r="C63" s="1115">
        <v>0</v>
      </c>
      <c r="D63" s="1158">
        <f t="shared" si="25"/>
        <v>23100</v>
      </c>
      <c r="E63" s="1158">
        <f t="shared" si="25"/>
        <v>34650</v>
      </c>
      <c r="F63" s="1158">
        <f t="shared" si="25"/>
        <v>46200</v>
      </c>
      <c r="G63" s="1158">
        <f t="shared" si="25"/>
        <v>57750</v>
      </c>
      <c r="H63" s="1158">
        <f t="shared" si="25"/>
        <v>57750</v>
      </c>
      <c r="I63" s="1158">
        <f t="shared" si="25"/>
        <v>57750</v>
      </c>
      <c r="J63" s="1158">
        <f t="shared" si="25"/>
        <v>57750</v>
      </c>
      <c r="K63" s="1158">
        <f t="shared" si="25"/>
        <v>57750</v>
      </c>
      <c r="L63" s="1158">
        <f t="shared" si="25"/>
        <v>57750</v>
      </c>
      <c r="M63" s="1115"/>
      <c r="N63" s="1115"/>
    </row>
    <row r="64" spans="1:14" x14ac:dyDescent="0.2">
      <c r="A64" s="1115"/>
      <c r="B64" s="1104"/>
      <c r="C64" s="1115"/>
      <c r="D64" s="1115"/>
      <c r="E64" s="1115"/>
      <c r="F64" s="1115"/>
      <c r="G64" s="1115"/>
      <c r="H64" s="1115"/>
      <c r="I64" s="1115"/>
      <c r="J64" s="1115"/>
      <c r="K64" s="1115"/>
      <c r="L64" s="1115"/>
      <c r="M64" s="1115"/>
      <c r="N64" s="1115"/>
    </row>
    <row r="65" spans="1:12" x14ac:dyDescent="0.2">
      <c r="A65" s="1116" t="s">
        <v>699</v>
      </c>
      <c r="B65" s="1110">
        <v>2016</v>
      </c>
      <c r="C65" s="1110">
        <v>2017</v>
      </c>
      <c r="D65" s="1110">
        <v>2018</v>
      </c>
      <c r="E65" s="1110">
        <v>2019</v>
      </c>
      <c r="F65" s="1110">
        <v>2020</v>
      </c>
      <c r="G65" s="1110">
        <v>2021</v>
      </c>
      <c r="H65" s="1110">
        <v>2022</v>
      </c>
      <c r="I65" s="1110">
        <v>2023</v>
      </c>
      <c r="J65" s="1110">
        <v>2024</v>
      </c>
      <c r="K65" s="1110">
        <v>2025</v>
      </c>
      <c r="L65" s="1110">
        <v>2026</v>
      </c>
    </row>
    <row r="66" spans="1:12" x14ac:dyDescent="0.2">
      <c r="A66" s="1109" t="s">
        <v>599</v>
      </c>
      <c r="B66" s="1108"/>
      <c r="C66" s="1115">
        <v>165</v>
      </c>
      <c r="D66" s="1115">
        <v>165</v>
      </c>
      <c r="E66" s="1115">
        <v>165</v>
      </c>
      <c r="F66" s="1115">
        <v>165</v>
      </c>
      <c r="G66" s="1115">
        <v>165</v>
      </c>
      <c r="H66" s="1115">
        <v>165</v>
      </c>
      <c r="I66" s="1115">
        <v>165</v>
      </c>
      <c r="J66" s="1115">
        <v>165</v>
      </c>
      <c r="K66" s="1115">
        <v>165</v>
      </c>
      <c r="L66" s="1115">
        <v>165</v>
      </c>
    </row>
    <row r="67" spans="1:12" x14ac:dyDescent="0.2">
      <c r="A67" s="1109" t="s">
        <v>697</v>
      </c>
      <c r="B67" s="1108"/>
      <c r="C67" s="1115">
        <v>165</v>
      </c>
      <c r="D67" s="1115">
        <v>165</v>
      </c>
      <c r="E67" s="1115">
        <v>165</v>
      </c>
      <c r="F67" s="1115">
        <v>165</v>
      </c>
      <c r="G67" s="1115">
        <v>165</v>
      </c>
      <c r="H67" s="1115">
        <v>165</v>
      </c>
      <c r="I67" s="1115">
        <v>165</v>
      </c>
      <c r="J67" s="1115">
        <v>165</v>
      </c>
      <c r="K67" s="1115">
        <v>165</v>
      </c>
      <c r="L67" s="1115">
        <v>165</v>
      </c>
    </row>
    <row r="68" spans="1:12" x14ac:dyDescent="0.2">
      <c r="A68" s="1109" t="s">
        <v>600</v>
      </c>
      <c r="B68" s="1108"/>
      <c r="C68" s="1115"/>
      <c r="D68" s="1115">
        <v>165</v>
      </c>
      <c r="E68" s="1115">
        <v>165</v>
      </c>
      <c r="F68" s="1115">
        <v>165</v>
      </c>
      <c r="G68" s="1115">
        <v>165</v>
      </c>
      <c r="H68" s="1115">
        <v>165</v>
      </c>
      <c r="I68" s="1115">
        <v>165</v>
      </c>
      <c r="J68" s="1115">
        <v>165</v>
      </c>
      <c r="K68" s="1115">
        <v>165</v>
      </c>
      <c r="L68" s="1115">
        <v>165</v>
      </c>
    </row>
    <row r="69" spans="1:12" x14ac:dyDescent="0.2">
      <c r="A69" s="1109" t="s">
        <v>601</v>
      </c>
      <c r="B69" s="1108"/>
      <c r="C69" s="1115"/>
      <c r="D69" s="1115"/>
      <c r="E69" s="1115">
        <v>165</v>
      </c>
      <c r="F69" s="1115">
        <v>165</v>
      </c>
      <c r="G69" s="1115">
        <v>165</v>
      </c>
      <c r="H69" s="1115">
        <v>165</v>
      </c>
      <c r="I69" s="1115">
        <v>165</v>
      </c>
      <c r="J69" s="1115">
        <v>165</v>
      </c>
      <c r="K69" s="1115">
        <v>165</v>
      </c>
      <c r="L69" s="1115">
        <v>165</v>
      </c>
    </row>
    <row r="70" spans="1:12" x14ac:dyDescent="0.2">
      <c r="A70" s="1109" t="s">
        <v>602</v>
      </c>
      <c r="B70" s="1108"/>
      <c r="C70" s="1115"/>
      <c r="D70" s="1115"/>
      <c r="E70" s="1115"/>
      <c r="F70" s="1115">
        <v>165</v>
      </c>
      <c r="G70" s="1115">
        <v>165</v>
      </c>
      <c r="H70" s="1115">
        <v>165</v>
      </c>
      <c r="I70" s="1115">
        <v>165</v>
      </c>
      <c r="J70" s="1115">
        <v>165</v>
      </c>
      <c r="K70" s="1115">
        <v>165</v>
      </c>
      <c r="L70" s="1115">
        <v>165</v>
      </c>
    </row>
    <row r="71" spans="1:12" x14ac:dyDescent="0.2">
      <c r="A71" s="1119" t="s">
        <v>595</v>
      </c>
      <c r="B71" s="1105"/>
      <c r="C71" s="1116">
        <f>SUM(C66:C70)</f>
        <v>330</v>
      </c>
      <c r="D71" s="1159">
        <f t="shared" ref="D71:L71" si="26">SUM(D66:D70)</f>
        <v>495</v>
      </c>
      <c r="E71" s="1159">
        <f t="shared" si="26"/>
        <v>660</v>
      </c>
      <c r="F71" s="1159">
        <f t="shared" si="26"/>
        <v>825</v>
      </c>
      <c r="G71" s="1159">
        <f t="shared" si="26"/>
        <v>825</v>
      </c>
      <c r="H71" s="1159">
        <f t="shared" si="26"/>
        <v>825</v>
      </c>
      <c r="I71" s="1159">
        <f t="shared" si="26"/>
        <v>825</v>
      </c>
      <c r="J71" s="1159">
        <f t="shared" si="26"/>
        <v>825</v>
      </c>
      <c r="K71" s="1159">
        <f t="shared" si="26"/>
        <v>825</v>
      </c>
      <c r="L71" s="1159">
        <f t="shared" si="26"/>
        <v>825</v>
      </c>
    </row>
    <row r="72" spans="1:12" x14ac:dyDescent="0.2">
      <c r="A72" s="1119"/>
      <c r="B72" s="1105"/>
      <c r="C72" s="1116"/>
      <c r="D72" s="1116"/>
      <c r="E72" s="1116"/>
      <c r="F72" s="1116"/>
      <c r="G72" s="1116"/>
      <c r="H72" s="1116"/>
      <c r="I72" s="1116"/>
      <c r="J72" s="1116"/>
      <c r="K72" s="1116"/>
      <c r="L72" s="1116"/>
    </row>
    <row r="73" spans="1:12" ht="13.5" thickBot="1" x14ac:dyDescent="0.25">
      <c r="A73" s="1126" t="s">
        <v>599</v>
      </c>
      <c r="B73" s="1105"/>
      <c r="C73" s="1116"/>
      <c r="D73" s="1116"/>
      <c r="E73" s="1116"/>
      <c r="F73" s="1116"/>
      <c r="G73" s="1116"/>
      <c r="H73" s="1116"/>
      <c r="I73" s="1116"/>
      <c r="J73" s="1116"/>
      <c r="K73" s="1116"/>
      <c r="L73" s="1116"/>
    </row>
    <row r="74" spans="1:12" x14ac:dyDescent="0.2">
      <c r="A74" s="1131" t="s">
        <v>700</v>
      </c>
      <c r="B74" s="1123"/>
      <c r="C74" s="1124"/>
      <c r="D74" s="1124"/>
      <c r="E74" s="1124"/>
      <c r="F74" s="1124"/>
      <c r="G74" s="1124"/>
      <c r="H74" s="1124"/>
      <c r="I74" s="1124"/>
      <c r="J74" s="1124"/>
      <c r="K74" s="1124"/>
      <c r="L74" s="1125"/>
    </row>
    <row r="75" spans="1:12" x14ac:dyDescent="0.2">
      <c r="A75" s="1126" t="s">
        <v>701</v>
      </c>
      <c r="B75" s="1127">
        <v>0</v>
      </c>
      <c r="C75" s="1127">
        <v>165</v>
      </c>
      <c r="D75" s="1127">
        <v>165</v>
      </c>
      <c r="E75" s="1127">
        <v>165</v>
      </c>
      <c r="F75" s="1127">
        <v>165</v>
      </c>
      <c r="G75" s="1127">
        <v>165</v>
      </c>
      <c r="H75" s="1127">
        <v>165</v>
      </c>
      <c r="I75" s="1127">
        <v>165</v>
      </c>
      <c r="J75" s="1127">
        <v>165</v>
      </c>
      <c r="K75" s="1127">
        <v>165</v>
      </c>
      <c r="L75" s="1128">
        <v>165</v>
      </c>
    </row>
    <row r="76" spans="1:12" x14ac:dyDescent="0.2">
      <c r="A76" s="1143" t="s">
        <v>709</v>
      </c>
      <c r="B76" s="1127">
        <f>INDEX($A$42:$L$48,MATCH($A$73,$A$42:$A$48,0),MATCH(B$65,$A$42:$L$42,0))</f>
        <v>76250</v>
      </c>
      <c r="C76" s="1161">
        <f t="shared" ref="C76:L76" si="27">INDEX($A$42:$L$48,MATCH($A$73,$A$42:$A$48,0),MATCH(C$65,$A$42:$L$42,0))</f>
        <v>168106.26376759209</v>
      </c>
      <c r="D76" s="1161">
        <f t="shared" si="27"/>
        <v>144427.88149301056</v>
      </c>
      <c r="E76" s="1161">
        <f t="shared" si="27"/>
        <v>129774.14048344502</v>
      </c>
      <c r="F76" s="1161">
        <f t="shared" si="27"/>
        <v>143315.28699689105</v>
      </c>
      <c r="G76" s="1161">
        <f t="shared" si="27"/>
        <v>146181.5927368289</v>
      </c>
      <c r="H76" s="1161">
        <f t="shared" si="27"/>
        <v>149105.22459156546</v>
      </c>
      <c r="I76" s="1161">
        <f t="shared" si="27"/>
        <v>152087.32908339679</v>
      </c>
      <c r="J76" s="1161">
        <f t="shared" si="27"/>
        <v>155129.07566506471</v>
      </c>
      <c r="K76" s="1161">
        <f t="shared" si="27"/>
        <v>158231.65717836603</v>
      </c>
      <c r="L76" s="1161">
        <f t="shared" si="27"/>
        <v>161396.29032193337</v>
      </c>
    </row>
    <row r="77" spans="1:12" x14ac:dyDescent="0.2">
      <c r="A77" s="1126" t="s">
        <v>230</v>
      </c>
      <c r="B77" s="1127"/>
      <c r="C77" s="1127">
        <f>C56*C$75</f>
        <v>5362.5</v>
      </c>
      <c r="D77" s="1161">
        <f t="shared" ref="D77:L77" si="28">D56*D$75</f>
        <v>5362.5</v>
      </c>
      <c r="E77" s="1161">
        <f t="shared" si="28"/>
        <v>5362.5</v>
      </c>
      <c r="F77" s="1161">
        <f t="shared" si="28"/>
        <v>5362.5</v>
      </c>
      <c r="G77" s="1161">
        <f t="shared" si="28"/>
        <v>5362.5</v>
      </c>
      <c r="H77" s="1161">
        <f t="shared" si="28"/>
        <v>5362.5</v>
      </c>
      <c r="I77" s="1161">
        <f t="shared" si="28"/>
        <v>5362.5</v>
      </c>
      <c r="J77" s="1161">
        <f t="shared" si="28"/>
        <v>5362.5</v>
      </c>
      <c r="K77" s="1161">
        <f t="shared" si="28"/>
        <v>5362.5</v>
      </c>
      <c r="L77" s="1161">
        <f t="shared" si="28"/>
        <v>5362.5</v>
      </c>
    </row>
    <row r="78" spans="1:12" x14ac:dyDescent="0.2">
      <c r="A78" s="1126" t="s">
        <v>232</v>
      </c>
      <c r="B78" s="1107"/>
      <c r="C78" s="1127">
        <f>C57*C$75</f>
        <v>5362.5</v>
      </c>
      <c r="D78" s="1161">
        <f t="shared" ref="D78:L78" si="29">D57*D$75</f>
        <v>5362.5</v>
      </c>
      <c r="E78" s="1161">
        <f t="shared" si="29"/>
        <v>5362.5</v>
      </c>
      <c r="F78" s="1161">
        <f t="shared" si="29"/>
        <v>5362.5</v>
      </c>
      <c r="G78" s="1161">
        <f t="shared" si="29"/>
        <v>5362.5</v>
      </c>
      <c r="H78" s="1161">
        <f t="shared" si="29"/>
        <v>5362.5</v>
      </c>
      <c r="I78" s="1161">
        <f t="shared" si="29"/>
        <v>5362.5</v>
      </c>
      <c r="J78" s="1161">
        <f t="shared" si="29"/>
        <v>5362.5</v>
      </c>
      <c r="K78" s="1161">
        <f t="shared" si="29"/>
        <v>5362.5</v>
      </c>
      <c r="L78" s="1161">
        <f t="shared" si="29"/>
        <v>5362.5</v>
      </c>
    </row>
    <row r="79" spans="1:12" ht="13.5" thickBot="1" x14ac:dyDescent="0.25">
      <c r="A79" s="1129" t="s">
        <v>22</v>
      </c>
      <c r="B79" s="1106"/>
      <c r="C79" s="1130">
        <f>C58*C$75</f>
        <v>11550</v>
      </c>
      <c r="D79" s="1162">
        <f t="shared" ref="D79:L79" si="30">D58*D$75</f>
        <v>11550</v>
      </c>
      <c r="E79" s="1162">
        <f t="shared" si="30"/>
        <v>11550</v>
      </c>
      <c r="F79" s="1162">
        <f t="shared" si="30"/>
        <v>11550</v>
      </c>
      <c r="G79" s="1162">
        <f t="shared" si="30"/>
        <v>11550</v>
      </c>
      <c r="H79" s="1162">
        <f t="shared" si="30"/>
        <v>11550</v>
      </c>
      <c r="I79" s="1162">
        <f t="shared" si="30"/>
        <v>11550</v>
      </c>
      <c r="J79" s="1162">
        <f t="shared" si="30"/>
        <v>11550</v>
      </c>
      <c r="K79" s="1162">
        <f t="shared" si="30"/>
        <v>11550</v>
      </c>
      <c r="L79" s="1162">
        <f t="shared" si="30"/>
        <v>11550</v>
      </c>
    </row>
    <row r="80" spans="1:12" x14ac:dyDescent="0.2">
      <c r="A80" s="1116"/>
      <c r="B80" s="1110"/>
      <c r="C80" s="1110"/>
      <c r="D80" s="1110"/>
      <c r="E80" s="1110"/>
      <c r="F80" s="1110"/>
      <c r="G80" s="1110"/>
      <c r="H80" s="1110"/>
      <c r="I80" s="1110"/>
      <c r="J80" s="1110"/>
      <c r="K80" s="1110"/>
      <c r="L80" s="1110"/>
    </row>
    <row r="81" spans="1:12" x14ac:dyDescent="0.2">
      <c r="A81" s="1119"/>
      <c r="B81" s="1105"/>
      <c r="C81" s="1116"/>
      <c r="D81" s="1116"/>
      <c r="E81" s="1116"/>
      <c r="F81" s="1116"/>
      <c r="G81" s="1116"/>
      <c r="H81" s="1116"/>
      <c r="I81" s="1116"/>
      <c r="J81" s="1116"/>
      <c r="K81" s="1116"/>
      <c r="L81" s="1116"/>
    </row>
    <row r="82" spans="1:12" x14ac:dyDescent="0.2">
      <c r="A82" s="1109"/>
      <c r="B82" s="1108"/>
      <c r="C82" s="1115"/>
      <c r="D82" s="1115"/>
      <c r="E82" s="1115"/>
      <c r="F82" s="1115"/>
      <c r="G82" s="1115"/>
      <c r="H82" s="1115"/>
      <c r="I82" s="1115"/>
      <c r="J82" s="1115"/>
      <c r="K82" s="1115"/>
      <c r="L82" s="1115"/>
    </row>
    <row r="83" spans="1:12" x14ac:dyDescent="0.2">
      <c r="A83" s="1109"/>
      <c r="B83" s="1108"/>
      <c r="C83" s="1115"/>
      <c r="D83" s="1115"/>
      <c r="E83" s="1115"/>
      <c r="F83" s="1115"/>
      <c r="G83" s="1115"/>
      <c r="H83" s="1115"/>
      <c r="I83" s="1115"/>
      <c r="J83" s="1115"/>
      <c r="K83" s="1115"/>
      <c r="L83" s="1115"/>
    </row>
    <row r="84" spans="1:12" x14ac:dyDescent="0.2">
      <c r="A84" s="1109"/>
      <c r="B84" s="1108"/>
      <c r="C84" s="1115"/>
      <c r="D84" s="1115"/>
      <c r="E84" s="1115"/>
      <c r="F84" s="1115"/>
      <c r="G84" s="1115"/>
      <c r="H84" s="1115"/>
      <c r="I84" s="1115"/>
      <c r="J84" s="1115"/>
      <c r="K84" s="1115"/>
      <c r="L84" s="1115"/>
    </row>
    <row r="85" spans="1:12" x14ac:dyDescent="0.2">
      <c r="A85" s="1109"/>
      <c r="B85" s="1108"/>
      <c r="C85" s="1115"/>
      <c r="D85" s="1115"/>
      <c r="E85" s="1115"/>
      <c r="F85" s="1115"/>
      <c r="G85" s="1115"/>
      <c r="H85" s="1115"/>
      <c r="I85" s="1115"/>
      <c r="J85" s="1115"/>
      <c r="K85" s="1115"/>
      <c r="L85" s="1115"/>
    </row>
    <row r="86" spans="1:12" x14ac:dyDescent="0.2">
      <c r="A86" s="1109"/>
      <c r="B86" s="1108"/>
      <c r="C86" s="1115"/>
      <c r="D86" s="1115"/>
      <c r="E86" s="1115"/>
      <c r="F86" s="1115"/>
      <c r="G86" s="1115"/>
      <c r="H86" s="1115"/>
      <c r="I86" s="1115"/>
      <c r="J86" s="1115"/>
      <c r="K86" s="1115"/>
      <c r="L86" s="1115"/>
    </row>
    <row r="87" spans="1:12" x14ac:dyDescent="0.2">
      <c r="A87" s="1109"/>
      <c r="B87" s="1108"/>
      <c r="C87" s="1115"/>
      <c r="D87" s="1115"/>
      <c r="E87" s="1115"/>
      <c r="F87" s="1115"/>
      <c r="G87" s="1115"/>
      <c r="H87" s="1115"/>
      <c r="I87" s="1115"/>
      <c r="J87" s="1115"/>
      <c r="K87" s="1115"/>
      <c r="L87" s="1115"/>
    </row>
    <row r="88" spans="1:12" x14ac:dyDescent="0.2">
      <c r="A88" s="1109"/>
      <c r="B88" s="1108"/>
      <c r="C88" s="1115"/>
      <c r="D88" s="1115"/>
      <c r="E88" s="1115"/>
      <c r="F88" s="1115"/>
      <c r="G88" s="1115"/>
      <c r="H88" s="1115"/>
      <c r="I88" s="1115"/>
      <c r="J88" s="1115"/>
      <c r="K88" s="1115"/>
      <c r="L88" s="1115"/>
    </row>
    <row r="89" spans="1:12" x14ac:dyDescent="0.2">
      <c r="A89" s="1109"/>
      <c r="B89" s="1108"/>
      <c r="C89" s="1115"/>
      <c r="D89" s="1115"/>
      <c r="E89" s="1115"/>
      <c r="F89" s="1115"/>
      <c r="G89" s="1115"/>
      <c r="H89" s="1115"/>
      <c r="I89" s="1115"/>
      <c r="J89" s="1115"/>
      <c r="K89" s="1115"/>
      <c r="L89" s="1115"/>
    </row>
    <row r="90" spans="1:12" x14ac:dyDescent="0.2">
      <c r="A90" s="1109"/>
      <c r="B90" s="1108"/>
      <c r="C90" s="1115"/>
      <c r="D90" s="1115"/>
      <c r="E90" s="1115"/>
      <c r="F90" s="1115"/>
      <c r="G90" s="1115"/>
      <c r="H90" s="1115"/>
      <c r="I90" s="1115"/>
      <c r="J90" s="1115"/>
      <c r="K90" s="1115"/>
      <c r="L90" s="1115"/>
    </row>
    <row r="91" spans="1:12" x14ac:dyDescent="0.2">
      <c r="A91" s="1109"/>
      <c r="B91" s="1108"/>
      <c r="C91" s="1115"/>
      <c r="D91" s="1115"/>
      <c r="E91" s="1115"/>
      <c r="F91" s="1115"/>
      <c r="G91" s="1115"/>
      <c r="H91" s="1115"/>
      <c r="I91" s="1115"/>
      <c r="J91" s="1115"/>
      <c r="K91" s="1115"/>
      <c r="L91" s="11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topLeftCell="D115" workbookViewId="0">
      <selection activeCell="M62" sqref="M62"/>
    </sheetView>
  </sheetViews>
  <sheetFormatPr defaultRowHeight="12.75" x14ac:dyDescent="0.2"/>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s>
  <sheetData>
    <row r="1" spans="1:15" ht="18.75" thickBot="1" x14ac:dyDescent="0.3">
      <c r="A1" s="1176" t="str">
        <f>'Budget with Assumptions'!$A$2</f>
        <v>Connected Future Academy Campus 5</v>
      </c>
      <c r="B1" s="1177"/>
      <c r="C1" s="93"/>
      <c r="D1" s="93"/>
      <c r="E1" s="93"/>
      <c r="F1" s="93"/>
      <c r="G1" s="92"/>
      <c r="H1" s="92"/>
      <c r="I1" s="92"/>
      <c r="J1" s="92"/>
      <c r="K1" s="73"/>
      <c r="L1" s="73"/>
      <c r="M1" s="73"/>
      <c r="N1" s="73"/>
      <c r="O1" s="73"/>
    </row>
    <row r="2" spans="1:15" ht="19.5" customHeight="1" x14ac:dyDescent="0.25">
      <c r="A2" s="398"/>
      <c r="B2" s="74"/>
      <c r="C2" s="74"/>
      <c r="D2" s="74"/>
      <c r="E2" s="74"/>
      <c r="F2" s="74"/>
      <c r="G2" s="74"/>
      <c r="H2" s="74"/>
      <c r="I2" s="74"/>
      <c r="J2" s="74"/>
      <c r="K2" s="74"/>
      <c r="L2" s="74"/>
      <c r="M2" s="74"/>
      <c r="N2" s="74"/>
      <c r="O2" s="74"/>
    </row>
    <row r="3" spans="1:15" ht="13.5" thickBot="1" x14ac:dyDescent="0.25">
      <c r="A3" s="75"/>
      <c r="B3" s="75"/>
      <c r="C3" s="75"/>
      <c r="D3" s="75"/>
      <c r="E3" s="75"/>
      <c r="F3" s="75"/>
      <c r="G3" s="75"/>
      <c r="H3" s="75"/>
      <c r="I3" s="75"/>
      <c r="J3" s="75"/>
      <c r="K3" s="75"/>
      <c r="L3" s="75"/>
      <c r="M3" s="75"/>
      <c r="N3" s="75"/>
      <c r="O3" s="75"/>
    </row>
    <row r="4" spans="1:15" ht="19.5" customHeight="1" thickBot="1" x14ac:dyDescent="0.3">
      <c r="A4" s="76"/>
      <c r="B4" s="1178" t="s">
        <v>60</v>
      </c>
      <c r="C4" s="1179"/>
      <c r="D4" s="1179"/>
      <c r="E4" s="1179"/>
      <c r="F4" s="1179"/>
      <c r="G4" s="1179"/>
      <c r="H4" s="1179"/>
      <c r="I4" s="1179"/>
      <c r="J4" s="1179"/>
      <c r="K4" s="1179"/>
      <c r="L4" s="1179"/>
      <c r="M4" s="1179"/>
      <c r="N4" s="1179"/>
      <c r="O4" s="1180"/>
    </row>
    <row r="5" spans="1:15" ht="32.25" customHeight="1" thickBot="1" x14ac:dyDescent="0.3">
      <c r="A5" s="452"/>
      <c r="B5" s="284"/>
      <c r="C5" s="285"/>
      <c r="D5" s="1178" t="s">
        <v>171</v>
      </c>
      <c r="E5" s="1179"/>
      <c r="F5" s="1179"/>
      <c r="G5" s="1179"/>
      <c r="H5" s="1179"/>
      <c r="I5" s="1179"/>
      <c r="J5" s="1179"/>
      <c r="K5" s="1179"/>
      <c r="L5" s="1179"/>
      <c r="M5" s="1179"/>
      <c r="N5" s="1179"/>
      <c r="O5" s="1180"/>
    </row>
    <row r="6" spans="1:15" ht="40.5" customHeight="1" thickBot="1" x14ac:dyDescent="0.25">
      <c r="A6" s="995" t="s">
        <v>510</v>
      </c>
      <c r="B6" s="824"/>
      <c r="C6" s="825"/>
      <c r="D6" s="826"/>
      <c r="E6" s="827" t="s">
        <v>170</v>
      </c>
      <c r="F6" s="828"/>
      <c r="G6" s="397">
        <f>'Budget with Assumptions'!L9</f>
        <v>2017</v>
      </c>
      <c r="H6" s="397"/>
      <c r="I6" s="397">
        <f>'Budget with Assumptions'!N9</f>
        <v>2018</v>
      </c>
      <c r="J6" s="397"/>
      <c r="K6" s="397">
        <f>'Budget with Assumptions'!P9</f>
        <v>2019</v>
      </c>
      <c r="L6" s="397"/>
      <c r="M6" s="397">
        <f>'Budget with Assumptions'!R9</f>
        <v>2020</v>
      </c>
      <c r="N6" s="397"/>
      <c r="O6" s="397">
        <f>'Budget with Assumptions'!T9</f>
        <v>2021</v>
      </c>
    </row>
    <row r="7" spans="1:15" x14ac:dyDescent="0.2">
      <c r="A7" s="117" t="s">
        <v>66</v>
      </c>
      <c r="B7" s="797" t="s">
        <v>207</v>
      </c>
      <c r="C7" s="829"/>
      <c r="D7" s="830"/>
      <c r="E7" s="453">
        <v>0</v>
      </c>
      <c r="F7" s="142"/>
      <c r="G7" s="110">
        <v>0</v>
      </c>
      <c r="H7" s="110"/>
      <c r="I7" s="110"/>
      <c r="J7" s="110"/>
      <c r="K7" s="110"/>
      <c r="L7" s="110"/>
      <c r="M7" s="110">
        <v>3</v>
      </c>
      <c r="N7" s="110"/>
      <c r="O7" s="110">
        <v>3</v>
      </c>
    </row>
    <row r="8" spans="1:15" x14ac:dyDescent="0.2">
      <c r="A8" s="495" t="s">
        <v>67</v>
      </c>
      <c r="B8" s="797" t="s">
        <v>207</v>
      </c>
      <c r="C8" s="829"/>
      <c r="D8" s="120"/>
      <c r="E8" s="453">
        <v>0</v>
      </c>
      <c r="F8" s="119"/>
      <c r="G8" s="119">
        <v>0</v>
      </c>
      <c r="H8" s="119"/>
      <c r="I8" s="119"/>
      <c r="J8" s="119"/>
      <c r="K8" s="119"/>
      <c r="L8" s="119"/>
      <c r="M8" s="119">
        <v>2</v>
      </c>
      <c r="N8" s="119"/>
      <c r="O8" s="119">
        <v>2</v>
      </c>
    </row>
    <row r="9" spans="1:15" x14ac:dyDescent="0.2">
      <c r="A9" s="495" t="s">
        <v>68</v>
      </c>
      <c r="B9" s="797" t="s">
        <v>207</v>
      </c>
      <c r="C9" s="111"/>
      <c r="D9" s="120"/>
      <c r="E9" s="453">
        <v>0</v>
      </c>
      <c r="F9" s="120"/>
      <c r="G9" s="119"/>
      <c r="H9" s="119"/>
      <c r="I9" s="119"/>
      <c r="J9" s="119"/>
      <c r="K9" s="119"/>
      <c r="L9" s="119"/>
      <c r="M9" s="119"/>
      <c r="N9" s="119"/>
      <c r="O9" s="119"/>
    </row>
    <row r="10" spans="1:15" x14ac:dyDescent="0.2">
      <c r="A10" s="495" t="s">
        <v>69</v>
      </c>
      <c r="B10" s="797" t="s">
        <v>207</v>
      </c>
      <c r="C10" s="829"/>
      <c r="D10" s="120"/>
      <c r="E10" s="453">
        <v>0</v>
      </c>
      <c r="F10" s="119"/>
      <c r="G10" s="119">
        <v>0</v>
      </c>
      <c r="H10" s="119"/>
      <c r="I10" s="119"/>
      <c r="J10" s="119"/>
      <c r="K10" s="119"/>
      <c r="L10" s="119"/>
      <c r="M10" s="119">
        <v>0.1</v>
      </c>
      <c r="N10" s="119"/>
      <c r="O10" s="119">
        <v>0.1</v>
      </c>
    </row>
    <row r="11" spans="1:15" x14ac:dyDescent="0.2">
      <c r="A11" s="495" t="s">
        <v>70</v>
      </c>
      <c r="B11" s="797" t="s">
        <v>207</v>
      </c>
      <c r="C11" s="829"/>
      <c r="D11" s="120"/>
      <c r="E11" s="453">
        <v>0</v>
      </c>
      <c r="F11" s="119"/>
      <c r="G11" s="119">
        <v>0</v>
      </c>
      <c r="H11" s="119"/>
      <c r="I11" s="119"/>
      <c r="J11" s="119"/>
      <c r="K11" s="119"/>
      <c r="L11" s="119"/>
      <c r="M11" s="119">
        <v>0.1</v>
      </c>
      <c r="N11" s="119"/>
      <c r="O11" s="119">
        <v>0.1</v>
      </c>
    </row>
    <row r="12" spans="1:15" x14ac:dyDescent="0.2">
      <c r="A12" s="495" t="s">
        <v>71</v>
      </c>
      <c r="B12" s="797" t="s">
        <v>207</v>
      </c>
      <c r="C12" s="829"/>
      <c r="D12" s="120"/>
      <c r="E12" s="453">
        <v>0</v>
      </c>
      <c r="F12" s="119"/>
      <c r="G12" s="119">
        <v>0</v>
      </c>
      <c r="H12" s="119"/>
      <c r="I12" s="119"/>
      <c r="J12" s="119"/>
      <c r="K12" s="119"/>
      <c r="L12" s="119"/>
      <c r="M12" s="119">
        <v>0.1</v>
      </c>
      <c r="N12" s="119"/>
      <c r="O12" s="119">
        <v>0.1</v>
      </c>
    </row>
    <row r="13" spans="1:15" x14ac:dyDescent="0.2">
      <c r="A13" s="495" t="s">
        <v>72</v>
      </c>
      <c r="B13" s="797" t="s">
        <v>207</v>
      </c>
      <c r="C13" s="829"/>
      <c r="D13" s="120"/>
      <c r="E13" s="453">
        <v>0</v>
      </c>
      <c r="F13" s="119"/>
      <c r="G13" s="119"/>
      <c r="H13" s="119"/>
      <c r="I13" s="119"/>
      <c r="J13" s="119"/>
      <c r="K13" s="119"/>
      <c r="L13" s="119"/>
      <c r="M13" s="119"/>
      <c r="N13" s="119"/>
      <c r="O13" s="119"/>
    </row>
    <row r="14" spans="1:15" x14ac:dyDescent="0.2">
      <c r="A14" s="495" t="s">
        <v>73</v>
      </c>
      <c r="B14" s="797" t="s">
        <v>207</v>
      </c>
      <c r="C14" s="829"/>
      <c r="D14" s="120"/>
      <c r="E14" s="453">
        <v>0</v>
      </c>
      <c r="F14" s="119"/>
      <c r="G14" s="119"/>
      <c r="H14" s="119"/>
      <c r="I14" s="119"/>
      <c r="J14" s="119"/>
      <c r="K14" s="119"/>
      <c r="L14" s="119"/>
      <c r="M14" s="119"/>
      <c r="N14" s="119"/>
      <c r="O14" s="119"/>
    </row>
    <row r="15" spans="1:15" x14ac:dyDescent="0.2">
      <c r="A15" s="495" t="s">
        <v>74</v>
      </c>
      <c r="B15" s="797" t="s">
        <v>207</v>
      </c>
      <c r="C15" s="829"/>
      <c r="D15" s="120"/>
      <c r="E15" s="453">
        <v>0</v>
      </c>
      <c r="F15" s="119"/>
      <c r="G15" s="119">
        <v>0</v>
      </c>
      <c r="H15" s="119"/>
      <c r="I15" s="119"/>
      <c r="J15" s="119"/>
      <c r="K15" s="119"/>
      <c r="L15" s="119"/>
      <c r="M15" s="119">
        <v>0.1</v>
      </c>
      <c r="N15" s="119"/>
      <c r="O15" s="119">
        <v>0.1</v>
      </c>
    </row>
    <row r="16" spans="1:15" x14ac:dyDescent="0.2">
      <c r="A16" s="118" t="s">
        <v>75</v>
      </c>
      <c r="B16" s="797" t="s">
        <v>207</v>
      </c>
      <c r="C16" s="829"/>
      <c r="D16" s="120"/>
      <c r="E16" s="453">
        <v>0</v>
      </c>
      <c r="F16" s="119"/>
      <c r="G16" s="119"/>
      <c r="H16" s="119"/>
      <c r="I16" s="119"/>
      <c r="J16" s="119"/>
      <c r="K16" s="119"/>
      <c r="L16" s="119"/>
      <c r="M16" s="119"/>
      <c r="N16" s="119"/>
      <c r="O16" s="119"/>
    </row>
    <row r="17" spans="1:15" x14ac:dyDescent="0.2">
      <c r="A17" s="118" t="s">
        <v>76</v>
      </c>
      <c r="B17" s="797" t="s">
        <v>207</v>
      </c>
      <c r="C17" s="829"/>
      <c r="D17" s="120"/>
      <c r="E17" s="453">
        <v>0</v>
      </c>
      <c r="F17" s="119"/>
      <c r="G17" s="119"/>
      <c r="H17" s="119"/>
      <c r="I17" s="119"/>
      <c r="J17" s="119"/>
      <c r="K17" s="119"/>
      <c r="L17" s="119"/>
      <c r="M17" s="119"/>
      <c r="N17" s="119"/>
      <c r="O17" s="119"/>
    </row>
    <row r="18" spans="1:15" x14ac:dyDescent="0.2">
      <c r="A18" s="118" t="s">
        <v>77</v>
      </c>
      <c r="B18" s="797" t="s">
        <v>207</v>
      </c>
      <c r="C18" s="829"/>
      <c r="D18" s="120"/>
      <c r="E18" s="453">
        <v>0</v>
      </c>
      <c r="F18" s="119"/>
      <c r="G18" s="119"/>
      <c r="H18" s="119"/>
      <c r="I18" s="119"/>
      <c r="J18" s="119"/>
      <c r="K18" s="119"/>
      <c r="L18" s="119"/>
      <c r="M18" s="119"/>
      <c r="N18" s="119"/>
      <c r="O18" s="119"/>
    </row>
    <row r="19" spans="1:15" x14ac:dyDescent="0.2">
      <c r="A19" s="117" t="s">
        <v>78</v>
      </c>
      <c r="B19" s="797" t="s">
        <v>207</v>
      </c>
      <c r="C19" s="829"/>
      <c r="D19" s="120"/>
      <c r="E19" s="453">
        <v>0</v>
      </c>
      <c r="F19" s="119"/>
      <c r="G19" s="119"/>
      <c r="H19" s="119"/>
      <c r="I19" s="119"/>
      <c r="J19" s="119"/>
      <c r="K19" s="119"/>
      <c r="L19" s="119"/>
      <c r="M19" s="119"/>
      <c r="N19" s="119"/>
      <c r="O19" s="119"/>
    </row>
    <row r="20" spans="1:15" x14ac:dyDescent="0.2">
      <c r="A20" s="118" t="s">
        <v>587</v>
      </c>
      <c r="B20" s="797" t="s">
        <v>207</v>
      </c>
      <c r="C20" s="829"/>
      <c r="D20" s="120"/>
      <c r="E20" s="453">
        <v>0</v>
      </c>
      <c r="F20" s="119"/>
      <c r="G20" s="119">
        <v>0</v>
      </c>
      <c r="H20" s="119"/>
      <c r="I20" s="119"/>
      <c r="J20" s="119"/>
      <c r="K20" s="119"/>
      <c r="L20" s="119"/>
      <c r="M20" s="119">
        <v>1</v>
      </c>
      <c r="N20" s="119"/>
      <c r="O20" s="119">
        <v>1</v>
      </c>
    </row>
    <row r="21" spans="1:15" x14ac:dyDescent="0.2">
      <c r="A21" s="117" t="s">
        <v>34</v>
      </c>
      <c r="B21" s="797" t="s">
        <v>207</v>
      </c>
      <c r="C21" s="111"/>
      <c r="D21" s="120"/>
      <c r="E21" s="453">
        <v>0</v>
      </c>
      <c r="F21" s="120"/>
      <c r="G21" s="119"/>
      <c r="H21" s="119"/>
      <c r="I21" s="119"/>
      <c r="J21" s="119"/>
      <c r="K21" s="119"/>
      <c r="L21" s="119"/>
      <c r="M21" s="119"/>
      <c r="N21" s="119"/>
      <c r="O21" s="119"/>
    </row>
    <row r="22" spans="1:15" x14ac:dyDescent="0.2">
      <c r="A22" s="134" t="s">
        <v>269</v>
      </c>
      <c r="B22" s="797" t="s">
        <v>207</v>
      </c>
      <c r="C22" s="111"/>
      <c r="D22" s="120"/>
      <c r="E22" s="453">
        <v>0</v>
      </c>
      <c r="F22" s="120"/>
      <c r="G22" s="119"/>
      <c r="H22" s="119"/>
      <c r="I22" s="119"/>
      <c r="J22" s="119"/>
      <c r="K22" s="119"/>
      <c r="L22" s="119"/>
      <c r="M22" s="119"/>
      <c r="N22" s="119"/>
      <c r="O22" s="119"/>
    </row>
    <row r="23" spans="1:15" x14ac:dyDescent="0.2">
      <c r="A23" s="117" t="s">
        <v>263</v>
      </c>
      <c r="B23" s="797" t="s">
        <v>207</v>
      </c>
      <c r="C23" s="111"/>
      <c r="D23" s="120"/>
      <c r="E23" s="453">
        <v>0</v>
      </c>
      <c r="F23" s="120"/>
      <c r="G23" s="119"/>
      <c r="H23" s="119"/>
      <c r="I23" s="119"/>
      <c r="J23" s="119"/>
      <c r="K23" s="119"/>
      <c r="L23" s="119"/>
      <c r="M23" s="119"/>
      <c r="N23" s="119"/>
      <c r="O23" s="119"/>
    </row>
    <row r="24" spans="1:15" x14ac:dyDescent="0.2">
      <c r="A24" s="117" t="s">
        <v>264</v>
      </c>
      <c r="B24" s="797" t="s">
        <v>207</v>
      </c>
      <c r="C24" s="111"/>
      <c r="D24" s="120"/>
      <c r="E24" s="453">
        <v>0</v>
      </c>
      <c r="F24" s="120"/>
      <c r="G24" s="119"/>
      <c r="H24" s="119"/>
      <c r="I24" s="119"/>
      <c r="J24" s="119"/>
      <c r="K24" s="119"/>
      <c r="L24" s="119"/>
      <c r="M24" s="119"/>
      <c r="N24" s="119"/>
      <c r="O24" s="119"/>
    </row>
    <row r="25" spans="1:15" x14ac:dyDescent="0.2">
      <c r="A25" s="117" t="s">
        <v>270</v>
      </c>
      <c r="B25" s="797" t="s">
        <v>207</v>
      </c>
      <c r="C25" s="111"/>
      <c r="D25" s="120"/>
      <c r="E25" s="453">
        <v>0</v>
      </c>
      <c r="F25" s="120"/>
      <c r="G25" s="119"/>
      <c r="H25" s="119"/>
      <c r="I25" s="119"/>
      <c r="J25" s="119"/>
      <c r="K25" s="119"/>
      <c r="L25" s="119"/>
      <c r="M25" s="119"/>
      <c r="N25" s="119"/>
      <c r="O25" s="119"/>
    </row>
    <row r="26" spans="1:15" x14ac:dyDescent="0.2">
      <c r="A26" s="117" t="s">
        <v>265</v>
      </c>
      <c r="B26" s="797" t="s">
        <v>207</v>
      </c>
      <c r="C26" s="111"/>
      <c r="D26" s="120"/>
      <c r="E26" s="453">
        <v>0</v>
      </c>
      <c r="F26" s="120"/>
      <c r="G26" s="119"/>
      <c r="H26" s="119"/>
      <c r="I26" s="119"/>
      <c r="J26" s="119"/>
      <c r="K26" s="119"/>
      <c r="L26" s="119"/>
      <c r="M26" s="119"/>
      <c r="N26" s="119"/>
      <c r="O26" s="119"/>
    </row>
    <row r="27" spans="1:15" x14ac:dyDescent="0.2">
      <c r="A27" s="117" t="s">
        <v>266</v>
      </c>
      <c r="B27" s="797" t="s">
        <v>207</v>
      </c>
      <c r="C27" s="111"/>
      <c r="D27" s="120"/>
      <c r="E27" s="453">
        <v>0</v>
      </c>
      <c r="F27" s="120"/>
      <c r="G27" s="119"/>
      <c r="H27" s="119"/>
      <c r="I27" s="119"/>
      <c r="J27" s="119"/>
      <c r="K27" s="119"/>
      <c r="L27" s="119"/>
      <c r="M27" s="119"/>
      <c r="N27" s="119"/>
      <c r="O27" s="119"/>
    </row>
    <row r="28" spans="1:15" x14ac:dyDescent="0.2">
      <c r="A28" s="118" t="s">
        <v>267</v>
      </c>
      <c r="B28" s="797" t="s">
        <v>207</v>
      </c>
      <c r="C28" s="829"/>
      <c r="D28" s="120"/>
      <c r="E28" s="453">
        <v>0</v>
      </c>
      <c r="F28" s="119"/>
      <c r="G28" s="119"/>
      <c r="H28" s="119"/>
      <c r="I28" s="119"/>
      <c r="J28" s="119"/>
      <c r="K28" s="119"/>
      <c r="L28" s="119"/>
      <c r="M28" s="119"/>
      <c r="N28" s="119"/>
      <c r="O28" s="119"/>
    </row>
    <row r="29" spans="1:15" ht="13.5" thickBot="1" x14ac:dyDescent="0.25">
      <c r="A29" s="118" t="s">
        <v>268</v>
      </c>
      <c r="B29" s="797" t="s">
        <v>207</v>
      </c>
      <c r="C29" s="831"/>
      <c r="D29" s="832"/>
      <c r="E29" s="453">
        <v>0</v>
      </c>
      <c r="F29" s="148"/>
      <c r="G29" s="149"/>
      <c r="H29" s="149"/>
      <c r="I29" s="119"/>
      <c r="J29" s="149"/>
      <c r="K29" s="119"/>
      <c r="L29" s="149"/>
      <c r="M29" s="119"/>
      <c r="N29" s="149"/>
      <c r="O29" s="119"/>
    </row>
    <row r="30" spans="1:15" ht="40.5" customHeight="1" thickBot="1" x14ac:dyDescent="0.3">
      <c r="A30" s="396" t="s">
        <v>509</v>
      </c>
      <c r="B30" s="404"/>
      <c r="C30" s="519"/>
      <c r="D30" s="519"/>
      <c r="E30" s="519"/>
      <c r="F30" s="519"/>
      <c r="G30" s="519"/>
      <c r="H30" s="519"/>
      <c r="I30" s="519"/>
      <c r="J30" s="519"/>
      <c r="K30" s="519"/>
      <c r="L30" s="519"/>
      <c r="M30" s="519"/>
      <c r="N30" s="519"/>
      <c r="O30" s="520"/>
    </row>
    <row r="31" spans="1:15" x14ac:dyDescent="0.2">
      <c r="A31" s="135" t="s">
        <v>50</v>
      </c>
      <c r="B31" s="797" t="s">
        <v>207</v>
      </c>
      <c r="C31" s="150"/>
      <c r="D31" s="142"/>
      <c r="E31" s="142"/>
      <c r="F31" s="142"/>
      <c r="G31" s="142">
        <v>0</v>
      </c>
      <c r="H31" s="142"/>
      <c r="I31" s="142"/>
      <c r="J31" s="142"/>
      <c r="K31" s="142"/>
      <c r="L31" s="142"/>
      <c r="M31" s="142">
        <v>2</v>
      </c>
      <c r="N31" s="142"/>
      <c r="O31" s="142">
        <v>2</v>
      </c>
    </row>
    <row r="32" spans="1:15" x14ac:dyDescent="0.2">
      <c r="A32" s="496" t="s">
        <v>79</v>
      </c>
      <c r="B32" s="797" t="s">
        <v>207</v>
      </c>
      <c r="C32" s="77"/>
      <c r="D32" s="110"/>
      <c r="E32" s="142"/>
      <c r="F32" s="110"/>
      <c r="G32" s="110"/>
      <c r="H32" s="110"/>
      <c r="I32" s="110"/>
      <c r="J32" s="110"/>
      <c r="K32" s="110"/>
      <c r="L32" s="110"/>
      <c r="M32" s="110"/>
      <c r="N32" s="110"/>
      <c r="O32" s="110"/>
    </row>
    <row r="33" spans="1:15" x14ac:dyDescent="0.2">
      <c r="A33" s="496" t="s">
        <v>80</v>
      </c>
      <c r="B33" s="797" t="s">
        <v>207</v>
      </c>
      <c r="C33" s="77"/>
      <c r="D33" s="110"/>
      <c r="E33" s="142"/>
      <c r="F33" s="110"/>
      <c r="G33" s="110"/>
      <c r="H33" s="110"/>
      <c r="I33" s="110"/>
      <c r="J33" s="110"/>
      <c r="K33" s="110"/>
      <c r="L33" s="110"/>
      <c r="M33" s="110"/>
      <c r="N33" s="110"/>
      <c r="O33" s="110"/>
    </row>
    <row r="34" spans="1:15" x14ac:dyDescent="0.2">
      <c r="A34" s="496" t="s">
        <v>69</v>
      </c>
      <c r="B34" s="797" t="s">
        <v>207</v>
      </c>
      <c r="C34" s="77"/>
      <c r="D34" s="110"/>
      <c r="E34" s="142"/>
      <c r="F34" s="110"/>
      <c r="G34" s="110"/>
      <c r="H34" s="110"/>
      <c r="I34" s="110"/>
      <c r="J34" s="110"/>
      <c r="K34" s="110"/>
      <c r="L34" s="110"/>
      <c r="M34" s="110"/>
      <c r="N34" s="110"/>
      <c r="O34" s="110"/>
    </row>
    <row r="35" spans="1:15" x14ac:dyDescent="0.2">
      <c r="A35" s="496" t="s">
        <v>70</v>
      </c>
      <c r="B35" s="797" t="s">
        <v>207</v>
      </c>
      <c r="C35" s="77"/>
      <c r="D35" s="110"/>
      <c r="E35" s="142"/>
      <c r="F35" s="110"/>
      <c r="G35" s="110"/>
      <c r="H35" s="110"/>
      <c r="I35" s="110"/>
      <c r="J35" s="110"/>
      <c r="K35" s="110"/>
      <c r="L35" s="110"/>
      <c r="M35" s="110"/>
      <c r="N35" s="110"/>
      <c r="O35" s="110"/>
    </row>
    <row r="36" spans="1:15" x14ac:dyDescent="0.2">
      <c r="A36" s="496" t="s">
        <v>71</v>
      </c>
      <c r="B36" s="797" t="s">
        <v>207</v>
      </c>
      <c r="C36" s="77"/>
      <c r="D36" s="110"/>
      <c r="E36" s="142"/>
      <c r="F36" s="110"/>
      <c r="G36" s="110"/>
      <c r="H36" s="110"/>
      <c r="I36" s="110"/>
      <c r="J36" s="110"/>
      <c r="K36" s="110"/>
      <c r="L36" s="110"/>
      <c r="M36" s="110"/>
      <c r="N36" s="110"/>
      <c r="O36" s="110"/>
    </row>
    <row r="37" spans="1:15" x14ac:dyDescent="0.2">
      <c r="A37" s="496" t="s">
        <v>72</v>
      </c>
      <c r="B37" s="797" t="s">
        <v>207</v>
      </c>
      <c r="C37" s="77"/>
      <c r="D37" s="110"/>
      <c r="E37" s="142"/>
      <c r="F37" s="110"/>
      <c r="G37" s="110"/>
      <c r="H37" s="110"/>
      <c r="I37" s="110"/>
      <c r="J37" s="110"/>
      <c r="K37" s="110"/>
      <c r="L37" s="110"/>
      <c r="M37" s="110"/>
      <c r="N37" s="110"/>
      <c r="O37" s="110"/>
    </row>
    <row r="38" spans="1:15" x14ac:dyDescent="0.2">
      <c r="A38" s="496" t="s">
        <v>73</v>
      </c>
      <c r="B38" s="797" t="s">
        <v>207</v>
      </c>
      <c r="C38" s="77"/>
      <c r="D38" s="110"/>
      <c r="E38" s="142"/>
      <c r="F38" s="110"/>
      <c r="G38" s="110"/>
      <c r="H38" s="110"/>
      <c r="I38" s="110"/>
      <c r="J38" s="110"/>
      <c r="K38" s="110"/>
      <c r="L38" s="110"/>
      <c r="M38" s="110"/>
      <c r="N38" s="110"/>
      <c r="O38" s="110"/>
    </row>
    <row r="39" spans="1:15" x14ac:dyDescent="0.2">
      <c r="A39" s="496" t="s">
        <v>74</v>
      </c>
      <c r="B39" s="797" t="s">
        <v>207</v>
      </c>
      <c r="C39" s="77"/>
      <c r="D39" s="110"/>
      <c r="E39" s="142"/>
      <c r="F39" s="110"/>
      <c r="G39" s="110"/>
      <c r="H39" s="110"/>
      <c r="I39" s="110"/>
      <c r="J39" s="110"/>
      <c r="K39" s="110"/>
      <c r="L39" s="110"/>
      <c r="M39" s="110"/>
      <c r="N39" s="110"/>
      <c r="O39" s="110"/>
    </row>
    <row r="40" spans="1:15" x14ac:dyDescent="0.2">
      <c r="A40" s="135" t="s">
        <v>81</v>
      </c>
      <c r="B40" s="797" t="s">
        <v>207</v>
      </c>
      <c r="C40" s="77"/>
      <c r="D40" s="110"/>
      <c r="E40" s="142"/>
      <c r="F40" s="110"/>
      <c r="G40" s="110">
        <v>0</v>
      </c>
      <c r="H40" s="110"/>
      <c r="I40" s="110"/>
      <c r="J40" s="110"/>
      <c r="K40" s="110"/>
      <c r="L40" s="110"/>
      <c r="M40" s="110">
        <v>2</v>
      </c>
      <c r="N40" s="110"/>
      <c r="O40" s="110">
        <v>2</v>
      </c>
    </row>
    <row r="41" spans="1:15" x14ac:dyDescent="0.2">
      <c r="A41" s="135" t="s">
        <v>588</v>
      </c>
      <c r="B41" s="797" t="s">
        <v>207</v>
      </c>
      <c r="C41" s="77"/>
      <c r="D41" s="110"/>
      <c r="E41" s="142"/>
      <c r="F41" s="110"/>
      <c r="G41" s="110">
        <v>0</v>
      </c>
      <c r="H41" s="110"/>
      <c r="I41" s="110"/>
      <c r="J41" s="110"/>
      <c r="K41" s="110"/>
      <c r="L41" s="110"/>
      <c r="M41" s="110">
        <v>1</v>
      </c>
      <c r="N41" s="110"/>
      <c r="O41" s="110">
        <v>1</v>
      </c>
    </row>
    <row r="42" spans="1:15" x14ac:dyDescent="0.2">
      <c r="A42" s="135" t="s">
        <v>589</v>
      </c>
      <c r="B42" s="797" t="s">
        <v>207</v>
      </c>
      <c r="C42" s="77"/>
      <c r="D42" s="110"/>
      <c r="E42" s="142"/>
      <c r="F42" s="110"/>
      <c r="G42" s="110"/>
      <c r="H42" s="110"/>
      <c r="I42" s="110"/>
      <c r="J42" s="110"/>
      <c r="K42" s="110"/>
      <c r="L42" s="110"/>
      <c r="M42" s="110">
        <v>1</v>
      </c>
      <c r="N42" s="110"/>
      <c r="O42" s="110">
        <v>1</v>
      </c>
    </row>
    <row r="43" spans="1:15" x14ac:dyDescent="0.2">
      <c r="A43" s="135" t="s">
        <v>590</v>
      </c>
      <c r="B43" s="797" t="s">
        <v>207</v>
      </c>
      <c r="C43" s="77"/>
      <c r="D43" s="110"/>
      <c r="E43" s="142"/>
      <c r="F43" s="110"/>
      <c r="G43" s="110">
        <v>0</v>
      </c>
      <c r="H43" s="110"/>
      <c r="I43" s="110"/>
      <c r="J43" s="110"/>
      <c r="K43" s="110"/>
      <c r="L43" s="110"/>
      <c r="M43" s="110">
        <v>1</v>
      </c>
      <c r="N43" s="110"/>
      <c r="O43" s="110">
        <v>1</v>
      </c>
    </row>
    <row r="44" spans="1:15" x14ac:dyDescent="0.2">
      <c r="A44" s="135" t="s">
        <v>587</v>
      </c>
      <c r="B44" s="797" t="s">
        <v>207</v>
      </c>
      <c r="C44" s="77"/>
      <c r="D44" s="110"/>
      <c r="E44" s="142"/>
      <c r="F44" s="110"/>
      <c r="G44" s="110"/>
      <c r="H44" s="110"/>
      <c r="I44" s="110"/>
      <c r="J44" s="110"/>
      <c r="K44" s="110"/>
      <c r="L44" s="110"/>
      <c r="M44" s="110"/>
      <c r="N44" s="110"/>
      <c r="O44" s="110"/>
    </row>
    <row r="45" spans="1:15" x14ac:dyDescent="0.2">
      <c r="A45" s="135" t="s">
        <v>77</v>
      </c>
      <c r="B45" s="797" t="s">
        <v>207</v>
      </c>
      <c r="C45" s="77"/>
      <c r="D45" s="110"/>
      <c r="E45" s="142"/>
      <c r="F45" s="110"/>
      <c r="G45" s="110"/>
      <c r="H45" s="110"/>
      <c r="I45" s="110"/>
      <c r="J45" s="110"/>
      <c r="K45" s="110"/>
      <c r="L45" s="110"/>
      <c r="M45" s="110"/>
      <c r="N45" s="110"/>
      <c r="O45" s="110"/>
    </row>
    <row r="46" spans="1:15" x14ac:dyDescent="0.2">
      <c r="A46" s="135" t="s">
        <v>53</v>
      </c>
      <c r="B46" s="797" t="s">
        <v>207</v>
      </c>
      <c r="C46" s="77"/>
      <c r="D46" s="110"/>
      <c r="E46" s="142"/>
      <c r="F46" s="110"/>
      <c r="G46" s="110"/>
      <c r="H46" s="110"/>
      <c r="I46" s="110"/>
      <c r="J46" s="110"/>
      <c r="K46" s="110"/>
      <c r="L46" s="110"/>
      <c r="M46" s="110"/>
      <c r="N46" s="110"/>
      <c r="O46" s="110"/>
    </row>
    <row r="47" spans="1:15" x14ac:dyDescent="0.2">
      <c r="A47" s="1153" t="s">
        <v>722</v>
      </c>
      <c r="B47" s="797" t="s">
        <v>207</v>
      </c>
      <c r="C47" s="77"/>
      <c r="D47" s="110"/>
      <c r="E47" s="142"/>
      <c r="F47" s="110"/>
      <c r="G47" s="110">
        <v>0</v>
      </c>
      <c r="H47" s="110"/>
      <c r="I47" s="110"/>
      <c r="J47" s="110"/>
      <c r="K47" s="110"/>
      <c r="L47" s="110"/>
      <c r="M47" s="110">
        <v>1</v>
      </c>
      <c r="N47" s="110"/>
      <c r="O47" s="110">
        <v>1</v>
      </c>
    </row>
    <row r="48" spans="1:15" x14ac:dyDescent="0.2">
      <c r="A48" s="1153" t="s">
        <v>721</v>
      </c>
      <c r="B48" s="797" t="s">
        <v>207</v>
      </c>
      <c r="C48" s="77"/>
      <c r="D48" s="110"/>
      <c r="E48" s="142"/>
      <c r="F48" s="110"/>
      <c r="G48" s="110">
        <v>0</v>
      </c>
      <c r="H48" s="110"/>
      <c r="I48" s="110"/>
      <c r="J48" s="110"/>
      <c r="K48" s="110"/>
      <c r="L48" s="110"/>
      <c r="M48" s="110">
        <v>0.5</v>
      </c>
      <c r="N48" s="110"/>
      <c r="O48" s="110">
        <v>0.5</v>
      </c>
    </row>
    <row r="49" spans="1:15" x14ac:dyDescent="0.2">
      <c r="A49" s="135" t="s">
        <v>591</v>
      </c>
      <c r="B49" s="797" t="s">
        <v>207</v>
      </c>
      <c r="C49" s="77"/>
      <c r="D49" s="110"/>
      <c r="E49" s="142"/>
      <c r="F49" s="110"/>
      <c r="G49" s="110">
        <v>0</v>
      </c>
      <c r="H49" s="110"/>
      <c r="I49" s="110"/>
      <c r="J49" s="110"/>
      <c r="K49" s="110"/>
      <c r="L49" s="110"/>
      <c r="M49" s="110">
        <v>1</v>
      </c>
      <c r="N49" s="110"/>
      <c r="O49" s="110">
        <v>1</v>
      </c>
    </row>
    <row r="50" spans="1:15" x14ac:dyDescent="0.2">
      <c r="A50" s="138" t="s">
        <v>592</v>
      </c>
      <c r="B50" s="797" t="s">
        <v>207</v>
      </c>
      <c r="C50" s="77"/>
      <c r="D50" s="110"/>
      <c r="E50" s="142">
        <v>0</v>
      </c>
      <c r="F50" s="110"/>
      <c r="G50" s="110">
        <v>0</v>
      </c>
      <c r="H50" s="110"/>
      <c r="I50" s="110"/>
      <c r="J50" s="110"/>
      <c r="K50" s="110"/>
      <c r="L50" s="110"/>
      <c r="M50" s="110"/>
      <c r="N50" s="110"/>
      <c r="O50" s="110"/>
    </row>
    <row r="51" spans="1:15" x14ac:dyDescent="0.2">
      <c r="A51" s="78" t="s">
        <v>593</v>
      </c>
      <c r="B51" s="797" t="s">
        <v>207</v>
      </c>
      <c r="C51" s="77"/>
      <c r="D51" s="110"/>
      <c r="E51" s="142">
        <v>0</v>
      </c>
      <c r="F51" s="110"/>
      <c r="G51" s="110">
        <v>0</v>
      </c>
      <c r="H51" s="110"/>
      <c r="I51" s="110"/>
      <c r="J51" s="110"/>
      <c r="K51" s="110"/>
      <c r="L51" s="110"/>
      <c r="M51" s="110"/>
      <c r="N51" s="110"/>
      <c r="O51" s="110"/>
    </row>
    <row r="52" spans="1:15" x14ac:dyDescent="0.2">
      <c r="A52" s="78" t="s">
        <v>594</v>
      </c>
      <c r="B52" s="797" t="s">
        <v>207</v>
      </c>
      <c r="C52" s="77"/>
      <c r="D52" s="110"/>
      <c r="E52" s="142">
        <v>0</v>
      </c>
      <c r="F52" s="110"/>
      <c r="G52" s="110">
        <v>0</v>
      </c>
      <c r="H52" s="110"/>
      <c r="I52" s="110"/>
      <c r="J52" s="110"/>
      <c r="K52" s="110"/>
      <c r="L52" s="110"/>
      <c r="M52" s="110"/>
      <c r="N52" s="110"/>
      <c r="O52" s="110"/>
    </row>
    <row r="53" spans="1:15" x14ac:dyDescent="0.2">
      <c r="A53" s="78" t="s">
        <v>275</v>
      </c>
      <c r="B53" s="797" t="s">
        <v>207</v>
      </c>
      <c r="C53" s="77"/>
      <c r="D53" s="110"/>
      <c r="E53" s="142"/>
      <c r="F53" s="110"/>
      <c r="G53" s="110"/>
      <c r="H53" s="110"/>
      <c r="I53" s="110"/>
      <c r="J53" s="110"/>
      <c r="K53" s="110"/>
      <c r="L53" s="110"/>
      <c r="M53" s="110"/>
      <c r="N53" s="110"/>
      <c r="O53" s="110"/>
    </row>
    <row r="54" spans="1:15" x14ac:dyDescent="0.2">
      <c r="A54" s="78" t="s">
        <v>271</v>
      </c>
      <c r="B54" s="797" t="s">
        <v>207</v>
      </c>
      <c r="C54" s="77"/>
      <c r="D54" s="110"/>
      <c r="E54" s="142"/>
      <c r="F54" s="110"/>
      <c r="G54" s="110"/>
      <c r="H54" s="110"/>
      <c r="I54" s="110"/>
      <c r="J54" s="110"/>
      <c r="K54" s="110"/>
      <c r="L54" s="110"/>
      <c r="M54" s="110"/>
      <c r="N54" s="110"/>
      <c r="O54" s="110"/>
    </row>
    <row r="55" spans="1:15" x14ac:dyDescent="0.2">
      <c r="A55" s="132" t="s">
        <v>272</v>
      </c>
      <c r="B55" s="797" t="s">
        <v>207</v>
      </c>
      <c r="C55" s="77"/>
      <c r="D55" s="110"/>
      <c r="E55" s="142"/>
      <c r="F55" s="110"/>
      <c r="G55" s="110"/>
      <c r="H55" s="110"/>
      <c r="I55" s="110"/>
      <c r="J55" s="110"/>
      <c r="K55" s="110"/>
      <c r="L55" s="110"/>
      <c r="M55" s="110"/>
      <c r="N55" s="110"/>
      <c r="O55" s="110"/>
    </row>
    <row r="56" spans="1:15" x14ac:dyDescent="0.2">
      <c r="A56" s="133" t="s">
        <v>273</v>
      </c>
      <c r="B56" s="797" t="s">
        <v>207</v>
      </c>
      <c r="C56" s="77"/>
      <c r="D56" s="110"/>
      <c r="E56" s="142"/>
      <c r="F56" s="110"/>
      <c r="G56" s="110"/>
      <c r="H56" s="110"/>
      <c r="I56" s="110"/>
      <c r="J56" s="110"/>
      <c r="K56" s="110"/>
      <c r="L56" s="110"/>
      <c r="M56" s="110"/>
      <c r="N56" s="110"/>
      <c r="O56" s="110"/>
    </row>
    <row r="57" spans="1:15" x14ac:dyDescent="0.2">
      <c r="A57" s="154" t="s">
        <v>274</v>
      </c>
      <c r="B57" s="797" t="s">
        <v>207</v>
      </c>
      <c r="C57" s="111"/>
      <c r="D57" s="120"/>
      <c r="E57" s="142"/>
      <c r="F57" s="120"/>
      <c r="G57" s="110"/>
      <c r="H57" s="119"/>
      <c r="I57" s="110"/>
      <c r="J57" s="119"/>
      <c r="K57" s="110"/>
      <c r="L57" s="119"/>
      <c r="M57" s="110"/>
      <c r="N57" s="119"/>
      <c r="O57" s="119"/>
    </row>
    <row r="58" spans="1:15" ht="23.25" customHeight="1" x14ac:dyDescent="0.2">
      <c r="A58" s="79"/>
      <c r="B58" s="79"/>
      <c r="C58" s="79"/>
      <c r="D58" s="79"/>
      <c r="E58" s="79"/>
      <c r="F58" s="79"/>
      <c r="G58" s="79"/>
      <c r="H58" s="79"/>
      <c r="I58" s="79"/>
      <c r="J58" s="79"/>
      <c r="K58" s="79"/>
      <c r="L58" s="79"/>
      <c r="M58" s="79"/>
      <c r="N58" s="79"/>
      <c r="O58" s="79"/>
    </row>
    <row r="59" spans="1:15" ht="13.5" thickBot="1" x14ac:dyDescent="0.25">
      <c r="A59" s="74"/>
      <c r="B59" s="74"/>
      <c r="C59" s="74"/>
      <c r="D59" s="74"/>
      <c r="E59" s="74"/>
      <c r="F59" s="74"/>
      <c r="G59" s="74"/>
      <c r="H59" s="74"/>
      <c r="I59" s="74"/>
      <c r="J59" s="74"/>
      <c r="K59" s="74"/>
      <c r="L59" s="74"/>
      <c r="M59" s="74"/>
      <c r="N59" s="74"/>
      <c r="O59" s="74"/>
    </row>
    <row r="60" spans="1:15" ht="23.25" customHeight="1" thickBot="1" x14ac:dyDescent="0.3">
      <c r="A60" s="80"/>
      <c r="B60" s="1178" t="s">
        <v>61</v>
      </c>
      <c r="C60" s="1179"/>
      <c r="D60" s="1179"/>
      <c r="E60" s="1179"/>
      <c r="F60" s="1179"/>
      <c r="G60" s="1179"/>
      <c r="H60" s="1179"/>
      <c r="I60" s="1179"/>
      <c r="J60" s="1179"/>
      <c r="K60" s="1179"/>
      <c r="L60" s="1179"/>
      <c r="M60" s="1179"/>
      <c r="N60" s="1179"/>
      <c r="O60" s="1180"/>
    </row>
    <row r="61" spans="1:15" ht="25.5" x14ac:dyDescent="0.2">
      <c r="A61" s="81"/>
      <c r="B61" s="129"/>
      <c r="C61" s="130" t="s">
        <v>49</v>
      </c>
      <c r="D61" s="130"/>
      <c r="E61" s="400" t="str">
        <f>E6</f>
        <v>Incubation Year</v>
      </c>
      <c r="F61" s="401"/>
      <c r="G61" s="402">
        <f>$G$6</f>
        <v>2017</v>
      </c>
      <c r="H61" s="402"/>
      <c r="I61" s="402">
        <f>$I$6</f>
        <v>2018</v>
      </c>
      <c r="J61" s="402"/>
      <c r="K61" s="402">
        <f>$K$6</f>
        <v>2019</v>
      </c>
      <c r="L61" s="402"/>
      <c r="M61" s="402">
        <f>$M$6</f>
        <v>2020</v>
      </c>
      <c r="N61" s="402"/>
      <c r="O61" s="402">
        <f>$O$6</f>
        <v>2021</v>
      </c>
    </row>
    <row r="62" spans="1:15" ht="19.5" customHeight="1" x14ac:dyDescent="0.25">
      <c r="A62" s="1181" t="s">
        <v>449</v>
      </c>
      <c r="B62" s="1182"/>
      <c r="C62" s="82"/>
      <c r="D62" s="116"/>
      <c r="E62" s="497" t="s">
        <v>207</v>
      </c>
      <c r="F62" s="116"/>
      <c r="G62" s="116"/>
      <c r="H62" s="116"/>
      <c r="I62" s="116"/>
      <c r="J62" s="116"/>
      <c r="K62" s="116"/>
      <c r="L62" s="116"/>
      <c r="M62" s="116">
        <v>0.02</v>
      </c>
      <c r="N62" s="116"/>
      <c r="O62" s="116">
        <v>0.02</v>
      </c>
    </row>
    <row r="63" spans="1:15" ht="13.5" thickBot="1" x14ac:dyDescent="0.25">
      <c r="A63" s="4"/>
      <c r="B63" s="4"/>
      <c r="C63" s="83"/>
      <c r="D63" s="146"/>
      <c r="E63" s="146"/>
      <c r="F63" s="146"/>
      <c r="G63" s="146"/>
      <c r="H63" s="146"/>
      <c r="I63" s="146"/>
      <c r="J63" s="146"/>
      <c r="K63" s="146"/>
      <c r="L63" s="146"/>
      <c r="M63" s="146"/>
      <c r="N63" s="146"/>
      <c r="O63" s="146"/>
    </row>
    <row r="64" spans="1:15" ht="40.5" customHeight="1" thickBot="1" x14ac:dyDescent="0.3">
      <c r="A64" s="996" t="str">
        <f t="shared" ref="A64:A89" si="0">A6</f>
        <v xml:space="preserve">Positions that Participate in the Chicago Teachers Pension Fund (ALL Contract School employees do NOT participate in the CTPF):         </v>
      </c>
      <c r="B64" s="397" t="s">
        <v>51</v>
      </c>
      <c r="C64" s="403"/>
      <c r="D64" s="404"/>
      <c r="E64" s="405"/>
      <c r="F64" s="405"/>
      <c r="G64" s="406"/>
      <c r="H64" s="406"/>
      <c r="I64" s="406"/>
      <c r="J64" s="406"/>
      <c r="K64" s="406"/>
      <c r="L64" s="406"/>
      <c r="M64" s="406"/>
      <c r="N64" s="406"/>
      <c r="O64" s="407"/>
    </row>
    <row r="65" spans="1:15" x14ac:dyDescent="0.2">
      <c r="A65" s="392" t="str">
        <f t="shared" si="0"/>
        <v xml:space="preserve">Teachers </v>
      </c>
      <c r="B65" s="141">
        <v>50000</v>
      </c>
      <c r="C65" s="84">
        <f t="shared" ref="C65:C73" si="1">B65*(1+C$62)</f>
        <v>50000</v>
      </c>
      <c r="D65" s="147"/>
      <c r="E65" s="927">
        <v>0</v>
      </c>
      <c r="F65" s="147"/>
      <c r="G65" s="463"/>
      <c r="H65" s="463"/>
      <c r="I65" s="463"/>
      <c r="J65" s="463"/>
      <c r="K65" s="463"/>
      <c r="L65" s="463"/>
      <c r="M65" s="463">
        <v>50000</v>
      </c>
      <c r="N65" s="463"/>
      <c r="O65" s="463">
        <f>M65*(1+O$62)</f>
        <v>51000</v>
      </c>
    </row>
    <row r="66" spans="1:15" x14ac:dyDescent="0.2">
      <c r="A66" s="498" t="str">
        <f t="shared" si="0"/>
        <v>SPED Teachers (reimbursed by CPS)</v>
      </c>
      <c r="B66" s="139">
        <v>55000</v>
      </c>
      <c r="C66" s="84">
        <f t="shared" si="1"/>
        <v>55000</v>
      </c>
      <c r="D66" s="136"/>
      <c r="E66" s="927">
        <v>0</v>
      </c>
      <c r="F66" s="280"/>
      <c r="G66" s="463"/>
      <c r="H66" s="463"/>
      <c r="I66" s="463"/>
      <c r="J66" s="463"/>
      <c r="K66" s="463"/>
      <c r="L66" s="463"/>
      <c r="M66" s="463">
        <v>55000</v>
      </c>
      <c r="N66" s="463"/>
      <c r="O66" s="463">
        <f t="shared" ref="O66:O87" si="2">M66*(1+O$62)</f>
        <v>56100</v>
      </c>
    </row>
    <row r="67" spans="1:15" x14ac:dyDescent="0.2">
      <c r="A67" s="498" t="str">
        <f t="shared" si="0"/>
        <v>SPED Aides (reimbursed by CPS)</v>
      </c>
      <c r="B67" s="139"/>
      <c r="C67" s="109">
        <f t="shared" si="1"/>
        <v>0</v>
      </c>
      <c r="D67" s="137"/>
      <c r="E67" s="927">
        <v>0</v>
      </c>
      <c r="F67" s="280"/>
      <c r="G67" s="463"/>
      <c r="H67" s="463"/>
      <c r="I67" s="463"/>
      <c r="J67" s="463"/>
      <c r="K67" s="463"/>
      <c r="L67" s="463"/>
      <c r="M67" s="463">
        <f t="shared" ref="M67:M87" si="3">K67*(1+M$62)</f>
        <v>0</v>
      </c>
      <c r="N67" s="463"/>
      <c r="O67" s="463">
        <f t="shared" si="2"/>
        <v>0</v>
      </c>
    </row>
    <row r="68" spans="1:15" x14ac:dyDescent="0.2">
      <c r="A68" s="498" t="str">
        <f t="shared" si="0"/>
        <v>SPED Clinicians-Psychologist (reimbursed by CPS)</v>
      </c>
      <c r="B68" s="139">
        <v>62500</v>
      </c>
      <c r="C68" s="84">
        <f t="shared" si="1"/>
        <v>62500</v>
      </c>
      <c r="D68" s="136"/>
      <c r="E68" s="927">
        <v>0</v>
      </c>
      <c r="F68" s="280"/>
      <c r="G68" s="463"/>
      <c r="H68" s="463"/>
      <c r="I68" s="463"/>
      <c r="J68" s="463"/>
      <c r="K68" s="463"/>
      <c r="L68" s="463"/>
      <c r="M68" s="463">
        <v>62500</v>
      </c>
      <c r="N68" s="463"/>
      <c r="O68" s="463">
        <f t="shared" si="2"/>
        <v>63750</v>
      </c>
    </row>
    <row r="69" spans="1:15" x14ac:dyDescent="0.2">
      <c r="A69" s="498" t="str">
        <f t="shared" si="0"/>
        <v>SPED Clinicians-Social Worker (reimbursed by CPS)</v>
      </c>
      <c r="B69" s="139">
        <v>55000</v>
      </c>
      <c r="C69" s="84">
        <f t="shared" si="1"/>
        <v>55000</v>
      </c>
      <c r="D69" s="136"/>
      <c r="E69" s="927">
        <v>0</v>
      </c>
      <c r="F69" s="280"/>
      <c r="G69" s="463"/>
      <c r="H69" s="463"/>
      <c r="I69" s="463"/>
      <c r="J69" s="463"/>
      <c r="K69" s="463"/>
      <c r="L69" s="463"/>
      <c r="M69" s="463">
        <v>55000</v>
      </c>
      <c r="N69" s="463"/>
      <c r="O69" s="463">
        <f t="shared" si="2"/>
        <v>56100</v>
      </c>
    </row>
    <row r="70" spans="1:15" x14ac:dyDescent="0.2">
      <c r="A70" s="498" t="str">
        <f t="shared" si="0"/>
        <v>SPED Clinicians-Speech Therapist (reimbursed by CPS)</v>
      </c>
      <c r="B70" s="139">
        <v>55000</v>
      </c>
      <c r="C70" s="84">
        <f t="shared" si="1"/>
        <v>55000</v>
      </c>
      <c r="D70" s="136"/>
      <c r="E70" s="927">
        <v>0</v>
      </c>
      <c r="F70" s="280"/>
      <c r="G70" s="463"/>
      <c r="H70" s="463"/>
      <c r="I70" s="463"/>
      <c r="J70" s="463"/>
      <c r="K70" s="463"/>
      <c r="L70" s="463"/>
      <c r="M70" s="463">
        <v>55000</v>
      </c>
      <c r="N70" s="463"/>
      <c r="O70" s="463">
        <f t="shared" si="2"/>
        <v>56100</v>
      </c>
    </row>
    <row r="71" spans="1:15" x14ac:dyDescent="0.2">
      <c r="A71" s="498" t="str">
        <f t="shared" si="0"/>
        <v>SPED Clinicians-Physical Therapist (reimbursed by CPS)</v>
      </c>
      <c r="B71" s="139"/>
      <c r="C71" s="84">
        <f t="shared" si="1"/>
        <v>0</v>
      </c>
      <c r="D71" s="136"/>
      <c r="E71" s="927">
        <v>0</v>
      </c>
      <c r="F71" s="280"/>
      <c r="G71" s="463"/>
      <c r="H71" s="463"/>
      <c r="I71" s="463"/>
      <c r="J71" s="463"/>
      <c r="K71" s="463"/>
      <c r="L71" s="463"/>
      <c r="M71" s="463">
        <f t="shared" si="3"/>
        <v>0</v>
      </c>
      <c r="N71" s="463"/>
      <c r="O71" s="463">
        <f t="shared" si="2"/>
        <v>0</v>
      </c>
    </row>
    <row r="72" spans="1:15" x14ac:dyDescent="0.2">
      <c r="A72" s="498" t="str">
        <f t="shared" si="0"/>
        <v>SPED Clinicians-Occupational Therapist (reimbursed by CPS)</v>
      </c>
      <c r="B72" s="139"/>
      <c r="C72" s="84">
        <f t="shared" si="1"/>
        <v>0</v>
      </c>
      <c r="D72" s="136"/>
      <c r="E72" s="927">
        <v>0</v>
      </c>
      <c r="F72" s="280"/>
      <c r="G72" s="463"/>
      <c r="H72" s="463"/>
      <c r="I72" s="463"/>
      <c r="J72" s="463"/>
      <c r="K72" s="463"/>
      <c r="L72" s="463"/>
      <c r="M72" s="463">
        <f t="shared" si="3"/>
        <v>0</v>
      </c>
      <c r="N72" s="463"/>
      <c r="O72" s="463">
        <f t="shared" si="2"/>
        <v>0</v>
      </c>
    </row>
    <row r="73" spans="1:15" ht="12.75" customHeight="1" x14ac:dyDescent="0.2">
      <c r="A73" s="498" t="str">
        <f t="shared" si="0"/>
        <v>SPED Clinicians-Nurse (reimbursed by CPS)</v>
      </c>
      <c r="B73" s="821">
        <v>55000</v>
      </c>
      <c r="C73" s="109">
        <f t="shared" si="1"/>
        <v>55000</v>
      </c>
      <c r="D73" s="137"/>
      <c r="E73" s="927">
        <v>0</v>
      </c>
      <c r="F73" s="280"/>
      <c r="G73" s="463"/>
      <c r="H73" s="463"/>
      <c r="I73" s="463"/>
      <c r="J73" s="463"/>
      <c r="K73" s="463"/>
      <c r="L73" s="463"/>
      <c r="M73" s="463">
        <v>55000</v>
      </c>
      <c r="N73" s="463"/>
      <c r="O73" s="463">
        <f t="shared" si="2"/>
        <v>56100</v>
      </c>
    </row>
    <row r="74" spans="1:15" x14ac:dyDescent="0.2">
      <c r="A74" s="392" t="str">
        <f t="shared" si="0"/>
        <v>Teachers Aides</v>
      </c>
      <c r="B74" s="139"/>
      <c r="C74" s="84">
        <f t="shared" ref="C74:C87" si="4">B74*(1+C$62)</f>
        <v>0</v>
      </c>
      <c r="D74" s="136"/>
      <c r="E74" s="927">
        <v>0</v>
      </c>
      <c r="F74" s="280"/>
      <c r="G74" s="463"/>
      <c r="H74" s="463"/>
      <c r="I74" s="463"/>
      <c r="J74" s="463"/>
      <c r="K74" s="463"/>
      <c r="L74" s="463"/>
      <c r="M74" s="463">
        <f t="shared" si="3"/>
        <v>0</v>
      </c>
      <c r="N74" s="463"/>
      <c r="O74" s="463">
        <f t="shared" si="2"/>
        <v>0</v>
      </c>
    </row>
    <row r="75" spans="1:15" x14ac:dyDescent="0.2">
      <c r="A75" s="392" t="str">
        <f t="shared" si="0"/>
        <v>Counselors</v>
      </c>
      <c r="B75" s="139"/>
      <c r="C75" s="84">
        <f t="shared" si="4"/>
        <v>0</v>
      </c>
      <c r="D75" s="136"/>
      <c r="E75" s="927">
        <v>0</v>
      </c>
      <c r="F75" s="280"/>
      <c r="G75" s="463"/>
      <c r="H75" s="463"/>
      <c r="I75" s="463"/>
      <c r="J75" s="463"/>
      <c r="K75" s="463"/>
      <c r="L75" s="463"/>
      <c r="M75" s="463">
        <f t="shared" si="3"/>
        <v>0</v>
      </c>
      <c r="N75" s="463"/>
      <c r="O75" s="463">
        <f t="shared" si="2"/>
        <v>0</v>
      </c>
    </row>
    <row r="76" spans="1:15" x14ac:dyDescent="0.2">
      <c r="A76" s="392" t="str">
        <f t="shared" si="0"/>
        <v>Librarians</v>
      </c>
      <c r="B76" s="139"/>
      <c r="C76" s="84">
        <f t="shared" si="4"/>
        <v>0</v>
      </c>
      <c r="D76" s="136"/>
      <c r="E76" s="927">
        <v>0</v>
      </c>
      <c r="F76" s="280"/>
      <c r="G76" s="463"/>
      <c r="H76" s="463"/>
      <c r="I76" s="463"/>
      <c r="J76" s="463"/>
      <c r="K76" s="463"/>
      <c r="L76" s="463"/>
      <c r="M76" s="463">
        <f t="shared" si="3"/>
        <v>0</v>
      </c>
      <c r="N76" s="463"/>
      <c r="O76" s="463">
        <f t="shared" si="2"/>
        <v>0</v>
      </c>
    </row>
    <row r="77" spans="1:15" x14ac:dyDescent="0.2">
      <c r="A77" s="392" t="str">
        <f t="shared" si="0"/>
        <v>Deans</v>
      </c>
      <c r="B77" s="139"/>
      <c r="C77" s="84">
        <f t="shared" si="4"/>
        <v>0</v>
      </c>
      <c r="D77" s="136"/>
      <c r="E77" s="927">
        <v>0</v>
      </c>
      <c r="F77" s="280"/>
      <c r="G77" s="463"/>
      <c r="H77" s="463"/>
      <c r="I77" s="463"/>
      <c r="J77" s="463"/>
      <c r="K77" s="463"/>
      <c r="L77" s="463"/>
      <c r="M77" s="463">
        <f t="shared" si="3"/>
        <v>0</v>
      </c>
      <c r="N77" s="463"/>
      <c r="O77" s="463">
        <f t="shared" si="2"/>
        <v>0</v>
      </c>
    </row>
    <row r="78" spans="1:15" x14ac:dyDescent="0.2">
      <c r="A78" s="392" t="str">
        <f t="shared" si="0"/>
        <v>Site Director</v>
      </c>
      <c r="B78" s="139">
        <v>70000</v>
      </c>
      <c r="C78" s="84">
        <f t="shared" si="4"/>
        <v>70000</v>
      </c>
      <c r="D78" s="136"/>
      <c r="E78" s="927">
        <v>0</v>
      </c>
      <c r="F78" s="280"/>
      <c r="G78" s="463"/>
      <c r="H78" s="463"/>
      <c r="I78" s="463"/>
      <c r="J78" s="463"/>
      <c r="K78" s="463"/>
      <c r="L78" s="463"/>
      <c r="M78" s="463">
        <v>70000</v>
      </c>
      <c r="N78" s="463"/>
      <c r="O78" s="463">
        <f t="shared" si="2"/>
        <v>71400</v>
      </c>
    </row>
    <row r="79" spans="1:15" x14ac:dyDescent="0.2">
      <c r="A79" s="392" t="str">
        <f t="shared" si="0"/>
        <v>Assistant Principal</v>
      </c>
      <c r="B79" s="139"/>
      <c r="C79" s="84">
        <f t="shared" si="4"/>
        <v>0</v>
      </c>
      <c r="D79" s="136"/>
      <c r="E79" s="927">
        <v>0</v>
      </c>
      <c r="F79" s="280"/>
      <c r="G79" s="463">
        <f t="shared" ref="G79:G87" si="5">C79*(1+G$62)</f>
        <v>0</v>
      </c>
      <c r="H79" s="463"/>
      <c r="I79" s="463">
        <f t="shared" ref="I79:I87" si="6">G79*(1+I$62)</f>
        <v>0</v>
      </c>
      <c r="J79" s="463"/>
      <c r="K79" s="463">
        <f t="shared" ref="K79:K87" si="7">I79*(1+K$62)</f>
        <v>0</v>
      </c>
      <c r="L79" s="463"/>
      <c r="M79" s="463">
        <f t="shared" si="3"/>
        <v>0</v>
      </c>
      <c r="N79" s="463"/>
      <c r="O79" s="463">
        <f t="shared" si="2"/>
        <v>0</v>
      </c>
    </row>
    <row r="80" spans="1:15" x14ac:dyDescent="0.2">
      <c r="A80" s="392" t="str">
        <f t="shared" si="0"/>
        <v>A</v>
      </c>
      <c r="B80" s="139"/>
      <c r="C80" s="84">
        <f t="shared" si="4"/>
        <v>0</v>
      </c>
      <c r="D80" s="136"/>
      <c r="E80" s="927">
        <v>0</v>
      </c>
      <c r="F80" s="280"/>
      <c r="G80" s="463">
        <f t="shared" si="5"/>
        <v>0</v>
      </c>
      <c r="H80" s="463"/>
      <c r="I80" s="463">
        <f t="shared" si="6"/>
        <v>0</v>
      </c>
      <c r="J80" s="463"/>
      <c r="K80" s="463">
        <f t="shared" si="7"/>
        <v>0</v>
      </c>
      <c r="L80" s="463"/>
      <c r="M80" s="463">
        <f t="shared" si="3"/>
        <v>0</v>
      </c>
      <c r="N80" s="463"/>
      <c r="O80" s="463">
        <f t="shared" si="2"/>
        <v>0</v>
      </c>
    </row>
    <row r="81" spans="1:15" x14ac:dyDescent="0.2">
      <c r="A81" s="511" t="str">
        <f t="shared" si="0"/>
        <v>B</v>
      </c>
      <c r="B81" s="139"/>
      <c r="C81" s="84">
        <f t="shared" si="4"/>
        <v>0</v>
      </c>
      <c r="D81" s="136"/>
      <c r="E81" s="927">
        <v>0</v>
      </c>
      <c r="F81" s="280"/>
      <c r="G81" s="463">
        <f t="shared" si="5"/>
        <v>0</v>
      </c>
      <c r="H81" s="463"/>
      <c r="I81" s="463">
        <f t="shared" si="6"/>
        <v>0</v>
      </c>
      <c r="J81" s="463"/>
      <c r="K81" s="463">
        <f t="shared" si="7"/>
        <v>0</v>
      </c>
      <c r="L81" s="463"/>
      <c r="M81" s="463">
        <f t="shared" si="3"/>
        <v>0</v>
      </c>
      <c r="N81" s="463"/>
      <c r="O81" s="463">
        <f t="shared" si="2"/>
        <v>0</v>
      </c>
    </row>
    <row r="82" spans="1:15" x14ac:dyDescent="0.2">
      <c r="A82" s="511" t="str">
        <f t="shared" si="0"/>
        <v>C</v>
      </c>
      <c r="B82" s="139"/>
      <c r="C82" s="84">
        <f t="shared" si="4"/>
        <v>0</v>
      </c>
      <c r="D82" s="136"/>
      <c r="E82" s="927">
        <v>0</v>
      </c>
      <c r="F82" s="280"/>
      <c r="G82" s="463">
        <f t="shared" si="5"/>
        <v>0</v>
      </c>
      <c r="H82" s="463"/>
      <c r="I82" s="463">
        <f t="shared" si="6"/>
        <v>0</v>
      </c>
      <c r="J82" s="463"/>
      <c r="K82" s="463">
        <f t="shared" si="7"/>
        <v>0</v>
      </c>
      <c r="L82" s="463"/>
      <c r="M82" s="463">
        <f t="shared" si="3"/>
        <v>0</v>
      </c>
      <c r="N82" s="463"/>
      <c r="O82" s="463">
        <f t="shared" si="2"/>
        <v>0</v>
      </c>
    </row>
    <row r="83" spans="1:15" x14ac:dyDescent="0.2">
      <c r="A83" s="511" t="str">
        <f t="shared" si="0"/>
        <v>D</v>
      </c>
      <c r="B83" s="139"/>
      <c r="C83" s="84">
        <f t="shared" si="4"/>
        <v>0</v>
      </c>
      <c r="D83" s="136"/>
      <c r="E83" s="927">
        <v>0</v>
      </c>
      <c r="F83" s="280"/>
      <c r="G83" s="463">
        <f t="shared" si="5"/>
        <v>0</v>
      </c>
      <c r="H83" s="463"/>
      <c r="I83" s="463">
        <f t="shared" si="6"/>
        <v>0</v>
      </c>
      <c r="J83" s="463"/>
      <c r="K83" s="463">
        <f t="shared" si="7"/>
        <v>0</v>
      </c>
      <c r="L83" s="463"/>
      <c r="M83" s="463">
        <f t="shared" si="3"/>
        <v>0</v>
      </c>
      <c r="N83" s="463"/>
      <c r="O83" s="463">
        <f t="shared" si="2"/>
        <v>0</v>
      </c>
    </row>
    <row r="84" spans="1:15" x14ac:dyDescent="0.2">
      <c r="A84" s="511" t="str">
        <f t="shared" si="0"/>
        <v>E</v>
      </c>
      <c r="B84" s="139"/>
      <c r="C84" s="84">
        <f t="shared" si="4"/>
        <v>0</v>
      </c>
      <c r="D84" s="136"/>
      <c r="E84" s="927">
        <v>0</v>
      </c>
      <c r="F84" s="280"/>
      <c r="G84" s="463">
        <f t="shared" si="5"/>
        <v>0</v>
      </c>
      <c r="H84" s="463"/>
      <c r="I84" s="463">
        <f t="shared" si="6"/>
        <v>0</v>
      </c>
      <c r="J84" s="463"/>
      <c r="K84" s="463">
        <f t="shared" si="7"/>
        <v>0</v>
      </c>
      <c r="L84" s="463"/>
      <c r="M84" s="463">
        <f t="shared" si="3"/>
        <v>0</v>
      </c>
      <c r="N84" s="463"/>
      <c r="O84" s="463">
        <f t="shared" si="2"/>
        <v>0</v>
      </c>
    </row>
    <row r="85" spans="1:15" x14ac:dyDescent="0.2">
      <c r="A85" s="511" t="str">
        <f t="shared" si="0"/>
        <v>F</v>
      </c>
      <c r="B85" s="139"/>
      <c r="C85" s="84">
        <f t="shared" si="4"/>
        <v>0</v>
      </c>
      <c r="D85" s="84"/>
      <c r="E85" s="927">
        <v>0</v>
      </c>
      <c r="F85" s="147"/>
      <c r="G85" s="463">
        <f t="shared" si="5"/>
        <v>0</v>
      </c>
      <c r="H85" s="463"/>
      <c r="I85" s="463">
        <f t="shared" si="6"/>
        <v>0</v>
      </c>
      <c r="J85" s="463"/>
      <c r="K85" s="463">
        <f t="shared" si="7"/>
        <v>0</v>
      </c>
      <c r="L85" s="463"/>
      <c r="M85" s="463">
        <f t="shared" si="3"/>
        <v>0</v>
      </c>
      <c r="N85" s="463"/>
      <c r="O85" s="463">
        <f t="shared" si="2"/>
        <v>0</v>
      </c>
    </row>
    <row r="86" spans="1:15" x14ac:dyDescent="0.2">
      <c r="A86" s="511" t="str">
        <f t="shared" si="0"/>
        <v>G</v>
      </c>
      <c r="B86" s="139"/>
      <c r="C86" s="84">
        <f t="shared" si="4"/>
        <v>0</v>
      </c>
      <c r="D86" s="84"/>
      <c r="E86" s="927">
        <v>0</v>
      </c>
      <c r="F86" s="147"/>
      <c r="G86" s="463">
        <f t="shared" si="5"/>
        <v>0</v>
      </c>
      <c r="H86" s="463"/>
      <c r="I86" s="463">
        <f t="shared" si="6"/>
        <v>0</v>
      </c>
      <c r="J86" s="463"/>
      <c r="K86" s="463">
        <f t="shared" si="7"/>
        <v>0</v>
      </c>
      <c r="L86" s="463"/>
      <c r="M86" s="463">
        <f t="shared" si="3"/>
        <v>0</v>
      </c>
      <c r="N86" s="463"/>
      <c r="O86" s="463">
        <f t="shared" si="2"/>
        <v>0</v>
      </c>
    </row>
    <row r="87" spans="1:15" ht="13.5" thickBot="1" x14ac:dyDescent="0.25">
      <c r="A87" s="512" t="str">
        <f t="shared" si="0"/>
        <v>H</v>
      </c>
      <c r="B87" s="151"/>
      <c r="C87" s="152">
        <f t="shared" si="4"/>
        <v>0</v>
      </c>
      <c r="D87" s="152"/>
      <c r="E87" s="927">
        <v>0</v>
      </c>
      <c r="F87" s="281"/>
      <c r="G87" s="463">
        <f t="shared" si="5"/>
        <v>0</v>
      </c>
      <c r="H87" s="463"/>
      <c r="I87" s="463">
        <f t="shared" si="6"/>
        <v>0</v>
      </c>
      <c r="J87" s="463"/>
      <c r="K87" s="463">
        <f t="shared" si="7"/>
        <v>0</v>
      </c>
      <c r="L87" s="463"/>
      <c r="M87" s="463">
        <f t="shared" si="3"/>
        <v>0</v>
      </c>
      <c r="N87" s="463"/>
      <c r="O87" s="463">
        <f t="shared" si="2"/>
        <v>0</v>
      </c>
    </row>
    <row r="88" spans="1:15" ht="40.5" customHeight="1" thickBot="1" x14ac:dyDescent="0.3">
      <c r="A88" s="513" t="str">
        <f t="shared" si="0"/>
        <v xml:space="preserve">Positions that Do NOT Participate in the Chicago Teachers Pension Fund (Contract Schools should enter ALL of their employees in this section):         </v>
      </c>
      <c r="B88" s="518"/>
      <c r="C88" s="406"/>
      <c r="D88" s="406"/>
      <c r="E88" s="406"/>
      <c r="F88" s="406"/>
      <c r="G88" s="406"/>
      <c r="H88" s="406"/>
      <c r="I88" s="406"/>
      <c r="J88" s="406"/>
      <c r="K88" s="406"/>
      <c r="L88" s="406"/>
      <c r="M88" s="406"/>
      <c r="N88" s="406"/>
      <c r="O88" s="407"/>
    </row>
    <row r="89" spans="1:15" x14ac:dyDescent="0.2">
      <c r="A89" s="408" t="str">
        <f t="shared" si="0"/>
        <v>Teachers</v>
      </c>
      <c r="B89" s="141">
        <v>50000</v>
      </c>
      <c r="C89" s="147">
        <f>B89*(1+C$62)</f>
        <v>50000</v>
      </c>
      <c r="D89" s="147"/>
      <c r="E89" s="147">
        <v>0</v>
      </c>
      <c r="F89" s="147"/>
      <c r="G89" s="463"/>
      <c r="H89" s="463"/>
      <c r="I89" s="463"/>
      <c r="J89" s="463"/>
      <c r="K89" s="463"/>
      <c r="L89" s="463"/>
      <c r="M89" s="463">
        <v>50000</v>
      </c>
      <c r="N89" s="463"/>
      <c r="O89" s="463">
        <f>M89*(1+O$62)</f>
        <v>51000</v>
      </c>
    </row>
    <row r="90" spans="1:15" x14ac:dyDescent="0.2">
      <c r="A90" s="499" t="str">
        <f t="shared" ref="A90:A107" si="8">A32</f>
        <v>SPED Teachers (positions that are reimbursed by CPS)</v>
      </c>
      <c r="B90" s="139"/>
      <c r="C90" s="84">
        <f>B90*(1+C$62)</f>
        <v>0</v>
      </c>
      <c r="D90" s="84"/>
      <c r="E90" s="147">
        <f t="shared" ref="E90:E115" si="9">B90</f>
        <v>0</v>
      </c>
      <c r="F90" s="147"/>
      <c r="G90" s="463"/>
      <c r="H90" s="463"/>
      <c r="I90" s="463"/>
      <c r="J90" s="463"/>
      <c r="K90" s="463"/>
      <c r="L90" s="463"/>
      <c r="M90" s="463">
        <f t="shared" ref="M90:M115" si="10">K90*(1+M$62)</f>
        <v>0</v>
      </c>
      <c r="N90" s="463"/>
      <c r="O90" s="463">
        <f t="shared" ref="O90:O115" si="11">M90*(1+O$62)</f>
        <v>0</v>
      </c>
    </row>
    <row r="91" spans="1:15" x14ac:dyDescent="0.2">
      <c r="A91" s="499" t="str">
        <f t="shared" si="8"/>
        <v>SPED Aides (positions that are reimbursed by CPS)</v>
      </c>
      <c r="B91" s="139"/>
      <c r="C91" s="84">
        <f>B91*(1+C$62)</f>
        <v>0</v>
      </c>
      <c r="D91" s="84"/>
      <c r="E91" s="147">
        <f t="shared" si="9"/>
        <v>0</v>
      </c>
      <c r="F91" s="147"/>
      <c r="G91" s="463"/>
      <c r="H91" s="463"/>
      <c r="I91" s="463"/>
      <c r="J91" s="463"/>
      <c r="K91" s="463"/>
      <c r="L91" s="463"/>
      <c r="M91" s="463">
        <f t="shared" si="10"/>
        <v>0</v>
      </c>
      <c r="N91" s="463"/>
      <c r="O91" s="463">
        <f t="shared" si="11"/>
        <v>0</v>
      </c>
    </row>
    <row r="92" spans="1:15" x14ac:dyDescent="0.2">
      <c r="A92" s="499" t="str">
        <f t="shared" si="8"/>
        <v>SPED Clinicians-Psychologist (reimbursed by CPS)</v>
      </c>
      <c r="B92" s="139"/>
      <c r="C92" s="84">
        <f t="shared" ref="C92:C103" si="12">B92*(1+C$62)</f>
        <v>0</v>
      </c>
      <c r="D92" s="84"/>
      <c r="E92" s="147">
        <f t="shared" si="9"/>
        <v>0</v>
      </c>
      <c r="F92" s="147"/>
      <c r="G92" s="463"/>
      <c r="H92" s="463"/>
      <c r="I92" s="463"/>
      <c r="J92" s="463"/>
      <c r="K92" s="463"/>
      <c r="L92" s="463"/>
      <c r="M92" s="463">
        <f t="shared" si="10"/>
        <v>0</v>
      </c>
      <c r="N92" s="463"/>
      <c r="O92" s="463">
        <f t="shared" si="11"/>
        <v>0</v>
      </c>
    </row>
    <row r="93" spans="1:15" x14ac:dyDescent="0.2">
      <c r="A93" s="499" t="str">
        <f t="shared" si="8"/>
        <v>SPED Clinicians-Social Worker (reimbursed by CPS)</v>
      </c>
      <c r="B93" s="139"/>
      <c r="C93" s="84">
        <f t="shared" si="12"/>
        <v>0</v>
      </c>
      <c r="D93" s="84"/>
      <c r="E93" s="147">
        <f t="shared" si="9"/>
        <v>0</v>
      </c>
      <c r="F93" s="147"/>
      <c r="G93" s="463"/>
      <c r="H93" s="463"/>
      <c r="I93" s="463"/>
      <c r="J93" s="463"/>
      <c r="K93" s="463"/>
      <c r="L93" s="463"/>
      <c r="M93" s="463">
        <f t="shared" si="10"/>
        <v>0</v>
      </c>
      <c r="N93" s="463"/>
      <c r="O93" s="463">
        <f t="shared" si="11"/>
        <v>0</v>
      </c>
    </row>
    <row r="94" spans="1:15" x14ac:dyDescent="0.2">
      <c r="A94" s="499" t="str">
        <f t="shared" si="8"/>
        <v>SPED Clinicians-Speech Therapist (reimbursed by CPS)</v>
      </c>
      <c r="B94" s="139"/>
      <c r="C94" s="84">
        <f t="shared" si="12"/>
        <v>0</v>
      </c>
      <c r="D94" s="84"/>
      <c r="E94" s="147">
        <f t="shared" si="9"/>
        <v>0</v>
      </c>
      <c r="F94" s="147"/>
      <c r="G94" s="463"/>
      <c r="H94" s="463"/>
      <c r="I94" s="463"/>
      <c r="J94" s="463"/>
      <c r="K94" s="463"/>
      <c r="L94" s="463"/>
      <c r="M94" s="463">
        <f t="shared" si="10"/>
        <v>0</v>
      </c>
      <c r="N94" s="463"/>
      <c r="O94" s="463">
        <f t="shared" si="11"/>
        <v>0</v>
      </c>
    </row>
    <row r="95" spans="1:15" x14ac:dyDescent="0.2">
      <c r="A95" s="499" t="str">
        <f t="shared" si="8"/>
        <v>SPED Clinicians-Physical Therapist (reimbursed by CPS)</v>
      </c>
      <c r="B95" s="139"/>
      <c r="C95" s="84">
        <f t="shared" si="12"/>
        <v>0</v>
      </c>
      <c r="D95" s="84"/>
      <c r="E95" s="147">
        <f t="shared" si="9"/>
        <v>0</v>
      </c>
      <c r="F95" s="147"/>
      <c r="G95" s="463"/>
      <c r="H95" s="463"/>
      <c r="I95" s="463"/>
      <c r="J95" s="463"/>
      <c r="K95" s="463"/>
      <c r="L95" s="463"/>
      <c r="M95" s="463">
        <f t="shared" si="10"/>
        <v>0</v>
      </c>
      <c r="N95" s="463"/>
      <c r="O95" s="463">
        <f t="shared" si="11"/>
        <v>0</v>
      </c>
    </row>
    <row r="96" spans="1:15" x14ac:dyDescent="0.2">
      <c r="A96" s="499" t="str">
        <f t="shared" si="8"/>
        <v>SPED Clinicians-Occupational Therapist (reimbursed by CPS)</v>
      </c>
      <c r="B96" s="139"/>
      <c r="C96" s="84">
        <f t="shared" si="12"/>
        <v>0</v>
      </c>
      <c r="D96" s="84"/>
      <c r="E96" s="147">
        <f t="shared" si="9"/>
        <v>0</v>
      </c>
      <c r="F96" s="147"/>
      <c r="G96" s="463"/>
      <c r="H96" s="463"/>
      <c r="I96" s="463"/>
      <c r="J96" s="463"/>
      <c r="K96" s="463"/>
      <c r="L96" s="463"/>
      <c r="M96" s="463">
        <f t="shared" si="10"/>
        <v>0</v>
      </c>
      <c r="N96" s="463"/>
      <c r="O96" s="463">
        <f t="shared" si="11"/>
        <v>0</v>
      </c>
    </row>
    <row r="97" spans="1:15" x14ac:dyDescent="0.2">
      <c r="A97" s="499" t="str">
        <f t="shared" si="8"/>
        <v>SPED Clinicians-Nurse (reimbursed by CPS)</v>
      </c>
      <c r="B97" s="139"/>
      <c r="C97" s="84">
        <f t="shared" si="12"/>
        <v>0</v>
      </c>
      <c r="D97" s="84"/>
      <c r="E97" s="147">
        <f t="shared" si="9"/>
        <v>0</v>
      </c>
      <c r="F97" s="147"/>
      <c r="G97" s="463"/>
      <c r="H97" s="463"/>
      <c r="I97" s="463"/>
      <c r="J97" s="463"/>
      <c r="K97" s="463"/>
      <c r="L97" s="463"/>
      <c r="M97" s="463">
        <f t="shared" si="10"/>
        <v>0</v>
      </c>
      <c r="N97" s="463"/>
      <c r="O97" s="463">
        <f t="shared" si="11"/>
        <v>0</v>
      </c>
    </row>
    <row r="98" spans="1:15" x14ac:dyDescent="0.2">
      <c r="A98" s="408" t="str">
        <f t="shared" si="8"/>
        <v>Teacher Assistants/Aides</v>
      </c>
      <c r="B98" s="136">
        <v>25000</v>
      </c>
      <c r="C98" s="84">
        <f t="shared" si="12"/>
        <v>25000</v>
      </c>
      <c r="D98" s="84"/>
      <c r="E98" s="147">
        <v>0</v>
      </c>
      <c r="F98" s="147"/>
      <c r="G98" s="463"/>
      <c r="H98" s="463"/>
      <c r="I98" s="463"/>
      <c r="J98" s="463"/>
      <c r="K98" s="463"/>
      <c r="L98" s="463"/>
      <c r="M98" s="463">
        <v>25000</v>
      </c>
      <c r="N98" s="463"/>
      <c r="O98" s="463">
        <f t="shared" si="11"/>
        <v>25500</v>
      </c>
    </row>
    <row r="99" spans="1:15" x14ac:dyDescent="0.2">
      <c r="A99" s="408" t="str">
        <f t="shared" si="8"/>
        <v>Resource Specialist</v>
      </c>
      <c r="B99" s="136">
        <v>45000</v>
      </c>
      <c r="C99" s="84">
        <f t="shared" si="12"/>
        <v>45000</v>
      </c>
      <c r="D99" s="84"/>
      <c r="E99" s="147">
        <v>0</v>
      </c>
      <c r="F99" s="147"/>
      <c r="G99" s="463"/>
      <c r="H99" s="463"/>
      <c r="I99" s="463"/>
      <c r="J99" s="463"/>
      <c r="K99" s="463"/>
      <c r="L99" s="463"/>
      <c r="M99" s="463">
        <v>45000</v>
      </c>
      <c r="N99" s="463"/>
      <c r="O99" s="463">
        <f t="shared" si="11"/>
        <v>45900</v>
      </c>
    </row>
    <row r="100" spans="1:15" x14ac:dyDescent="0.2">
      <c r="A100" s="408" t="str">
        <f t="shared" si="8"/>
        <v>Transition Specialist</v>
      </c>
      <c r="B100" s="136">
        <v>45000</v>
      </c>
      <c r="C100" s="84">
        <f t="shared" si="12"/>
        <v>45000</v>
      </c>
      <c r="D100" s="84"/>
      <c r="E100" s="147">
        <v>0</v>
      </c>
      <c r="F100" s="147"/>
      <c r="G100" s="463"/>
      <c r="H100" s="463"/>
      <c r="I100" s="463"/>
      <c r="J100" s="463"/>
      <c r="K100" s="463"/>
      <c r="L100" s="463"/>
      <c r="M100" s="463">
        <v>45000</v>
      </c>
      <c r="N100" s="463"/>
      <c r="O100" s="463">
        <f t="shared" si="11"/>
        <v>45900</v>
      </c>
    </row>
    <row r="101" spans="1:15" x14ac:dyDescent="0.2">
      <c r="A101" s="408" t="str">
        <f t="shared" si="8"/>
        <v>Blended Learning Coordinator</v>
      </c>
      <c r="B101" s="136">
        <v>50000</v>
      </c>
      <c r="C101" s="84">
        <f t="shared" si="12"/>
        <v>50000</v>
      </c>
      <c r="D101" s="84"/>
      <c r="E101" s="147">
        <v>0</v>
      </c>
      <c r="F101" s="147"/>
      <c r="G101" s="463"/>
      <c r="H101" s="463"/>
      <c r="I101" s="463"/>
      <c r="J101" s="463"/>
      <c r="K101" s="463"/>
      <c r="L101" s="463"/>
      <c r="M101" s="463">
        <v>50000</v>
      </c>
      <c r="N101" s="463"/>
      <c r="O101" s="463">
        <f t="shared" si="11"/>
        <v>51000</v>
      </c>
    </row>
    <row r="102" spans="1:15" x14ac:dyDescent="0.2">
      <c r="A102" s="408" t="str">
        <f t="shared" si="8"/>
        <v>Site Director</v>
      </c>
      <c r="B102" s="136"/>
      <c r="C102" s="84">
        <f t="shared" si="12"/>
        <v>0</v>
      </c>
      <c r="D102" s="84"/>
      <c r="E102" s="147">
        <f t="shared" si="9"/>
        <v>0</v>
      </c>
      <c r="F102" s="147"/>
      <c r="G102" s="463"/>
      <c r="H102" s="463"/>
      <c r="I102" s="463"/>
      <c r="J102" s="463"/>
      <c r="K102" s="463"/>
      <c r="L102" s="463"/>
      <c r="M102" s="463">
        <f t="shared" si="10"/>
        <v>0</v>
      </c>
      <c r="N102" s="463"/>
      <c r="O102" s="463">
        <f t="shared" si="11"/>
        <v>0</v>
      </c>
    </row>
    <row r="103" spans="1:15" ht="12.75" customHeight="1" x14ac:dyDescent="0.2">
      <c r="A103" s="408" t="str">
        <f t="shared" si="8"/>
        <v>Librarians</v>
      </c>
      <c r="B103" s="822"/>
      <c r="C103" s="84">
        <f t="shared" si="12"/>
        <v>0</v>
      </c>
      <c r="D103" s="137"/>
      <c r="E103" s="147">
        <f t="shared" si="9"/>
        <v>0</v>
      </c>
      <c r="F103" s="280"/>
      <c r="G103" s="463"/>
      <c r="H103" s="463"/>
      <c r="I103" s="463"/>
      <c r="J103" s="463"/>
      <c r="K103" s="463"/>
      <c r="L103" s="463"/>
      <c r="M103" s="463">
        <f t="shared" si="10"/>
        <v>0</v>
      </c>
      <c r="N103" s="463"/>
      <c r="O103" s="463">
        <f t="shared" si="11"/>
        <v>0</v>
      </c>
    </row>
    <row r="104" spans="1:15" x14ac:dyDescent="0.2">
      <c r="A104" s="408" t="str">
        <f t="shared" si="8"/>
        <v>Custodians</v>
      </c>
      <c r="B104" s="136"/>
      <c r="C104" s="84">
        <f t="shared" ref="C104:C115" si="13">B104*(1+C$62)</f>
        <v>0</v>
      </c>
      <c r="D104" s="84"/>
      <c r="E104" s="147">
        <f t="shared" si="9"/>
        <v>0</v>
      </c>
      <c r="F104" s="147"/>
      <c r="G104" s="463"/>
      <c r="H104" s="463"/>
      <c r="I104" s="463"/>
      <c r="J104" s="463"/>
      <c r="K104" s="463"/>
      <c r="L104" s="463"/>
      <c r="M104" s="463">
        <f t="shared" si="10"/>
        <v>0</v>
      </c>
      <c r="N104" s="463"/>
      <c r="O104" s="463">
        <f t="shared" si="11"/>
        <v>0</v>
      </c>
    </row>
    <row r="105" spans="1:15" x14ac:dyDescent="0.2">
      <c r="A105" s="408" t="str">
        <f t="shared" si="8"/>
        <v>Receptionist/Administrative Asst</v>
      </c>
      <c r="B105" s="136">
        <v>30000</v>
      </c>
      <c r="C105" s="84">
        <f t="shared" si="13"/>
        <v>30000</v>
      </c>
      <c r="D105" s="84"/>
      <c r="E105" s="147">
        <v>0</v>
      </c>
      <c r="F105" s="147"/>
      <c r="G105" s="463"/>
      <c r="H105" s="463"/>
      <c r="I105" s="463"/>
      <c r="J105" s="463"/>
      <c r="K105" s="463"/>
      <c r="L105" s="463"/>
      <c r="M105" s="463">
        <v>30000</v>
      </c>
      <c r="N105" s="463"/>
      <c r="O105" s="463">
        <f t="shared" si="11"/>
        <v>30600</v>
      </c>
    </row>
    <row r="106" spans="1:15" x14ac:dyDescent="0.2">
      <c r="A106" s="408" t="str">
        <f t="shared" si="8"/>
        <v>Social Worker</v>
      </c>
      <c r="B106" s="136">
        <v>55000</v>
      </c>
      <c r="C106" s="84">
        <f t="shared" si="13"/>
        <v>55000</v>
      </c>
      <c r="D106" s="84"/>
      <c r="E106" s="147">
        <v>0</v>
      </c>
      <c r="F106" s="147"/>
      <c r="G106" s="463"/>
      <c r="H106" s="463"/>
      <c r="I106" s="463"/>
      <c r="J106" s="463"/>
      <c r="K106" s="463"/>
      <c r="L106" s="463"/>
      <c r="M106" s="463">
        <v>55000</v>
      </c>
      <c r="N106" s="463"/>
      <c r="O106" s="463">
        <f t="shared" si="11"/>
        <v>56100</v>
      </c>
    </row>
    <row r="107" spans="1:15" x14ac:dyDescent="0.2">
      <c r="A107" s="408" t="str">
        <f t="shared" si="8"/>
        <v>Registrar</v>
      </c>
      <c r="B107" s="136">
        <v>45000</v>
      </c>
      <c r="C107" s="84">
        <f t="shared" si="13"/>
        <v>45000</v>
      </c>
      <c r="D107" s="84"/>
      <c r="E107" s="147">
        <v>0</v>
      </c>
      <c r="F107" s="147"/>
      <c r="G107" s="463"/>
      <c r="H107" s="463"/>
      <c r="I107" s="463"/>
      <c r="J107" s="463"/>
      <c r="K107" s="463"/>
      <c r="L107" s="463"/>
      <c r="M107" s="463">
        <v>45000</v>
      </c>
      <c r="N107" s="463"/>
      <c r="O107" s="463">
        <f t="shared" si="11"/>
        <v>45900</v>
      </c>
    </row>
    <row r="108" spans="1:15" x14ac:dyDescent="0.2">
      <c r="A108" s="408" t="str">
        <f>A50</f>
        <v>Managing Director</v>
      </c>
      <c r="B108" s="136"/>
      <c r="C108" s="84">
        <f t="shared" si="13"/>
        <v>0</v>
      </c>
      <c r="D108" s="84"/>
      <c r="E108" s="147">
        <f t="shared" si="9"/>
        <v>0</v>
      </c>
      <c r="F108" s="147"/>
      <c r="G108" s="463">
        <f t="shared" ref="G108:G115" si="14">C108*(1+G$62)</f>
        <v>0</v>
      </c>
      <c r="H108" s="463"/>
      <c r="I108" s="463">
        <f t="shared" ref="I108:I115" si="15">G108*(1+I$62)</f>
        <v>0</v>
      </c>
      <c r="J108" s="463"/>
      <c r="K108" s="463">
        <f t="shared" ref="K108:K115" si="16">I108*(1+K$62)</f>
        <v>0</v>
      </c>
      <c r="L108" s="463"/>
      <c r="M108" s="463">
        <f t="shared" si="10"/>
        <v>0</v>
      </c>
      <c r="N108" s="463"/>
      <c r="O108" s="463">
        <f t="shared" si="11"/>
        <v>0</v>
      </c>
    </row>
    <row r="109" spans="1:15" x14ac:dyDescent="0.2">
      <c r="A109" s="408" t="str">
        <f t="shared" ref="A109:A115" si="17">A51</f>
        <v>Director of Education</v>
      </c>
      <c r="B109" s="136"/>
      <c r="C109" s="84">
        <f t="shared" si="13"/>
        <v>0</v>
      </c>
      <c r="D109" s="84"/>
      <c r="E109" s="147">
        <f t="shared" si="9"/>
        <v>0</v>
      </c>
      <c r="F109" s="147"/>
      <c r="G109" s="463">
        <f t="shared" si="14"/>
        <v>0</v>
      </c>
      <c r="H109" s="463"/>
      <c r="I109" s="463">
        <f t="shared" si="15"/>
        <v>0</v>
      </c>
      <c r="J109" s="463"/>
      <c r="K109" s="463">
        <f t="shared" si="16"/>
        <v>0</v>
      </c>
      <c r="L109" s="463"/>
      <c r="M109" s="463">
        <f t="shared" si="10"/>
        <v>0</v>
      </c>
      <c r="N109" s="463"/>
      <c r="O109" s="463">
        <f t="shared" si="11"/>
        <v>0</v>
      </c>
    </row>
    <row r="110" spans="1:15" x14ac:dyDescent="0.2">
      <c r="A110" s="408" t="str">
        <f t="shared" si="17"/>
        <v>Director of Finance &amp; Operations</v>
      </c>
      <c r="B110" s="136"/>
      <c r="C110" s="84">
        <f t="shared" si="13"/>
        <v>0</v>
      </c>
      <c r="D110" s="84"/>
      <c r="E110" s="147">
        <f t="shared" si="9"/>
        <v>0</v>
      </c>
      <c r="F110" s="147"/>
      <c r="G110" s="463">
        <f t="shared" si="14"/>
        <v>0</v>
      </c>
      <c r="H110" s="463"/>
      <c r="I110" s="463">
        <f t="shared" si="15"/>
        <v>0</v>
      </c>
      <c r="J110" s="463"/>
      <c r="K110" s="463">
        <f t="shared" si="16"/>
        <v>0</v>
      </c>
      <c r="L110" s="463"/>
      <c r="M110" s="463">
        <f t="shared" si="10"/>
        <v>0</v>
      </c>
      <c r="N110" s="463"/>
      <c r="O110" s="463">
        <f t="shared" si="11"/>
        <v>0</v>
      </c>
    </row>
    <row r="111" spans="1:15" x14ac:dyDescent="0.2">
      <c r="A111" s="408" t="str">
        <f t="shared" si="17"/>
        <v xml:space="preserve">L </v>
      </c>
      <c r="B111" s="136"/>
      <c r="C111" s="84">
        <f t="shared" si="13"/>
        <v>0</v>
      </c>
      <c r="D111" s="84"/>
      <c r="E111" s="147">
        <f t="shared" si="9"/>
        <v>0</v>
      </c>
      <c r="F111" s="147"/>
      <c r="G111" s="463">
        <f t="shared" si="14"/>
        <v>0</v>
      </c>
      <c r="H111" s="463"/>
      <c r="I111" s="463">
        <f t="shared" si="15"/>
        <v>0</v>
      </c>
      <c r="J111" s="463"/>
      <c r="K111" s="463">
        <f t="shared" si="16"/>
        <v>0</v>
      </c>
      <c r="L111" s="463"/>
      <c r="M111" s="463">
        <f t="shared" si="10"/>
        <v>0</v>
      </c>
      <c r="N111" s="463"/>
      <c r="O111" s="463">
        <f t="shared" si="11"/>
        <v>0</v>
      </c>
    </row>
    <row r="112" spans="1:15" x14ac:dyDescent="0.2">
      <c r="A112" s="408" t="str">
        <f t="shared" si="17"/>
        <v>M</v>
      </c>
      <c r="B112" s="136"/>
      <c r="C112" s="84">
        <f t="shared" si="13"/>
        <v>0</v>
      </c>
      <c r="D112" s="84"/>
      <c r="E112" s="147">
        <f t="shared" si="9"/>
        <v>0</v>
      </c>
      <c r="F112" s="147"/>
      <c r="G112" s="463">
        <f t="shared" si="14"/>
        <v>0</v>
      </c>
      <c r="H112" s="463"/>
      <c r="I112" s="463">
        <f t="shared" si="15"/>
        <v>0</v>
      </c>
      <c r="J112" s="463"/>
      <c r="K112" s="463">
        <f t="shared" si="16"/>
        <v>0</v>
      </c>
      <c r="L112" s="463"/>
      <c r="M112" s="463">
        <f t="shared" si="10"/>
        <v>0</v>
      </c>
      <c r="N112" s="463"/>
      <c r="O112" s="463">
        <f t="shared" si="11"/>
        <v>0</v>
      </c>
    </row>
    <row r="113" spans="1:15" x14ac:dyDescent="0.2">
      <c r="A113" s="408" t="str">
        <f t="shared" si="17"/>
        <v>N</v>
      </c>
      <c r="B113" s="136"/>
      <c r="C113" s="84">
        <f t="shared" si="13"/>
        <v>0</v>
      </c>
      <c r="D113" s="84"/>
      <c r="E113" s="147">
        <f t="shared" si="9"/>
        <v>0</v>
      </c>
      <c r="F113" s="147"/>
      <c r="G113" s="463">
        <f t="shared" si="14"/>
        <v>0</v>
      </c>
      <c r="H113" s="463"/>
      <c r="I113" s="463">
        <f t="shared" si="15"/>
        <v>0</v>
      </c>
      <c r="J113" s="463"/>
      <c r="K113" s="463">
        <f t="shared" si="16"/>
        <v>0</v>
      </c>
      <c r="L113" s="463"/>
      <c r="M113" s="463">
        <f t="shared" si="10"/>
        <v>0</v>
      </c>
      <c r="N113" s="463"/>
      <c r="O113" s="463">
        <f t="shared" si="11"/>
        <v>0</v>
      </c>
    </row>
    <row r="114" spans="1:15" x14ac:dyDescent="0.2">
      <c r="A114" s="408" t="str">
        <f t="shared" si="17"/>
        <v>O</v>
      </c>
      <c r="B114" s="136"/>
      <c r="C114" s="84">
        <f t="shared" si="13"/>
        <v>0</v>
      </c>
      <c r="D114" s="84"/>
      <c r="E114" s="147">
        <f t="shared" si="9"/>
        <v>0</v>
      </c>
      <c r="F114" s="147"/>
      <c r="G114" s="463">
        <f t="shared" si="14"/>
        <v>0</v>
      </c>
      <c r="H114" s="463"/>
      <c r="I114" s="463">
        <f t="shared" si="15"/>
        <v>0</v>
      </c>
      <c r="J114" s="463"/>
      <c r="K114" s="463">
        <f t="shared" si="16"/>
        <v>0</v>
      </c>
      <c r="L114" s="463"/>
      <c r="M114" s="463">
        <f t="shared" si="10"/>
        <v>0</v>
      </c>
      <c r="N114" s="463"/>
      <c r="O114" s="463">
        <f t="shared" si="11"/>
        <v>0</v>
      </c>
    </row>
    <row r="115" spans="1:15" x14ac:dyDescent="0.2">
      <c r="A115" s="408" t="str">
        <f t="shared" si="17"/>
        <v>P</v>
      </c>
      <c r="B115" s="136"/>
      <c r="C115" s="84">
        <f t="shared" si="13"/>
        <v>0</v>
      </c>
      <c r="D115" s="84"/>
      <c r="E115" s="147">
        <f t="shared" si="9"/>
        <v>0</v>
      </c>
      <c r="F115" s="147"/>
      <c r="G115" s="463">
        <f t="shared" si="14"/>
        <v>0</v>
      </c>
      <c r="H115" s="463"/>
      <c r="I115" s="463">
        <f t="shared" si="15"/>
        <v>0</v>
      </c>
      <c r="J115" s="463"/>
      <c r="K115" s="463">
        <f t="shared" si="16"/>
        <v>0</v>
      </c>
      <c r="L115" s="463"/>
      <c r="M115" s="463">
        <f t="shared" si="10"/>
        <v>0</v>
      </c>
      <c r="N115" s="463"/>
      <c r="O115" s="463">
        <f t="shared" si="11"/>
        <v>0</v>
      </c>
    </row>
    <row r="116" spans="1:15" ht="38.25" customHeight="1" thickBot="1" x14ac:dyDescent="0.25">
      <c r="A116" s="140"/>
      <c r="B116" s="74"/>
      <c r="C116" s="74"/>
      <c r="D116" s="74"/>
      <c r="E116" s="74"/>
      <c r="F116" s="74"/>
      <c r="G116" s="74"/>
      <c r="H116" s="74"/>
      <c r="I116" s="74"/>
      <c r="J116" s="74"/>
      <c r="K116" s="74"/>
      <c r="L116" s="74"/>
      <c r="M116" s="74"/>
      <c r="N116" s="74"/>
      <c r="O116" s="74"/>
    </row>
    <row r="117" spans="1:15" ht="24" customHeight="1" thickBot="1" x14ac:dyDescent="0.3">
      <c r="A117" s="143"/>
      <c r="B117" s="1178" t="s">
        <v>62</v>
      </c>
      <c r="C117" s="1179"/>
      <c r="D117" s="1179"/>
      <c r="E117" s="1179"/>
      <c r="F117" s="1179"/>
      <c r="G117" s="1179"/>
      <c r="H117" s="1179"/>
      <c r="I117" s="1179"/>
      <c r="J117" s="1179"/>
      <c r="K117" s="1179"/>
      <c r="L117" s="1179"/>
      <c r="M117" s="1179"/>
      <c r="N117" s="1179"/>
      <c r="O117" s="1180"/>
    </row>
    <row r="118" spans="1:15" ht="40.5" customHeight="1" thickBot="1" x14ac:dyDescent="0.3">
      <c r="A118" s="997" t="str">
        <f>A6</f>
        <v xml:space="preserve">Positions that Participate in the Chicago Teachers Pension Fund (ALL Contract School employees do NOT participate in the CTPF):         </v>
      </c>
      <c r="B118" s="514"/>
      <c r="C118" s="515" t="s">
        <v>49</v>
      </c>
      <c r="D118" s="515"/>
      <c r="E118" s="516" t="str">
        <f>E6</f>
        <v>Incubation Year</v>
      </c>
      <c r="F118" s="515"/>
      <c r="G118" s="515">
        <f>$G$6</f>
        <v>2017</v>
      </c>
      <c r="H118" s="515"/>
      <c r="I118" s="515">
        <f>$I$6</f>
        <v>2018</v>
      </c>
      <c r="J118" s="515"/>
      <c r="K118" s="515">
        <f>$K$6</f>
        <v>2019</v>
      </c>
      <c r="L118" s="515"/>
      <c r="M118" s="515">
        <f>$M$6</f>
        <v>2020</v>
      </c>
      <c r="N118" s="515"/>
      <c r="O118" s="517">
        <f>$O$6</f>
        <v>2021</v>
      </c>
    </row>
    <row r="119" spans="1:15" x14ac:dyDescent="0.2">
      <c r="A119" s="393" t="str">
        <f>A7</f>
        <v xml:space="preserve">Teachers </v>
      </c>
      <c r="B119" s="798" t="s">
        <v>207</v>
      </c>
      <c r="C119" s="153"/>
      <c r="D119" s="153"/>
      <c r="E119" s="501">
        <f t="shared" ref="E119:E141" si="18">E7*E65</f>
        <v>0</v>
      </c>
      <c r="F119" s="153"/>
      <c r="G119" s="501">
        <f t="shared" ref="G119:G141" si="19">G7*G65</f>
        <v>0</v>
      </c>
      <c r="H119" s="131"/>
      <c r="I119" s="501">
        <f t="shared" ref="I119:I141" si="20">I7*I65</f>
        <v>0</v>
      </c>
      <c r="J119" s="121"/>
      <c r="K119" s="501">
        <f t="shared" ref="K119:K141" si="21">K7*K65</f>
        <v>0</v>
      </c>
      <c r="L119" s="121"/>
      <c r="M119" s="501">
        <f t="shared" ref="M119:M141" si="22">M7*M65</f>
        <v>150000</v>
      </c>
      <c r="N119" s="121"/>
      <c r="O119" s="501">
        <f t="shared" ref="O119:O141" si="23">O7*O65</f>
        <v>153000</v>
      </c>
    </row>
    <row r="120" spans="1:15" ht="15.75" customHeight="1" x14ac:dyDescent="0.2">
      <c r="A120" s="500" t="str">
        <f t="shared" ref="A120:A141" si="24">A8</f>
        <v>SPED Teachers (reimbursed by CPS)</v>
      </c>
      <c r="B120" s="798" t="s">
        <v>207</v>
      </c>
      <c r="C120" s="121"/>
      <c r="D120" s="121"/>
      <c r="E120" s="501">
        <f t="shared" si="18"/>
        <v>0</v>
      </c>
      <c r="F120" s="121"/>
      <c r="G120" s="501">
        <f t="shared" si="19"/>
        <v>0</v>
      </c>
      <c r="H120" s="131"/>
      <c r="I120" s="501">
        <f t="shared" si="20"/>
        <v>0</v>
      </c>
      <c r="J120" s="121"/>
      <c r="K120" s="501">
        <f t="shared" si="21"/>
        <v>0</v>
      </c>
      <c r="L120" s="121"/>
      <c r="M120" s="501">
        <f t="shared" si="22"/>
        <v>110000</v>
      </c>
      <c r="N120" s="121"/>
      <c r="O120" s="501">
        <f t="shared" si="23"/>
        <v>112200</v>
      </c>
    </row>
    <row r="121" spans="1:15" x14ac:dyDescent="0.2">
      <c r="A121" s="500" t="str">
        <f t="shared" si="24"/>
        <v>SPED Aides (reimbursed by CPS)</v>
      </c>
      <c r="B121" s="798" t="s">
        <v>207</v>
      </c>
      <c r="C121" s="122">
        <f t="shared" ref="C121:C126" si="25">C65*C7</f>
        <v>0</v>
      </c>
      <c r="D121" s="122"/>
      <c r="E121" s="501">
        <f t="shared" si="18"/>
        <v>0</v>
      </c>
      <c r="F121" s="122"/>
      <c r="G121" s="501">
        <f t="shared" si="19"/>
        <v>0</v>
      </c>
      <c r="H121" s="131"/>
      <c r="I121" s="501">
        <f t="shared" si="20"/>
        <v>0</v>
      </c>
      <c r="J121" s="121"/>
      <c r="K121" s="501">
        <f t="shared" si="21"/>
        <v>0</v>
      </c>
      <c r="L121" s="121"/>
      <c r="M121" s="501">
        <f t="shared" si="22"/>
        <v>0</v>
      </c>
      <c r="N121" s="121"/>
      <c r="O121" s="501">
        <f t="shared" si="23"/>
        <v>0</v>
      </c>
    </row>
    <row r="122" spans="1:15" x14ac:dyDescent="0.2">
      <c r="A122" s="500" t="str">
        <f t="shared" si="24"/>
        <v>SPED Clinicians-Psychologist (reimbursed by CPS)</v>
      </c>
      <c r="B122" s="798" t="s">
        <v>207</v>
      </c>
      <c r="C122" s="122">
        <f t="shared" si="25"/>
        <v>0</v>
      </c>
      <c r="D122" s="122"/>
      <c r="E122" s="501">
        <f t="shared" si="18"/>
        <v>0</v>
      </c>
      <c r="F122" s="122"/>
      <c r="G122" s="501">
        <f t="shared" si="19"/>
        <v>0</v>
      </c>
      <c r="H122" s="131"/>
      <c r="I122" s="501">
        <f t="shared" si="20"/>
        <v>0</v>
      </c>
      <c r="J122" s="121"/>
      <c r="K122" s="501">
        <f t="shared" si="21"/>
        <v>0</v>
      </c>
      <c r="L122" s="121"/>
      <c r="M122" s="501">
        <f t="shared" si="22"/>
        <v>6250</v>
      </c>
      <c r="N122" s="121"/>
      <c r="O122" s="501">
        <f t="shared" si="23"/>
        <v>6375</v>
      </c>
    </row>
    <row r="123" spans="1:15" x14ac:dyDescent="0.2">
      <c r="A123" s="500" t="str">
        <f t="shared" si="24"/>
        <v>SPED Clinicians-Social Worker (reimbursed by CPS)</v>
      </c>
      <c r="B123" s="798" t="s">
        <v>207</v>
      </c>
      <c r="C123" s="121">
        <f t="shared" si="25"/>
        <v>0</v>
      </c>
      <c r="D123" s="121"/>
      <c r="E123" s="501">
        <f t="shared" si="18"/>
        <v>0</v>
      </c>
      <c r="F123" s="121"/>
      <c r="G123" s="501">
        <f t="shared" si="19"/>
        <v>0</v>
      </c>
      <c r="H123" s="131"/>
      <c r="I123" s="501">
        <f t="shared" si="20"/>
        <v>0</v>
      </c>
      <c r="J123" s="121"/>
      <c r="K123" s="501">
        <f t="shared" si="21"/>
        <v>0</v>
      </c>
      <c r="L123" s="121"/>
      <c r="M123" s="501">
        <f t="shared" si="22"/>
        <v>5500</v>
      </c>
      <c r="N123" s="121"/>
      <c r="O123" s="501">
        <f t="shared" si="23"/>
        <v>5610</v>
      </c>
    </row>
    <row r="124" spans="1:15" x14ac:dyDescent="0.2">
      <c r="A124" s="500" t="str">
        <f t="shared" si="24"/>
        <v>SPED Clinicians-Speech Therapist (reimbursed by CPS)</v>
      </c>
      <c r="B124" s="798" t="s">
        <v>207</v>
      </c>
      <c r="C124" s="122">
        <f t="shared" si="25"/>
        <v>0</v>
      </c>
      <c r="D124" s="122"/>
      <c r="E124" s="501">
        <f t="shared" si="18"/>
        <v>0</v>
      </c>
      <c r="F124" s="122"/>
      <c r="G124" s="501">
        <f t="shared" si="19"/>
        <v>0</v>
      </c>
      <c r="H124" s="131"/>
      <c r="I124" s="501">
        <f t="shared" si="20"/>
        <v>0</v>
      </c>
      <c r="J124" s="121"/>
      <c r="K124" s="501">
        <f t="shared" si="21"/>
        <v>0</v>
      </c>
      <c r="L124" s="121"/>
      <c r="M124" s="501">
        <f t="shared" si="22"/>
        <v>5500</v>
      </c>
      <c r="N124" s="121"/>
      <c r="O124" s="501">
        <f t="shared" si="23"/>
        <v>5610</v>
      </c>
    </row>
    <row r="125" spans="1:15" x14ac:dyDescent="0.2">
      <c r="A125" s="500" t="str">
        <f t="shared" si="24"/>
        <v>SPED Clinicians-Physical Therapist (reimbursed by CPS)</v>
      </c>
      <c r="B125" s="798" t="s">
        <v>207</v>
      </c>
      <c r="C125" s="122">
        <f t="shared" si="25"/>
        <v>0</v>
      </c>
      <c r="D125" s="122"/>
      <c r="E125" s="501">
        <f t="shared" si="18"/>
        <v>0</v>
      </c>
      <c r="F125" s="122"/>
      <c r="G125" s="501">
        <f t="shared" si="19"/>
        <v>0</v>
      </c>
      <c r="H125" s="131"/>
      <c r="I125" s="501">
        <f t="shared" si="20"/>
        <v>0</v>
      </c>
      <c r="J125" s="121"/>
      <c r="K125" s="501">
        <f t="shared" si="21"/>
        <v>0</v>
      </c>
      <c r="L125" s="121"/>
      <c r="M125" s="501">
        <f t="shared" si="22"/>
        <v>0</v>
      </c>
      <c r="N125" s="121"/>
      <c r="O125" s="501">
        <f t="shared" si="23"/>
        <v>0</v>
      </c>
    </row>
    <row r="126" spans="1:15" x14ac:dyDescent="0.2">
      <c r="A126" s="500" t="str">
        <f t="shared" si="24"/>
        <v>SPED Clinicians-Occupational Therapist (reimbursed by CPS)</v>
      </c>
      <c r="B126" s="798" t="s">
        <v>207</v>
      </c>
      <c r="C126" s="122">
        <f t="shared" si="25"/>
        <v>0</v>
      </c>
      <c r="D126" s="122"/>
      <c r="E126" s="501">
        <f t="shared" si="18"/>
        <v>0</v>
      </c>
      <c r="F126" s="122"/>
      <c r="G126" s="501">
        <f t="shared" si="19"/>
        <v>0</v>
      </c>
      <c r="H126" s="131"/>
      <c r="I126" s="501">
        <f t="shared" si="20"/>
        <v>0</v>
      </c>
      <c r="J126" s="121"/>
      <c r="K126" s="501">
        <f t="shared" si="21"/>
        <v>0</v>
      </c>
      <c r="L126" s="121"/>
      <c r="M126" s="501">
        <f t="shared" si="22"/>
        <v>0</v>
      </c>
      <c r="N126" s="121"/>
      <c r="O126" s="501">
        <f t="shared" si="23"/>
        <v>0</v>
      </c>
    </row>
    <row r="127" spans="1:15" x14ac:dyDescent="0.2">
      <c r="A127" s="500" t="str">
        <f t="shared" si="24"/>
        <v>SPED Clinicians-Nurse (reimbursed by CPS)</v>
      </c>
      <c r="B127" s="798" t="s">
        <v>207</v>
      </c>
      <c r="C127" s="122">
        <f>C71*C19</f>
        <v>0</v>
      </c>
      <c r="D127" s="122"/>
      <c r="E127" s="501">
        <f t="shared" si="18"/>
        <v>0</v>
      </c>
      <c r="F127" s="122"/>
      <c r="G127" s="501">
        <f t="shared" si="19"/>
        <v>0</v>
      </c>
      <c r="H127" s="131"/>
      <c r="I127" s="501">
        <f t="shared" si="20"/>
        <v>0</v>
      </c>
      <c r="J127" s="121"/>
      <c r="K127" s="501">
        <f t="shared" si="21"/>
        <v>0</v>
      </c>
      <c r="L127" s="121"/>
      <c r="M127" s="501">
        <f t="shared" si="22"/>
        <v>5500</v>
      </c>
      <c r="N127" s="121"/>
      <c r="O127" s="501">
        <f t="shared" si="23"/>
        <v>5610</v>
      </c>
    </row>
    <row r="128" spans="1:15" x14ac:dyDescent="0.2">
      <c r="A128" s="393" t="str">
        <f t="shared" si="24"/>
        <v>Teachers Aides</v>
      </c>
      <c r="B128" s="798" t="s">
        <v>207</v>
      </c>
      <c r="C128" s="122">
        <f>C72*C20</f>
        <v>0</v>
      </c>
      <c r="D128" s="122"/>
      <c r="E128" s="501">
        <f t="shared" si="18"/>
        <v>0</v>
      </c>
      <c r="F128" s="122"/>
      <c r="G128" s="501">
        <f t="shared" si="19"/>
        <v>0</v>
      </c>
      <c r="H128" s="131"/>
      <c r="I128" s="501">
        <f t="shared" si="20"/>
        <v>0</v>
      </c>
      <c r="J128" s="121"/>
      <c r="K128" s="501">
        <f t="shared" si="21"/>
        <v>0</v>
      </c>
      <c r="L128" s="121"/>
      <c r="M128" s="501">
        <f t="shared" si="22"/>
        <v>0</v>
      </c>
      <c r="N128" s="121"/>
      <c r="O128" s="501">
        <f t="shared" si="23"/>
        <v>0</v>
      </c>
    </row>
    <row r="129" spans="1:15" ht="12.75" customHeight="1" thickBot="1" x14ac:dyDescent="0.25">
      <c r="A129" s="393" t="str">
        <f t="shared" si="24"/>
        <v>Counselors</v>
      </c>
      <c r="B129" s="798" t="s">
        <v>207</v>
      </c>
      <c r="C129" s="123"/>
      <c r="D129" s="123"/>
      <c r="E129" s="501">
        <f t="shared" si="18"/>
        <v>0</v>
      </c>
      <c r="F129" s="123"/>
      <c r="G129" s="501">
        <f t="shared" si="19"/>
        <v>0</v>
      </c>
      <c r="H129" s="131"/>
      <c r="I129" s="501">
        <f t="shared" si="20"/>
        <v>0</v>
      </c>
      <c r="J129" s="121"/>
      <c r="K129" s="501">
        <f t="shared" si="21"/>
        <v>0</v>
      </c>
      <c r="L129" s="121"/>
      <c r="M129" s="501">
        <f t="shared" si="22"/>
        <v>0</v>
      </c>
      <c r="N129" s="121"/>
      <c r="O129" s="501">
        <f t="shared" si="23"/>
        <v>0</v>
      </c>
    </row>
    <row r="130" spans="1:15" ht="12.75" customHeight="1" thickBot="1" x14ac:dyDescent="0.25">
      <c r="A130" s="393" t="str">
        <f t="shared" si="24"/>
        <v>Librarians</v>
      </c>
      <c r="B130" s="798" t="s">
        <v>207</v>
      </c>
      <c r="C130" s="155">
        <f>SUM(C121:C129)</f>
        <v>0</v>
      </c>
      <c r="D130" s="122"/>
      <c r="E130" s="501">
        <f t="shared" si="18"/>
        <v>0</v>
      </c>
      <c r="F130" s="122"/>
      <c r="G130" s="501">
        <f t="shared" si="19"/>
        <v>0</v>
      </c>
      <c r="H130" s="131"/>
      <c r="I130" s="501">
        <f t="shared" si="20"/>
        <v>0</v>
      </c>
      <c r="J130" s="121"/>
      <c r="K130" s="501">
        <f t="shared" si="21"/>
        <v>0</v>
      </c>
      <c r="L130" s="121"/>
      <c r="M130" s="501">
        <f t="shared" si="22"/>
        <v>0</v>
      </c>
      <c r="N130" s="121"/>
      <c r="O130" s="501">
        <f t="shared" si="23"/>
        <v>0</v>
      </c>
    </row>
    <row r="131" spans="1:15" ht="12.75" customHeight="1" x14ac:dyDescent="0.2">
      <c r="A131" s="393" t="str">
        <f t="shared" si="24"/>
        <v>Deans</v>
      </c>
      <c r="B131" s="798" t="s">
        <v>207</v>
      </c>
      <c r="C131" s="124"/>
      <c r="D131" s="124"/>
      <c r="E131" s="501">
        <f t="shared" si="18"/>
        <v>0</v>
      </c>
      <c r="F131" s="124"/>
      <c r="G131" s="501">
        <f t="shared" si="19"/>
        <v>0</v>
      </c>
      <c r="H131" s="131"/>
      <c r="I131" s="501">
        <f t="shared" si="20"/>
        <v>0</v>
      </c>
      <c r="J131" s="121"/>
      <c r="K131" s="501">
        <f t="shared" si="21"/>
        <v>0</v>
      </c>
      <c r="L131" s="121"/>
      <c r="M131" s="501">
        <f t="shared" si="22"/>
        <v>0</v>
      </c>
      <c r="N131" s="121"/>
      <c r="O131" s="501">
        <f t="shared" si="23"/>
        <v>0</v>
      </c>
    </row>
    <row r="132" spans="1:15" x14ac:dyDescent="0.2">
      <c r="A132" s="393" t="str">
        <f t="shared" si="24"/>
        <v>Site Director</v>
      </c>
      <c r="B132" s="798" t="s">
        <v>207</v>
      </c>
      <c r="C132" s="122">
        <f>C74*C28</f>
        <v>0</v>
      </c>
      <c r="D132" s="122"/>
      <c r="E132" s="501">
        <f t="shared" si="18"/>
        <v>0</v>
      </c>
      <c r="F132" s="122"/>
      <c r="G132" s="501">
        <f t="shared" si="19"/>
        <v>0</v>
      </c>
      <c r="H132" s="131"/>
      <c r="I132" s="501">
        <f t="shared" si="20"/>
        <v>0</v>
      </c>
      <c r="J132" s="121"/>
      <c r="K132" s="501">
        <f t="shared" si="21"/>
        <v>0</v>
      </c>
      <c r="L132" s="121"/>
      <c r="M132" s="501">
        <f t="shared" si="22"/>
        <v>70000</v>
      </c>
      <c r="N132" s="121"/>
      <c r="O132" s="501">
        <f t="shared" si="23"/>
        <v>71400</v>
      </c>
    </row>
    <row r="133" spans="1:15" x14ac:dyDescent="0.2">
      <c r="A133" s="393" t="str">
        <f t="shared" si="24"/>
        <v>Assistant Principal</v>
      </c>
      <c r="B133" s="798" t="s">
        <v>207</v>
      </c>
      <c r="C133" s="122">
        <f>C75*C29</f>
        <v>0</v>
      </c>
      <c r="D133" s="122"/>
      <c r="E133" s="501">
        <f t="shared" si="18"/>
        <v>0</v>
      </c>
      <c r="F133" s="122"/>
      <c r="G133" s="501">
        <f t="shared" si="19"/>
        <v>0</v>
      </c>
      <c r="H133" s="131"/>
      <c r="I133" s="501">
        <f t="shared" si="20"/>
        <v>0</v>
      </c>
      <c r="J133" s="121"/>
      <c r="K133" s="501">
        <f t="shared" si="21"/>
        <v>0</v>
      </c>
      <c r="L133" s="121"/>
      <c r="M133" s="501">
        <f t="shared" si="22"/>
        <v>0</v>
      </c>
      <c r="N133" s="121"/>
      <c r="O133" s="501">
        <f t="shared" si="23"/>
        <v>0</v>
      </c>
    </row>
    <row r="134" spans="1:15" x14ac:dyDescent="0.2">
      <c r="A134" s="393" t="str">
        <f t="shared" si="24"/>
        <v>A</v>
      </c>
      <c r="B134" s="798" t="s">
        <v>207</v>
      </c>
      <c r="C134" s="122">
        <f t="shared" ref="C134:C141" si="26">C76*C30</f>
        <v>0</v>
      </c>
      <c r="D134" s="122"/>
      <c r="E134" s="501">
        <f t="shared" si="18"/>
        <v>0</v>
      </c>
      <c r="F134" s="122"/>
      <c r="G134" s="501">
        <f t="shared" si="19"/>
        <v>0</v>
      </c>
      <c r="H134" s="131"/>
      <c r="I134" s="501">
        <f t="shared" si="20"/>
        <v>0</v>
      </c>
      <c r="J134" s="121"/>
      <c r="K134" s="501">
        <f t="shared" si="21"/>
        <v>0</v>
      </c>
      <c r="L134" s="121"/>
      <c r="M134" s="501">
        <f t="shared" si="22"/>
        <v>0</v>
      </c>
      <c r="N134" s="121"/>
      <c r="O134" s="501">
        <f t="shared" si="23"/>
        <v>0</v>
      </c>
    </row>
    <row r="135" spans="1:15" x14ac:dyDescent="0.2">
      <c r="A135" s="786" t="str">
        <f t="shared" si="24"/>
        <v>B</v>
      </c>
      <c r="B135" s="798" t="s">
        <v>207</v>
      </c>
      <c r="C135" s="122">
        <f t="shared" si="26"/>
        <v>0</v>
      </c>
      <c r="D135" s="122"/>
      <c r="E135" s="501">
        <f t="shared" si="18"/>
        <v>0</v>
      </c>
      <c r="F135" s="122"/>
      <c r="G135" s="501">
        <f t="shared" si="19"/>
        <v>0</v>
      </c>
      <c r="H135" s="131"/>
      <c r="I135" s="501">
        <f t="shared" si="20"/>
        <v>0</v>
      </c>
      <c r="J135" s="121"/>
      <c r="K135" s="501">
        <f t="shared" si="21"/>
        <v>0</v>
      </c>
      <c r="L135" s="121"/>
      <c r="M135" s="501">
        <f t="shared" si="22"/>
        <v>0</v>
      </c>
      <c r="N135" s="121"/>
      <c r="O135" s="501">
        <f t="shared" si="23"/>
        <v>0</v>
      </c>
    </row>
    <row r="136" spans="1:15" x14ac:dyDescent="0.2">
      <c r="A136" s="786" t="str">
        <f t="shared" si="24"/>
        <v>C</v>
      </c>
      <c r="B136" s="798" t="s">
        <v>207</v>
      </c>
      <c r="C136" s="122">
        <f t="shared" si="26"/>
        <v>0</v>
      </c>
      <c r="D136" s="122"/>
      <c r="E136" s="501">
        <f t="shared" si="18"/>
        <v>0</v>
      </c>
      <c r="F136" s="122"/>
      <c r="G136" s="501">
        <f t="shared" si="19"/>
        <v>0</v>
      </c>
      <c r="H136" s="131"/>
      <c r="I136" s="501">
        <f t="shared" si="20"/>
        <v>0</v>
      </c>
      <c r="J136" s="121"/>
      <c r="K136" s="501">
        <f t="shared" si="21"/>
        <v>0</v>
      </c>
      <c r="L136" s="121"/>
      <c r="M136" s="501">
        <f t="shared" si="22"/>
        <v>0</v>
      </c>
      <c r="N136" s="121"/>
      <c r="O136" s="501">
        <f t="shared" si="23"/>
        <v>0</v>
      </c>
    </row>
    <row r="137" spans="1:15" x14ac:dyDescent="0.2">
      <c r="A137" s="786" t="str">
        <f t="shared" si="24"/>
        <v>D</v>
      </c>
      <c r="B137" s="798" t="s">
        <v>207</v>
      </c>
      <c r="C137" s="122">
        <f t="shared" si="26"/>
        <v>0</v>
      </c>
      <c r="D137" s="122"/>
      <c r="E137" s="501">
        <f t="shared" si="18"/>
        <v>0</v>
      </c>
      <c r="F137" s="122"/>
      <c r="G137" s="501">
        <f t="shared" si="19"/>
        <v>0</v>
      </c>
      <c r="H137" s="131"/>
      <c r="I137" s="501">
        <f t="shared" si="20"/>
        <v>0</v>
      </c>
      <c r="J137" s="121"/>
      <c r="K137" s="501">
        <f t="shared" si="21"/>
        <v>0</v>
      </c>
      <c r="L137" s="121"/>
      <c r="M137" s="501">
        <f t="shared" si="22"/>
        <v>0</v>
      </c>
      <c r="N137" s="121"/>
      <c r="O137" s="501">
        <f t="shared" si="23"/>
        <v>0</v>
      </c>
    </row>
    <row r="138" spans="1:15" x14ac:dyDescent="0.2">
      <c r="A138" s="786" t="str">
        <f t="shared" si="24"/>
        <v>E</v>
      </c>
      <c r="B138" s="798" t="s">
        <v>207</v>
      </c>
      <c r="C138" s="122">
        <f t="shared" si="26"/>
        <v>0</v>
      </c>
      <c r="D138" s="122"/>
      <c r="E138" s="501">
        <f t="shared" si="18"/>
        <v>0</v>
      </c>
      <c r="F138" s="122"/>
      <c r="G138" s="501">
        <f t="shared" si="19"/>
        <v>0</v>
      </c>
      <c r="H138" s="131"/>
      <c r="I138" s="501">
        <f t="shared" si="20"/>
        <v>0</v>
      </c>
      <c r="J138" s="121"/>
      <c r="K138" s="501">
        <f t="shared" si="21"/>
        <v>0</v>
      </c>
      <c r="L138" s="121"/>
      <c r="M138" s="501">
        <f t="shared" si="22"/>
        <v>0</v>
      </c>
      <c r="N138" s="121"/>
      <c r="O138" s="501">
        <f t="shared" si="23"/>
        <v>0</v>
      </c>
    </row>
    <row r="139" spans="1:15" x14ac:dyDescent="0.2">
      <c r="A139" s="786" t="str">
        <f t="shared" si="24"/>
        <v>F</v>
      </c>
      <c r="B139" s="798" t="s">
        <v>207</v>
      </c>
      <c r="C139" s="122">
        <f t="shared" si="26"/>
        <v>0</v>
      </c>
      <c r="D139" s="122"/>
      <c r="E139" s="501">
        <f t="shared" si="18"/>
        <v>0</v>
      </c>
      <c r="F139" s="122"/>
      <c r="G139" s="501">
        <f t="shared" si="19"/>
        <v>0</v>
      </c>
      <c r="H139" s="131"/>
      <c r="I139" s="501">
        <f t="shared" si="20"/>
        <v>0</v>
      </c>
      <c r="J139" s="121"/>
      <c r="K139" s="501">
        <f t="shared" si="21"/>
        <v>0</v>
      </c>
      <c r="L139" s="121"/>
      <c r="M139" s="501">
        <f t="shared" si="22"/>
        <v>0</v>
      </c>
      <c r="N139" s="121"/>
      <c r="O139" s="501">
        <f t="shared" si="23"/>
        <v>0</v>
      </c>
    </row>
    <row r="140" spans="1:15" x14ac:dyDescent="0.2">
      <c r="A140" s="786" t="str">
        <f t="shared" si="24"/>
        <v>G</v>
      </c>
      <c r="B140" s="798" t="s">
        <v>207</v>
      </c>
      <c r="C140" s="122">
        <f t="shared" si="26"/>
        <v>0</v>
      </c>
      <c r="D140" s="122"/>
      <c r="E140" s="501">
        <f t="shared" si="18"/>
        <v>0</v>
      </c>
      <c r="F140" s="122"/>
      <c r="G140" s="501">
        <f t="shared" si="19"/>
        <v>0</v>
      </c>
      <c r="H140" s="131"/>
      <c r="I140" s="501">
        <f t="shared" si="20"/>
        <v>0</v>
      </c>
      <c r="J140" s="121"/>
      <c r="K140" s="501">
        <f t="shared" si="21"/>
        <v>0</v>
      </c>
      <c r="L140" s="121"/>
      <c r="M140" s="501">
        <f t="shared" si="22"/>
        <v>0</v>
      </c>
      <c r="N140" s="121"/>
      <c r="O140" s="501">
        <f t="shared" si="23"/>
        <v>0</v>
      </c>
    </row>
    <row r="141" spans="1:15" ht="13.5" thickBot="1" x14ac:dyDescent="0.25">
      <c r="A141" s="787" t="str">
        <f t="shared" si="24"/>
        <v>H</v>
      </c>
      <c r="B141" s="799" t="s">
        <v>207</v>
      </c>
      <c r="C141" s="415">
        <f t="shared" si="26"/>
        <v>0</v>
      </c>
      <c r="D141" s="415"/>
      <c r="E141" s="502">
        <f t="shared" si="18"/>
        <v>0</v>
      </c>
      <c r="F141" s="415"/>
      <c r="G141" s="502">
        <f t="shared" si="19"/>
        <v>0</v>
      </c>
      <c r="H141" s="991"/>
      <c r="I141" s="502">
        <f t="shared" si="20"/>
        <v>0</v>
      </c>
      <c r="J141" s="834"/>
      <c r="K141" s="502">
        <f t="shared" si="21"/>
        <v>0</v>
      </c>
      <c r="L141" s="834"/>
      <c r="M141" s="502">
        <f t="shared" si="22"/>
        <v>0</v>
      </c>
      <c r="N141" s="834"/>
      <c r="O141" s="502">
        <f t="shared" si="23"/>
        <v>0</v>
      </c>
    </row>
    <row r="142" spans="1:15" ht="13.5" thickBot="1" x14ac:dyDescent="0.25">
      <c r="A142" s="504" t="s">
        <v>259</v>
      </c>
      <c r="B142" s="800"/>
      <c r="C142" s="416"/>
      <c r="D142" s="416"/>
      <c r="E142" s="503">
        <f>SUM(E119:E141)</f>
        <v>0</v>
      </c>
      <c r="F142" s="416"/>
      <c r="G142" s="503">
        <f>SUM(G119:G141)</f>
        <v>0</v>
      </c>
      <c r="H142" s="416"/>
      <c r="I142" s="503">
        <f>SUM(I119:I141)</f>
        <v>0</v>
      </c>
      <c r="J142" s="416"/>
      <c r="K142" s="503">
        <f>SUM(K119:K141)</f>
        <v>0</v>
      </c>
      <c r="L142" s="416"/>
      <c r="M142" s="503">
        <f>SUM(M119:M141)</f>
        <v>352750</v>
      </c>
      <c r="N142" s="416"/>
      <c r="O142" s="503">
        <f>SUM(O119:O141)</f>
        <v>359805</v>
      </c>
    </row>
    <row r="143" spans="1:15" ht="13.5" thickBot="1" x14ac:dyDescent="0.25">
      <c r="A143" s="928" t="s">
        <v>329</v>
      </c>
      <c r="B143" s="506"/>
      <c r="C143" s="145"/>
      <c r="D143" s="145"/>
      <c r="E143" s="505"/>
      <c r="F143" s="124"/>
      <c r="G143" s="505"/>
      <c r="H143" s="124"/>
      <c r="I143" s="505"/>
      <c r="J143" s="124"/>
      <c r="K143" s="505"/>
      <c r="L143" s="124"/>
      <c r="M143" s="505"/>
      <c r="N143" s="124"/>
      <c r="O143" s="505"/>
    </row>
    <row r="144" spans="1:15" x14ac:dyDescent="0.2">
      <c r="A144" s="788" t="s">
        <v>253</v>
      </c>
      <c r="B144" s="801" t="s">
        <v>207</v>
      </c>
      <c r="C144" s="122"/>
      <c r="D144" s="122"/>
      <c r="E144" s="801">
        <v>0</v>
      </c>
      <c r="F144" s="122"/>
      <c r="G144" s="156"/>
      <c r="H144" s="122"/>
      <c r="I144" s="156"/>
      <c r="J144" s="122"/>
      <c r="K144" s="156"/>
      <c r="L144" s="122"/>
      <c r="M144" s="156"/>
      <c r="N144" s="122"/>
      <c r="O144" s="156"/>
    </row>
    <row r="145" spans="1:15" x14ac:dyDescent="0.2">
      <c r="A145" s="788" t="s">
        <v>256</v>
      </c>
      <c r="B145" s="801" t="s">
        <v>207</v>
      </c>
      <c r="C145" s="122"/>
      <c r="D145" s="122"/>
      <c r="E145" s="801">
        <v>0</v>
      </c>
      <c r="F145" s="122"/>
      <c r="G145" s="156"/>
      <c r="H145" s="122"/>
      <c r="I145" s="156"/>
      <c r="J145" s="122"/>
      <c r="K145" s="156"/>
      <c r="L145" s="122"/>
      <c r="M145" s="156"/>
      <c r="N145" s="122"/>
      <c r="O145" s="156"/>
    </row>
    <row r="146" spans="1:15" x14ac:dyDescent="0.2">
      <c r="A146" s="788" t="s">
        <v>254</v>
      </c>
      <c r="B146" s="801" t="s">
        <v>207</v>
      </c>
      <c r="C146" s="122"/>
      <c r="D146" s="122"/>
      <c r="E146" s="801">
        <v>0</v>
      </c>
      <c r="F146" s="122"/>
      <c r="G146" s="156"/>
      <c r="H146" s="122"/>
      <c r="I146" s="156"/>
      <c r="J146" s="122"/>
      <c r="K146" s="156"/>
      <c r="L146" s="122"/>
      <c r="M146" s="156"/>
      <c r="N146" s="122"/>
      <c r="O146" s="156"/>
    </row>
    <row r="147" spans="1:15" ht="13.5" thickBot="1" x14ac:dyDescent="0.25">
      <c r="A147" s="789" t="s">
        <v>255</v>
      </c>
      <c r="B147" s="801" t="s">
        <v>207</v>
      </c>
      <c r="C147" s="122"/>
      <c r="D147" s="122"/>
      <c r="E147" s="833">
        <v>0</v>
      </c>
      <c r="F147" s="122"/>
      <c r="G147" s="700"/>
      <c r="H147" s="415"/>
      <c r="I147" s="700"/>
      <c r="J147" s="415"/>
      <c r="K147" s="700"/>
      <c r="L147" s="415"/>
      <c r="M147" s="700"/>
      <c r="N147" s="415"/>
      <c r="O147" s="700"/>
    </row>
    <row r="148" spans="1:15" ht="13.5" thickBot="1" x14ac:dyDescent="0.25">
      <c r="A148" s="504" t="s">
        <v>260</v>
      </c>
      <c r="B148" s="802"/>
      <c r="C148" s="834"/>
      <c r="D148" s="834"/>
      <c r="E148" s="503">
        <f>SUM(E144:E147)</f>
        <v>0</v>
      </c>
      <c r="F148" s="823"/>
      <c r="G148" s="503">
        <f>SUM(G144:G147)</f>
        <v>0</v>
      </c>
      <c r="H148" s="417"/>
      <c r="I148" s="503">
        <f>SUM(I144:I147)</f>
        <v>0</v>
      </c>
      <c r="J148" s="416"/>
      <c r="K148" s="503">
        <f>SUM(K144:K147)</f>
        <v>0</v>
      </c>
      <c r="L148" s="416"/>
      <c r="M148" s="503">
        <f>SUM(M144:M147)</f>
        <v>0</v>
      </c>
      <c r="N148" s="416"/>
      <c r="O148" s="503">
        <f>SUM(O144:O147)</f>
        <v>0</v>
      </c>
    </row>
    <row r="149" spans="1:15" ht="40.5" customHeight="1" thickBot="1" x14ac:dyDescent="0.25">
      <c r="A149" s="809" t="str">
        <f t="shared" ref="A149:A176" si="27">A30</f>
        <v xml:space="preserve">Positions that Do NOT Participate in the Chicago Teachers Pension Fund (Contract Schools should enter ALL of their employees in this section):         </v>
      </c>
      <c r="B149" s="803"/>
      <c r="C149" s="522"/>
      <c r="D149" s="522"/>
      <c r="E149" s="522"/>
      <c r="F149" s="522"/>
      <c r="G149" s="522"/>
      <c r="H149" s="522"/>
      <c r="I149" s="522"/>
      <c r="J149" s="522"/>
      <c r="K149" s="522"/>
      <c r="L149" s="522"/>
      <c r="M149" s="522"/>
      <c r="N149" s="522"/>
      <c r="O149" s="523"/>
    </row>
    <row r="150" spans="1:15" x14ac:dyDescent="0.2">
      <c r="A150" s="392" t="str">
        <f t="shared" si="27"/>
        <v>Teachers</v>
      </c>
      <c r="B150" s="797" t="s">
        <v>207</v>
      </c>
      <c r="C150" s="145">
        <f t="shared" ref="C150:C166" si="28">C85*C39</f>
        <v>0</v>
      </c>
      <c r="D150" s="145"/>
      <c r="E150" s="505">
        <f>E31*E89</f>
        <v>0</v>
      </c>
      <c r="F150" s="124">
        <f>F31*F89</f>
        <v>0</v>
      </c>
      <c r="G150" s="505">
        <f>G31*G89</f>
        <v>0</v>
      </c>
      <c r="H150" s="124"/>
      <c r="I150" s="505">
        <f>I31*I89</f>
        <v>0</v>
      </c>
      <c r="J150" s="124"/>
      <c r="K150" s="505">
        <f t="shared" ref="K150:K176" si="29">K31*K89</f>
        <v>0</v>
      </c>
      <c r="L150" s="124"/>
      <c r="M150" s="505">
        <f t="shared" ref="M150:M176" si="30">M31*M89</f>
        <v>100000</v>
      </c>
      <c r="N150" s="124"/>
      <c r="O150" s="505">
        <f t="shared" ref="O150:O176" si="31">O31*O89</f>
        <v>102000</v>
      </c>
    </row>
    <row r="151" spans="1:15" x14ac:dyDescent="0.2">
      <c r="A151" s="500" t="str">
        <f t="shared" si="27"/>
        <v>SPED Teachers (positions that are reimbursed by CPS)</v>
      </c>
      <c r="B151" s="797" t="s">
        <v>207</v>
      </c>
      <c r="C151" s="122">
        <f t="shared" si="28"/>
        <v>0</v>
      </c>
      <c r="D151" s="122"/>
      <c r="E151" s="505">
        <f t="shared" ref="E151:E176" si="32">E32*E90</f>
        <v>0</v>
      </c>
      <c r="F151" s="124"/>
      <c r="G151" s="505">
        <f t="shared" ref="G151:G176" si="33">G32*G90</f>
        <v>0</v>
      </c>
      <c r="H151" s="124"/>
      <c r="I151" s="505">
        <f t="shared" ref="I151:I176" si="34">I32*I90</f>
        <v>0</v>
      </c>
      <c r="J151" s="124"/>
      <c r="K151" s="505">
        <f t="shared" si="29"/>
        <v>0</v>
      </c>
      <c r="L151" s="124"/>
      <c r="M151" s="505">
        <f t="shared" si="30"/>
        <v>0</v>
      </c>
      <c r="N151" s="124"/>
      <c r="O151" s="505">
        <f t="shared" si="31"/>
        <v>0</v>
      </c>
    </row>
    <row r="152" spans="1:15" x14ac:dyDescent="0.2">
      <c r="A152" s="500" t="str">
        <f t="shared" si="27"/>
        <v>SPED Aides (positions that are reimbursed by CPS)</v>
      </c>
      <c r="B152" s="797" t="s">
        <v>207</v>
      </c>
      <c r="C152" s="122">
        <f t="shared" si="28"/>
        <v>0</v>
      </c>
      <c r="D152" s="122"/>
      <c r="E152" s="505">
        <f t="shared" si="32"/>
        <v>0</v>
      </c>
      <c r="F152" s="124"/>
      <c r="G152" s="505">
        <f t="shared" si="33"/>
        <v>0</v>
      </c>
      <c r="H152" s="124"/>
      <c r="I152" s="505">
        <f t="shared" si="34"/>
        <v>0</v>
      </c>
      <c r="J152" s="124"/>
      <c r="K152" s="505">
        <f t="shared" si="29"/>
        <v>0</v>
      </c>
      <c r="L152" s="124"/>
      <c r="M152" s="505">
        <f t="shared" si="30"/>
        <v>0</v>
      </c>
      <c r="N152" s="124"/>
      <c r="O152" s="505">
        <f t="shared" si="31"/>
        <v>0</v>
      </c>
    </row>
    <row r="153" spans="1:15" x14ac:dyDescent="0.2">
      <c r="A153" s="500" t="str">
        <f t="shared" si="27"/>
        <v>SPED Clinicians-Psychologist (reimbursed by CPS)</v>
      </c>
      <c r="B153" s="797" t="s">
        <v>207</v>
      </c>
      <c r="C153" s="122">
        <f t="shared" si="28"/>
        <v>0</v>
      </c>
      <c r="D153" s="122"/>
      <c r="E153" s="505">
        <f t="shared" si="32"/>
        <v>0</v>
      </c>
      <c r="F153" s="124"/>
      <c r="G153" s="505">
        <f t="shared" si="33"/>
        <v>0</v>
      </c>
      <c r="H153" s="124"/>
      <c r="I153" s="505">
        <f t="shared" si="34"/>
        <v>0</v>
      </c>
      <c r="J153" s="124"/>
      <c r="K153" s="505">
        <f t="shared" si="29"/>
        <v>0</v>
      </c>
      <c r="L153" s="124"/>
      <c r="M153" s="505">
        <f t="shared" si="30"/>
        <v>0</v>
      </c>
      <c r="N153" s="124"/>
      <c r="O153" s="505">
        <f t="shared" si="31"/>
        <v>0</v>
      </c>
    </row>
    <row r="154" spans="1:15" x14ac:dyDescent="0.2">
      <c r="A154" s="500" t="str">
        <f t="shared" si="27"/>
        <v>SPED Clinicians-Social Worker (reimbursed by CPS)</v>
      </c>
      <c r="B154" s="797" t="s">
        <v>207</v>
      </c>
      <c r="C154" s="122">
        <f t="shared" si="28"/>
        <v>0</v>
      </c>
      <c r="D154" s="122"/>
      <c r="E154" s="505">
        <f t="shared" si="32"/>
        <v>0</v>
      </c>
      <c r="F154" s="124"/>
      <c r="G154" s="505">
        <f t="shared" si="33"/>
        <v>0</v>
      </c>
      <c r="H154" s="124"/>
      <c r="I154" s="505">
        <f t="shared" si="34"/>
        <v>0</v>
      </c>
      <c r="J154" s="124"/>
      <c r="K154" s="505">
        <f t="shared" si="29"/>
        <v>0</v>
      </c>
      <c r="L154" s="124"/>
      <c r="M154" s="505">
        <f t="shared" si="30"/>
        <v>0</v>
      </c>
      <c r="N154" s="124"/>
      <c r="O154" s="505">
        <f t="shared" si="31"/>
        <v>0</v>
      </c>
    </row>
    <row r="155" spans="1:15" x14ac:dyDescent="0.2">
      <c r="A155" s="500" t="str">
        <f t="shared" si="27"/>
        <v>SPED Clinicians-Speech Therapist (reimbursed by CPS)</v>
      </c>
      <c r="B155" s="797" t="s">
        <v>207</v>
      </c>
      <c r="C155" s="122">
        <f t="shared" si="28"/>
        <v>0</v>
      </c>
      <c r="D155" s="122"/>
      <c r="E155" s="505">
        <f t="shared" si="32"/>
        <v>0</v>
      </c>
      <c r="F155" s="124"/>
      <c r="G155" s="505">
        <f t="shared" si="33"/>
        <v>0</v>
      </c>
      <c r="H155" s="124"/>
      <c r="I155" s="505">
        <f t="shared" si="34"/>
        <v>0</v>
      </c>
      <c r="J155" s="124"/>
      <c r="K155" s="505">
        <f t="shared" si="29"/>
        <v>0</v>
      </c>
      <c r="L155" s="124"/>
      <c r="M155" s="505">
        <f t="shared" si="30"/>
        <v>0</v>
      </c>
      <c r="N155" s="124"/>
      <c r="O155" s="505">
        <f t="shared" si="31"/>
        <v>0</v>
      </c>
    </row>
    <row r="156" spans="1:15" x14ac:dyDescent="0.2">
      <c r="A156" s="500" t="str">
        <f t="shared" si="27"/>
        <v>SPED Clinicians-Physical Therapist (reimbursed by CPS)</v>
      </c>
      <c r="B156" s="797" t="s">
        <v>207</v>
      </c>
      <c r="C156" s="122">
        <f t="shared" si="28"/>
        <v>0</v>
      </c>
      <c r="D156" s="122"/>
      <c r="E156" s="505">
        <f t="shared" si="32"/>
        <v>0</v>
      </c>
      <c r="F156" s="124"/>
      <c r="G156" s="505">
        <f t="shared" si="33"/>
        <v>0</v>
      </c>
      <c r="H156" s="124"/>
      <c r="I156" s="505">
        <f t="shared" si="34"/>
        <v>0</v>
      </c>
      <c r="J156" s="124"/>
      <c r="K156" s="505">
        <f t="shared" si="29"/>
        <v>0</v>
      </c>
      <c r="L156" s="124"/>
      <c r="M156" s="505">
        <f t="shared" si="30"/>
        <v>0</v>
      </c>
      <c r="N156" s="124"/>
      <c r="O156" s="505">
        <f t="shared" si="31"/>
        <v>0</v>
      </c>
    </row>
    <row r="157" spans="1:15" x14ac:dyDescent="0.2">
      <c r="A157" s="500" t="str">
        <f t="shared" si="27"/>
        <v>SPED Clinicians-Occupational Therapist (reimbursed by CPS)</v>
      </c>
      <c r="B157" s="797" t="s">
        <v>207</v>
      </c>
      <c r="C157" s="122">
        <f t="shared" si="28"/>
        <v>0</v>
      </c>
      <c r="D157" s="122"/>
      <c r="E157" s="505">
        <f t="shared" si="32"/>
        <v>0</v>
      </c>
      <c r="F157" s="124"/>
      <c r="G157" s="505">
        <f t="shared" si="33"/>
        <v>0</v>
      </c>
      <c r="H157" s="124"/>
      <c r="I157" s="505">
        <f t="shared" si="34"/>
        <v>0</v>
      </c>
      <c r="J157" s="124"/>
      <c r="K157" s="505">
        <f t="shared" si="29"/>
        <v>0</v>
      </c>
      <c r="L157" s="124"/>
      <c r="M157" s="505">
        <f t="shared" si="30"/>
        <v>0</v>
      </c>
      <c r="N157" s="124"/>
      <c r="O157" s="505">
        <f t="shared" si="31"/>
        <v>0</v>
      </c>
    </row>
    <row r="158" spans="1:15" x14ac:dyDescent="0.2">
      <c r="A158" s="500" t="str">
        <f t="shared" si="27"/>
        <v>SPED Clinicians-Nurse (reimbursed by CPS)</v>
      </c>
      <c r="B158" s="797" t="s">
        <v>207</v>
      </c>
      <c r="C158" s="122">
        <f t="shared" si="28"/>
        <v>0</v>
      </c>
      <c r="D158" s="122"/>
      <c r="E158" s="505">
        <f t="shared" si="32"/>
        <v>0</v>
      </c>
      <c r="F158" s="124"/>
      <c r="G158" s="505">
        <f t="shared" si="33"/>
        <v>0</v>
      </c>
      <c r="H158" s="124"/>
      <c r="I158" s="505">
        <f t="shared" si="34"/>
        <v>0</v>
      </c>
      <c r="J158" s="124"/>
      <c r="K158" s="505">
        <f t="shared" si="29"/>
        <v>0</v>
      </c>
      <c r="L158" s="124"/>
      <c r="M158" s="505">
        <f t="shared" si="30"/>
        <v>0</v>
      </c>
      <c r="N158" s="124"/>
      <c r="O158" s="505">
        <f t="shared" si="31"/>
        <v>0</v>
      </c>
    </row>
    <row r="159" spans="1:15" x14ac:dyDescent="0.2">
      <c r="A159" s="393" t="str">
        <f t="shared" si="27"/>
        <v>Teacher Assistants/Aides</v>
      </c>
      <c r="B159" s="797" t="s">
        <v>207</v>
      </c>
      <c r="C159" s="122">
        <f t="shared" si="28"/>
        <v>0</v>
      </c>
      <c r="D159" s="122"/>
      <c r="E159" s="505">
        <f t="shared" si="32"/>
        <v>0</v>
      </c>
      <c r="F159" s="124"/>
      <c r="G159" s="505">
        <f t="shared" si="33"/>
        <v>0</v>
      </c>
      <c r="H159" s="124"/>
      <c r="I159" s="505">
        <f t="shared" si="34"/>
        <v>0</v>
      </c>
      <c r="J159" s="124"/>
      <c r="K159" s="505">
        <f t="shared" si="29"/>
        <v>0</v>
      </c>
      <c r="L159" s="124"/>
      <c r="M159" s="505">
        <f t="shared" si="30"/>
        <v>50000</v>
      </c>
      <c r="N159" s="124"/>
      <c r="O159" s="505">
        <f t="shared" si="31"/>
        <v>51000</v>
      </c>
    </row>
    <row r="160" spans="1:15" x14ac:dyDescent="0.2">
      <c r="A160" s="393" t="str">
        <f t="shared" si="27"/>
        <v>Resource Specialist</v>
      </c>
      <c r="B160" s="797" t="s">
        <v>207</v>
      </c>
      <c r="C160" s="122">
        <f t="shared" si="28"/>
        <v>0</v>
      </c>
      <c r="D160" s="122"/>
      <c r="E160" s="505">
        <f t="shared" si="32"/>
        <v>0</v>
      </c>
      <c r="F160" s="124"/>
      <c r="G160" s="505">
        <f t="shared" si="33"/>
        <v>0</v>
      </c>
      <c r="H160" s="124"/>
      <c r="I160" s="505">
        <f t="shared" si="34"/>
        <v>0</v>
      </c>
      <c r="J160" s="124"/>
      <c r="K160" s="505">
        <f t="shared" si="29"/>
        <v>0</v>
      </c>
      <c r="L160" s="124"/>
      <c r="M160" s="505">
        <f t="shared" si="30"/>
        <v>45000</v>
      </c>
      <c r="N160" s="124"/>
      <c r="O160" s="505">
        <f t="shared" si="31"/>
        <v>45900</v>
      </c>
    </row>
    <row r="161" spans="1:15" x14ac:dyDescent="0.2">
      <c r="A161" s="393" t="str">
        <f t="shared" si="27"/>
        <v>Transition Specialist</v>
      </c>
      <c r="B161" s="797" t="s">
        <v>207</v>
      </c>
      <c r="C161" s="122">
        <f t="shared" si="28"/>
        <v>0</v>
      </c>
      <c r="D161" s="122"/>
      <c r="E161" s="505">
        <f t="shared" si="32"/>
        <v>0</v>
      </c>
      <c r="F161" s="124"/>
      <c r="G161" s="505">
        <f t="shared" si="33"/>
        <v>0</v>
      </c>
      <c r="H161" s="124"/>
      <c r="I161" s="505">
        <f t="shared" si="34"/>
        <v>0</v>
      </c>
      <c r="J161" s="124"/>
      <c r="K161" s="505">
        <f t="shared" si="29"/>
        <v>0</v>
      </c>
      <c r="L161" s="124"/>
      <c r="M161" s="505">
        <f t="shared" si="30"/>
        <v>45000</v>
      </c>
      <c r="N161" s="124"/>
      <c r="O161" s="505">
        <f t="shared" si="31"/>
        <v>45900</v>
      </c>
    </row>
    <row r="162" spans="1:15" x14ac:dyDescent="0.2">
      <c r="A162" s="393" t="str">
        <f t="shared" si="27"/>
        <v>Blended Learning Coordinator</v>
      </c>
      <c r="B162" s="797" t="s">
        <v>207</v>
      </c>
      <c r="C162" s="122">
        <f t="shared" si="28"/>
        <v>0</v>
      </c>
      <c r="D162" s="122"/>
      <c r="E162" s="505">
        <f t="shared" si="32"/>
        <v>0</v>
      </c>
      <c r="F162" s="124"/>
      <c r="G162" s="505">
        <f t="shared" si="33"/>
        <v>0</v>
      </c>
      <c r="H162" s="124"/>
      <c r="I162" s="505">
        <f t="shared" si="34"/>
        <v>0</v>
      </c>
      <c r="J162" s="124"/>
      <c r="K162" s="505">
        <f t="shared" si="29"/>
        <v>0</v>
      </c>
      <c r="L162" s="124"/>
      <c r="M162" s="505">
        <f t="shared" si="30"/>
        <v>50000</v>
      </c>
      <c r="N162" s="124"/>
      <c r="O162" s="505">
        <f t="shared" si="31"/>
        <v>51000</v>
      </c>
    </row>
    <row r="163" spans="1:15" x14ac:dyDescent="0.2">
      <c r="A163" s="393" t="str">
        <f t="shared" si="27"/>
        <v>Site Director</v>
      </c>
      <c r="B163" s="797" t="s">
        <v>207</v>
      </c>
      <c r="C163" s="122">
        <f t="shared" si="28"/>
        <v>0</v>
      </c>
      <c r="D163" s="122"/>
      <c r="E163" s="505">
        <f t="shared" si="32"/>
        <v>0</v>
      </c>
      <c r="F163" s="124"/>
      <c r="G163" s="505">
        <f t="shared" si="33"/>
        <v>0</v>
      </c>
      <c r="H163" s="124"/>
      <c r="I163" s="505">
        <f t="shared" si="34"/>
        <v>0</v>
      </c>
      <c r="J163" s="124"/>
      <c r="K163" s="505">
        <f t="shared" si="29"/>
        <v>0</v>
      </c>
      <c r="L163" s="124"/>
      <c r="M163" s="505">
        <f t="shared" si="30"/>
        <v>0</v>
      </c>
      <c r="N163" s="124"/>
      <c r="O163" s="505">
        <f t="shared" si="31"/>
        <v>0</v>
      </c>
    </row>
    <row r="164" spans="1:15" x14ac:dyDescent="0.2">
      <c r="A164" s="393" t="str">
        <f t="shared" si="27"/>
        <v>Librarians</v>
      </c>
      <c r="B164" s="797" t="s">
        <v>207</v>
      </c>
      <c r="C164" s="122">
        <f t="shared" si="28"/>
        <v>0</v>
      </c>
      <c r="D164" s="122"/>
      <c r="E164" s="505">
        <f t="shared" si="32"/>
        <v>0</v>
      </c>
      <c r="F164" s="124"/>
      <c r="G164" s="505">
        <f t="shared" si="33"/>
        <v>0</v>
      </c>
      <c r="H164" s="124"/>
      <c r="I164" s="505">
        <f t="shared" si="34"/>
        <v>0</v>
      </c>
      <c r="J164" s="124"/>
      <c r="K164" s="505">
        <f t="shared" si="29"/>
        <v>0</v>
      </c>
      <c r="L164" s="124"/>
      <c r="M164" s="505">
        <f t="shared" si="30"/>
        <v>0</v>
      </c>
      <c r="N164" s="124"/>
      <c r="O164" s="505">
        <f t="shared" si="31"/>
        <v>0</v>
      </c>
    </row>
    <row r="165" spans="1:15" x14ac:dyDescent="0.2">
      <c r="A165" s="393" t="str">
        <f t="shared" si="27"/>
        <v>Custodians</v>
      </c>
      <c r="B165" s="797" t="s">
        <v>207</v>
      </c>
      <c r="C165" s="122">
        <f t="shared" si="28"/>
        <v>0</v>
      </c>
      <c r="D165" s="122"/>
      <c r="E165" s="505">
        <f t="shared" si="32"/>
        <v>0</v>
      </c>
      <c r="F165" s="124"/>
      <c r="G165" s="505">
        <f t="shared" si="33"/>
        <v>0</v>
      </c>
      <c r="H165" s="124"/>
      <c r="I165" s="505">
        <f t="shared" si="34"/>
        <v>0</v>
      </c>
      <c r="J165" s="124"/>
      <c r="K165" s="505">
        <f t="shared" si="29"/>
        <v>0</v>
      </c>
      <c r="L165" s="124"/>
      <c r="M165" s="505">
        <f t="shared" si="30"/>
        <v>0</v>
      </c>
      <c r="N165" s="124"/>
      <c r="O165" s="505">
        <f t="shared" si="31"/>
        <v>0</v>
      </c>
    </row>
    <row r="166" spans="1:15" x14ac:dyDescent="0.2">
      <c r="A166" s="393" t="str">
        <f t="shared" si="27"/>
        <v>Receptionist/Administrative Asst</v>
      </c>
      <c r="B166" s="797" t="s">
        <v>207</v>
      </c>
      <c r="C166" s="122">
        <f t="shared" si="28"/>
        <v>0</v>
      </c>
      <c r="D166" s="122"/>
      <c r="E166" s="505">
        <f t="shared" si="32"/>
        <v>0</v>
      </c>
      <c r="F166" s="124"/>
      <c r="G166" s="505">
        <f t="shared" si="33"/>
        <v>0</v>
      </c>
      <c r="H166" s="124"/>
      <c r="I166" s="505">
        <f t="shared" si="34"/>
        <v>0</v>
      </c>
      <c r="J166" s="124"/>
      <c r="K166" s="505">
        <f t="shared" si="29"/>
        <v>0</v>
      </c>
      <c r="L166" s="124"/>
      <c r="M166" s="505">
        <f t="shared" si="30"/>
        <v>30000</v>
      </c>
      <c r="N166" s="124"/>
      <c r="O166" s="505">
        <f t="shared" si="31"/>
        <v>30600</v>
      </c>
    </row>
    <row r="167" spans="1:15" x14ac:dyDescent="0.2">
      <c r="A167" s="393" t="str">
        <f t="shared" si="27"/>
        <v>Social Worker</v>
      </c>
      <c r="B167" s="797" t="s">
        <v>207</v>
      </c>
      <c r="C167" s="122">
        <f>C100*C54</f>
        <v>0</v>
      </c>
      <c r="D167" s="122"/>
      <c r="E167" s="505">
        <f t="shared" si="32"/>
        <v>0</v>
      </c>
      <c r="F167" s="124"/>
      <c r="G167" s="505">
        <f t="shared" si="33"/>
        <v>0</v>
      </c>
      <c r="H167" s="124"/>
      <c r="I167" s="505">
        <f t="shared" si="34"/>
        <v>0</v>
      </c>
      <c r="J167" s="124"/>
      <c r="K167" s="505">
        <f t="shared" si="29"/>
        <v>0</v>
      </c>
      <c r="L167" s="124"/>
      <c r="M167" s="505">
        <f t="shared" si="30"/>
        <v>27500</v>
      </c>
      <c r="N167" s="124"/>
      <c r="O167" s="505">
        <f t="shared" si="31"/>
        <v>28050</v>
      </c>
    </row>
    <row r="168" spans="1:15" ht="15.75" customHeight="1" x14ac:dyDescent="0.2">
      <c r="A168" s="393" t="str">
        <f t="shared" si="27"/>
        <v>Registrar</v>
      </c>
      <c r="B168" s="797" t="s">
        <v>207</v>
      </c>
      <c r="C168" s="122"/>
      <c r="D168" s="122"/>
      <c r="E168" s="505">
        <f t="shared" si="32"/>
        <v>0</v>
      </c>
      <c r="F168" s="124"/>
      <c r="G168" s="505">
        <f t="shared" si="33"/>
        <v>0</v>
      </c>
      <c r="H168" s="124"/>
      <c r="I168" s="505">
        <f t="shared" si="34"/>
        <v>0</v>
      </c>
      <c r="J168" s="124"/>
      <c r="K168" s="505">
        <f t="shared" si="29"/>
        <v>0</v>
      </c>
      <c r="L168" s="124"/>
      <c r="M168" s="505">
        <f t="shared" si="30"/>
        <v>45000</v>
      </c>
      <c r="N168" s="124"/>
      <c r="O168" s="505">
        <f t="shared" si="31"/>
        <v>45900</v>
      </c>
    </row>
    <row r="169" spans="1:15" x14ac:dyDescent="0.2">
      <c r="A169" s="393" t="str">
        <f t="shared" si="27"/>
        <v>Managing Director</v>
      </c>
      <c r="B169" s="797" t="s">
        <v>207</v>
      </c>
      <c r="C169" s="122" t="e">
        <f>C104*#REF!</f>
        <v>#REF!</v>
      </c>
      <c r="D169" s="122"/>
      <c r="E169" s="505">
        <f t="shared" si="32"/>
        <v>0</v>
      </c>
      <c r="F169" s="124"/>
      <c r="G169" s="505">
        <f t="shared" si="33"/>
        <v>0</v>
      </c>
      <c r="H169" s="124"/>
      <c r="I169" s="505">
        <f t="shared" si="34"/>
        <v>0</v>
      </c>
      <c r="J169" s="124"/>
      <c r="K169" s="505">
        <f t="shared" si="29"/>
        <v>0</v>
      </c>
      <c r="L169" s="124"/>
      <c r="M169" s="505">
        <f t="shared" si="30"/>
        <v>0</v>
      </c>
      <c r="N169" s="124"/>
      <c r="O169" s="505">
        <f t="shared" si="31"/>
        <v>0</v>
      </c>
    </row>
    <row r="170" spans="1:15" x14ac:dyDescent="0.2">
      <c r="A170" s="786" t="str">
        <f t="shared" si="27"/>
        <v>Director of Education</v>
      </c>
      <c r="B170" s="797" t="s">
        <v>207</v>
      </c>
      <c r="C170" s="122" t="e">
        <f>C105*#REF!</f>
        <v>#REF!</v>
      </c>
      <c r="D170" s="122"/>
      <c r="E170" s="505">
        <f t="shared" si="32"/>
        <v>0</v>
      </c>
      <c r="F170" s="124"/>
      <c r="G170" s="505">
        <f t="shared" si="33"/>
        <v>0</v>
      </c>
      <c r="H170" s="124"/>
      <c r="I170" s="505">
        <f t="shared" si="34"/>
        <v>0</v>
      </c>
      <c r="J170" s="124"/>
      <c r="K170" s="505">
        <f t="shared" si="29"/>
        <v>0</v>
      </c>
      <c r="L170" s="124"/>
      <c r="M170" s="505">
        <f t="shared" si="30"/>
        <v>0</v>
      </c>
      <c r="N170" s="124"/>
      <c r="O170" s="505">
        <f t="shared" si="31"/>
        <v>0</v>
      </c>
    </row>
    <row r="171" spans="1:15" x14ac:dyDescent="0.2">
      <c r="A171" s="786" t="str">
        <f t="shared" si="27"/>
        <v>Director of Finance &amp; Operations</v>
      </c>
      <c r="B171" s="797" t="s">
        <v>207</v>
      </c>
      <c r="C171" s="122" t="e">
        <f>C106*#REF!</f>
        <v>#REF!</v>
      </c>
      <c r="D171" s="122"/>
      <c r="E171" s="505">
        <f t="shared" si="32"/>
        <v>0</v>
      </c>
      <c r="F171" s="124"/>
      <c r="G171" s="505">
        <f t="shared" si="33"/>
        <v>0</v>
      </c>
      <c r="H171" s="124"/>
      <c r="I171" s="505">
        <f t="shared" si="34"/>
        <v>0</v>
      </c>
      <c r="J171" s="124"/>
      <c r="K171" s="505">
        <f t="shared" si="29"/>
        <v>0</v>
      </c>
      <c r="L171" s="124"/>
      <c r="M171" s="505">
        <f t="shared" si="30"/>
        <v>0</v>
      </c>
      <c r="N171" s="124"/>
      <c r="O171" s="505">
        <f t="shared" si="31"/>
        <v>0</v>
      </c>
    </row>
    <row r="172" spans="1:15" x14ac:dyDescent="0.2">
      <c r="A172" s="786" t="str">
        <f t="shared" si="27"/>
        <v xml:space="preserve">L </v>
      </c>
      <c r="B172" s="797" t="s">
        <v>207</v>
      </c>
      <c r="C172" s="122" t="e">
        <f>C107*#REF!</f>
        <v>#REF!</v>
      </c>
      <c r="D172" s="122"/>
      <c r="E172" s="505">
        <f t="shared" si="32"/>
        <v>0</v>
      </c>
      <c r="F172" s="124"/>
      <c r="G172" s="505">
        <f t="shared" si="33"/>
        <v>0</v>
      </c>
      <c r="H172" s="124"/>
      <c r="I172" s="505">
        <f t="shared" si="34"/>
        <v>0</v>
      </c>
      <c r="J172" s="124"/>
      <c r="K172" s="505">
        <f t="shared" si="29"/>
        <v>0</v>
      </c>
      <c r="L172" s="124"/>
      <c r="M172" s="505">
        <f t="shared" si="30"/>
        <v>0</v>
      </c>
      <c r="N172" s="124"/>
      <c r="O172" s="505">
        <f t="shared" si="31"/>
        <v>0</v>
      </c>
    </row>
    <row r="173" spans="1:15" x14ac:dyDescent="0.2">
      <c r="A173" s="786" t="str">
        <f t="shared" si="27"/>
        <v>M</v>
      </c>
      <c r="B173" s="797" t="s">
        <v>207</v>
      </c>
      <c r="C173" s="122" t="e">
        <f>C111*#REF!</f>
        <v>#REF!</v>
      </c>
      <c r="D173" s="122"/>
      <c r="E173" s="505">
        <f t="shared" si="32"/>
        <v>0</v>
      </c>
      <c r="F173" s="124"/>
      <c r="G173" s="505">
        <f t="shared" si="33"/>
        <v>0</v>
      </c>
      <c r="H173" s="124"/>
      <c r="I173" s="505">
        <f t="shared" si="34"/>
        <v>0</v>
      </c>
      <c r="J173" s="124"/>
      <c r="K173" s="505">
        <f t="shared" si="29"/>
        <v>0</v>
      </c>
      <c r="L173" s="124"/>
      <c r="M173" s="505">
        <f t="shared" si="30"/>
        <v>0</v>
      </c>
      <c r="N173" s="124"/>
      <c r="O173" s="505">
        <f t="shared" si="31"/>
        <v>0</v>
      </c>
    </row>
    <row r="174" spans="1:15" x14ac:dyDescent="0.2">
      <c r="A174" s="786" t="str">
        <f t="shared" si="27"/>
        <v>N</v>
      </c>
      <c r="B174" s="797" t="s">
        <v>207</v>
      </c>
      <c r="C174" s="122" t="e">
        <f>C112*#REF!</f>
        <v>#REF!</v>
      </c>
      <c r="D174" s="122"/>
      <c r="E174" s="505">
        <f t="shared" si="32"/>
        <v>0</v>
      </c>
      <c r="F174" s="124"/>
      <c r="G174" s="505">
        <f t="shared" si="33"/>
        <v>0</v>
      </c>
      <c r="H174" s="124"/>
      <c r="I174" s="505">
        <f t="shared" si="34"/>
        <v>0</v>
      </c>
      <c r="J174" s="124"/>
      <c r="K174" s="505">
        <f t="shared" si="29"/>
        <v>0</v>
      </c>
      <c r="L174" s="124"/>
      <c r="M174" s="505">
        <f t="shared" si="30"/>
        <v>0</v>
      </c>
      <c r="N174" s="124"/>
      <c r="O174" s="505">
        <f t="shared" si="31"/>
        <v>0</v>
      </c>
    </row>
    <row r="175" spans="1:15" x14ac:dyDescent="0.2">
      <c r="A175" s="786" t="str">
        <f t="shared" si="27"/>
        <v>O</v>
      </c>
      <c r="B175" s="797" t="s">
        <v>207</v>
      </c>
      <c r="C175" s="122" t="e">
        <f>C113*#REF!</f>
        <v>#REF!</v>
      </c>
      <c r="D175" s="122"/>
      <c r="E175" s="505">
        <f t="shared" si="32"/>
        <v>0</v>
      </c>
      <c r="F175" s="124"/>
      <c r="G175" s="505">
        <f t="shared" si="33"/>
        <v>0</v>
      </c>
      <c r="H175" s="124"/>
      <c r="I175" s="505">
        <f t="shared" si="34"/>
        <v>0</v>
      </c>
      <c r="J175" s="124"/>
      <c r="K175" s="505">
        <f t="shared" si="29"/>
        <v>0</v>
      </c>
      <c r="L175" s="124"/>
      <c r="M175" s="505">
        <f t="shared" si="30"/>
        <v>0</v>
      </c>
      <c r="N175" s="124"/>
      <c r="O175" s="505">
        <f t="shared" si="31"/>
        <v>0</v>
      </c>
    </row>
    <row r="176" spans="1:15" ht="13.5" thickBot="1" x14ac:dyDescent="0.25">
      <c r="A176" s="790" t="str">
        <f t="shared" si="27"/>
        <v>P</v>
      </c>
      <c r="B176" s="797" t="s">
        <v>207</v>
      </c>
      <c r="C176" s="122" t="e">
        <f>C115*#REF!</f>
        <v>#REF!</v>
      </c>
      <c r="D176" s="122"/>
      <c r="E176" s="505">
        <f t="shared" si="32"/>
        <v>0</v>
      </c>
      <c r="F176" s="124"/>
      <c r="G176" s="505">
        <f t="shared" si="33"/>
        <v>0</v>
      </c>
      <c r="H176" s="124"/>
      <c r="I176" s="505">
        <f t="shared" si="34"/>
        <v>0</v>
      </c>
      <c r="J176" s="124"/>
      <c r="K176" s="505">
        <f t="shared" si="29"/>
        <v>0</v>
      </c>
      <c r="L176" s="124"/>
      <c r="M176" s="505">
        <f t="shared" si="30"/>
        <v>0</v>
      </c>
      <c r="N176" s="124"/>
      <c r="O176" s="505">
        <f t="shared" si="31"/>
        <v>0</v>
      </c>
    </row>
    <row r="177" spans="1:15" ht="13.5" thickBot="1" x14ac:dyDescent="0.25">
      <c r="A177" s="524" t="s">
        <v>330</v>
      </c>
      <c r="B177" s="797" t="s">
        <v>207</v>
      </c>
      <c r="C177" s="122"/>
      <c r="D177" s="122"/>
      <c r="E177" s="505"/>
      <c r="F177" s="124"/>
      <c r="G177" s="505"/>
      <c r="H177" s="121"/>
      <c r="I177" s="505"/>
      <c r="J177" s="121"/>
      <c r="K177" s="505"/>
      <c r="L177" s="121"/>
      <c r="M177" s="505"/>
      <c r="N177" s="121"/>
      <c r="O177" s="505"/>
    </row>
    <row r="178" spans="1:15" x14ac:dyDescent="0.2">
      <c r="A178" s="507" t="s">
        <v>257</v>
      </c>
      <c r="B178" s="797" t="s">
        <v>207</v>
      </c>
      <c r="C178" s="122"/>
      <c r="D178" s="122"/>
      <c r="E178" s="156"/>
      <c r="F178" s="122"/>
      <c r="G178" s="156"/>
      <c r="H178" s="156"/>
      <c r="I178" s="156"/>
      <c r="J178" s="156"/>
      <c r="K178" s="156"/>
      <c r="L178" s="156"/>
      <c r="M178" s="156"/>
      <c r="N178" s="156"/>
      <c r="O178" s="156"/>
    </row>
    <row r="179" spans="1:15" x14ac:dyDescent="0.2">
      <c r="A179" s="508" t="s">
        <v>252</v>
      </c>
      <c r="B179" s="797" t="s">
        <v>207</v>
      </c>
      <c r="C179" s="122"/>
      <c r="D179" s="122"/>
      <c r="E179" s="156"/>
      <c r="F179" s="122"/>
      <c r="G179" s="156"/>
      <c r="H179" s="156"/>
      <c r="I179" s="156"/>
      <c r="J179" s="156"/>
      <c r="K179" s="156"/>
      <c r="L179" s="156"/>
      <c r="M179" s="156"/>
      <c r="N179" s="156"/>
      <c r="O179" s="156"/>
    </row>
    <row r="180" spans="1:15" ht="13.5" thickBot="1" x14ac:dyDescent="0.25">
      <c r="A180" s="509" t="s">
        <v>258</v>
      </c>
      <c r="B180" s="797" t="s">
        <v>207</v>
      </c>
      <c r="C180" s="125"/>
      <c r="D180" s="125"/>
      <c r="E180" s="929"/>
      <c r="F180" s="125"/>
      <c r="G180" s="156"/>
      <c r="H180" s="157"/>
      <c r="I180" s="156"/>
      <c r="J180" s="157"/>
      <c r="K180" s="156"/>
      <c r="L180" s="157"/>
      <c r="M180" s="156"/>
      <c r="N180" s="157"/>
      <c r="O180" s="156"/>
    </row>
    <row r="181" spans="1:15" ht="13.5" thickBot="1" x14ac:dyDescent="0.25">
      <c r="A181" s="510" t="s">
        <v>308</v>
      </c>
      <c r="B181" s="804"/>
      <c r="C181" s="835"/>
      <c r="D181" s="835"/>
      <c r="E181" s="811">
        <f>SUM(E150:E180)</f>
        <v>0</v>
      </c>
      <c r="F181" s="836"/>
      <c r="G181" s="811">
        <f>SUM(G150:G180)</f>
        <v>0</v>
      </c>
      <c r="H181" s="837"/>
      <c r="I181" s="811">
        <f>SUM(I150:I180)</f>
        <v>0</v>
      </c>
      <c r="J181" s="837"/>
      <c r="K181" s="811">
        <f>SUM(K150:K180)</f>
        <v>0</v>
      </c>
      <c r="L181" s="837"/>
      <c r="M181" s="811">
        <f>SUM(M150:M180)</f>
        <v>392500</v>
      </c>
      <c r="N181" s="837"/>
      <c r="O181" s="811">
        <f>SUM(O150:O180)</f>
        <v>400350</v>
      </c>
    </row>
    <row r="182" spans="1:15" ht="13.5" thickBot="1" x14ac:dyDescent="0.25">
      <c r="A182" s="419"/>
      <c r="B182" s="805"/>
      <c r="C182" s="126"/>
      <c r="D182" s="126"/>
      <c r="E182" s="126"/>
      <c r="F182" s="126"/>
      <c r="G182" s="126"/>
      <c r="H182" s="126"/>
      <c r="I182" s="126"/>
      <c r="J182" s="126"/>
      <c r="K182" s="126"/>
      <c r="L182" s="126"/>
      <c r="M182" s="126"/>
      <c r="N182" s="126"/>
      <c r="O182" s="126"/>
    </row>
    <row r="183" spans="1:15" ht="22.5" customHeight="1" thickBot="1" x14ac:dyDescent="0.25">
      <c r="A183" s="808" t="s">
        <v>261</v>
      </c>
      <c r="B183" s="806" t="s">
        <v>207</v>
      </c>
      <c r="C183" s="805"/>
      <c r="D183" s="805"/>
      <c r="E183" s="529"/>
      <c r="F183" s="805"/>
      <c r="G183" s="531">
        <f>G142</f>
        <v>0</v>
      </c>
      <c r="H183" s="805"/>
      <c r="I183" s="531">
        <f>I142</f>
        <v>0</v>
      </c>
      <c r="J183" s="805"/>
      <c r="K183" s="531">
        <f>K142</f>
        <v>0</v>
      </c>
      <c r="L183" s="805"/>
      <c r="M183" s="531">
        <f>M142</f>
        <v>352750</v>
      </c>
      <c r="N183" s="805"/>
      <c r="O183" s="531">
        <f>O142</f>
        <v>359805</v>
      </c>
    </row>
    <row r="184" spans="1:15" ht="22.5" customHeight="1" thickBot="1" x14ac:dyDescent="0.25">
      <c r="A184" s="521" t="s">
        <v>315</v>
      </c>
      <c r="B184" s="797" t="s">
        <v>207</v>
      </c>
      <c r="C184" s="805"/>
      <c r="D184" s="805"/>
      <c r="E184" s="529"/>
      <c r="F184" s="805"/>
      <c r="G184" s="531">
        <f>-SUM(G120:G127)</f>
        <v>0</v>
      </c>
      <c r="H184" s="805"/>
      <c r="I184" s="531">
        <f>-SUM(I120:I127)</f>
        <v>0</v>
      </c>
      <c r="J184" s="805"/>
      <c r="K184" s="531">
        <f>-SUM(K120:K127)</f>
        <v>0</v>
      </c>
      <c r="L184" s="805"/>
      <c r="M184" s="531">
        <f>-SUM(M120:M127)</f>
        <v>-132750</v>
      </c>
      <c r="N184" s="805"/>
      <c r="O184" s="531">
        <f>-SUM(O120:O127)</f>
        <v>-135405</v>
      </c>
    </row>
    <row r="185" spans="1:15" ht="33" customHeight="1" thickBot="1" x14ac:dyDescent="0.25">
      <c r="A185" s="809" t="s">
        <v>411</v>
      </c>
      <c r="B185" s="797" t="s">
        <v>207</v>
      </c>
      <c r="C185" s="805"/>
      <c r="D185" s="805"/>
      <c r="E185" s="529"/>
      <c r="F185" s="805"/>
      <c r="G185" s="531">
        <f>G183+G184</f>
        <v>0</v>
      </c>
      <c r="H185" s="805"/>
      <c r="I185" s="531">
        <f>I183+I184</f>
        <v>0</v>
      </c>
      <c r="J185" s="805"/>
      <c r="K185" s="531">
        <f>K183+K184</f>
        <v>0</v>
      </c>
      <c r="L185" s="805"/>
      <c r="M185" s="531">
        <f>M183+M184</f>
        <v>220000</v>
      </c>
      <c r="N185" s="805"/>
      <c r="O185" s="531">
        <f>O183+O184</f>
        <v>224400</v>
      </c>
    </row>
    <row r="186" spans="1:15" ht="22.5" customHeight="1" thickBot="1" x14ac:dyDescent="0.25">
      <c r="A186" s="521" t="s">
        <v>262</v>
      </c>
      <c r="B186" s="797" t="s">
        <v>207</v>
      </c>
      <c r="C186" s="805"/>
      <c r="D186" s="820"/>
      <c r="E186" s="529"/>
      <c r="F186" s="805"/>
      <c r="G186" s="531">
        <f>G148</f>
        <v>0</v>
      </c>
      <c r="H186" s="805"/>
      <c r="I186" s="531">
        <f>I148</f>
        <v>0</v>
      </c>
      <c r="J186" s="805"/>
      <c r="K186" s="531">
        <f>K148</f>
        <v>0</v>
      </c>
      <c r="L186" s="805"/>
      <c r="M186" s="531">
        <f>M148</f>
        <v>0</v>
      </c>
      <c r="N186" s="805"/>
      <c r="O186" s="531">
        <f>O148</f>
        <v>0</v>
      </c>
    </row>
    <row r="187" spans="1:15" ht="22.5" customHeight="1" thickBot="1" x14ac:dyDescent="0.25">
      <c r="A187" s="521" t="s">
        <v>316</v>
      </c>
      <c r="B187" s="797" t="s">
        <v>207</v>
      </c>
      <c r="C187" s="418" t="e">
        <f>SUM(C130:C180)</f>
        <v>#REF!</v>
      </c>
      <c r="D187" s="144"/>
      <c r="E187" s="528"/>
      <c r="F187" s="144"/>
      <c r="G187" s="528">
        <f>G183+G186</f>
        <v>0</v>
      </c>
      <c r="H187" s="410"/>
      <c r="I187" s="528">
        <f>I183+I186</f>
        <v>0</v>
      </c>
      <c r="J187" s="411"/>
      <c r="K187" s="528">
        <f>K183+K186</f>
        <v>0</v>
      </c>
      <c r="L187" s="411"/>
      <c r="M187" s="528">
        <f>M183+M186</f>
        <v>352750</v>
      </c>
      <c r="N187" s="411"/>
      <c r="O187" s="528">
        <f>O183+O186</f>
        <v>359805</v>
      </c>
    </row>
    <row r="188" spans="1:15" ht="22.5" customHeight="1" thickBot="1" x14ac:dyDescent="0.25">
      <c r="A188" s="521" t="s">
        <v>83</v>
      </c>
      <c r="B188" s="797" t="s">
        <v>207</v>
      </c>
      <c r="C188" s="144"/>
      <c r="D188" s="144"/>
      <c r="E188" s="530">
        <f>E181</f>
        <v>0</v>
      </c>
      <c r="F188" s="144"/>
      <c r="G188" s="530">
        <f>G181</f>
        <v>0</v>
      </c>
      <c r="H188" s="412"/>
      <c r="I188" s="530">
        <f>I181</f>
        <v>0</v>
      </c>
      <c r="J188" s="412"/>
      <c r="K188" s="530">
        <f>K181</f>
        <v>0</v>
      </c>
      <c r="L188" s="412"/>
      <c r="M188" s="530">
        <f>M181</f>
        <v>392500</v>
      </c>
      <c r="N188" s="412"/>
      <c r="O188" s="530">
        <f>O181</f>
        <v>400350</v>
      </c>
    </row>
    <row r="189" spans="1:15" ht="22.5" customHeight="1" thickBot="1" x14ac:dyDescent="0.25">
      <c r="A189" s="521" t="s">
        <v>35</v>
      </c>
      <c r="B189" s="797" t="s">
        <v>207</v>
      </c>
      <c r="C189" s="144"/>
      <c r="D189" s="144"/>
      <c r="E189" s="530">
        <f>SUM(E187:E188)</f>
        <v>0</v>
      </c>
      <c r="F189" s="144"/>
      <c r="G189" s="530">
        <f>SUM(G187:G188)</f>
        <v>0</v>
      </c>
      <c r="H189" s="412"/>
      <c r="I189" s="530">
        <f>SUM(I187:I188)</f>
        <v>0</v>
      </c>
      <c r="J189" s="412"/>
      <c r="K189" s="530">
        <f>SUM(K187:K188)</f>
        <v>0</v>
      </c>
      <c r="L189" s="412"/>
      <c r="M189" s="530">
        <f>SUM(M187:M188)</f>
        <v>745250</v>
      </c>
      <c r="N189" s="412"/>
      <c r="O189" s="530">
        <f>SUM(O187:O188)</f>
        <v>760155</v>
      </c>
    </row>
    <row r="190" spans="1:15" ht="13.5" thickBot="1" x14ac:dyDescent="0.25">
      <c r="A190" s="127"/>
      <c r="B190" s="807"/>
      <c r="C190" s="127"/>
      <c r="D190" s="127"/>
      <c r="E190" s="127"/>
      <c r="F190" s="127"/>
      <c r="G190" s="127"/>
      <c r="H190" s="127"/>
      <c r="I190" s="127"/>
      <c r="J190" s="127"/>
      <c r="K190" s="127"/>
      <c r="L190" s="127"/>
      <c r="M190" s="127"/>
      <c r="N190" s="127"/>
      <c r="O190" s="127"/>
    </row>
    <row r="191" spans="1:15" ht="22.5" customHeight="1" thickBot="1" x14ac:dyDescent="0.25">
      <c r="A191" s="521" t="s">
        <v>36</v>
      </c>
      <c r="B191" s="527" t="s">
        <v>84</v>
      </c>
      <c r="C191" s="158">
        <f>SUM(C7:C57)</f>
        <v>0</v>
      </c>
      <c r="D191" s="282"/>
      <c r="E191" s="531">
        <f>SUM(E7:E57)</f>
        <v>0</v>
      </c>
      <c r="F191" s="282"/>
      <c r="G191" s="531">
        <f>SUM(G7:G57)</f>
        <v>0</v>
      </c>
      <c r="H191" s="158"/>
      <c r="I191" s="531">
        <f>SUM(I7:I57)</f>
        <v>0</v>
      </c>
      <c r="J191" s="158"/>
      <c r="K191" s="531">
        <f>SUM(K7:K57)</f>
        <v>0</v>
      </c>
      <c r="L191" s="158"/>
      <c r="M191" s="531">
        <f>SUM(M7:M57)</f>
        <v>15.899999999999999</v>
      </c>
      <c r="N191" s="158"/>
      <c r="O191" s="531">
        <f>SUM(O7:O57)</f>
        <v>15.899999999999999</v>
      </c>
    </row>
    <row r="192" spans="1:15" ht="13.5" thickBot="1" x14ac:dyDescent="0.25">
      <c r="A192" s="126"/>
      <c r="B192" s="126"/>
      <c r="C192" s="126"/>
      <c r="D192" s="126"/>
      <c r="E192" s="126"/>
      <c r="F192" s="126"/>
      <c r="G192" s="126"/>
      <c r="H192" s="126"/>
      <c r="I192" s="126"/>
      <c r="J192" s="126"/>
      <c r="K192" s="126"/>
      <c r="L192" s="126"/>
      <c r="M192" s="126"/>
      <c r="N192" s="126"/>
      <c r="O192" s="126"/>
    </row>
    <row r="193" spans="1:15" ht="18.75" customHeight="1" thickBot="1" x14ac:dyDescent="0.3">
      <c r="A193" s="525" t="s">
        <v>446</v>
      </c>
      <c r="B193" s="160">
        <v>0</v>
      </c>
      <c r="C193" s="128"/>
      <c r="D193" s="128"/>
      <c r="E193" s="128"/>
      <c r="F193" s="128"/>
      <c r="G193" s="128"/>
      <c r="H193" s="128"/>
      <c r="I193" s="128"/>
      <c r="J193" s="128"/>
      <c r="K193" s="128"/>
      <c r="L193" s="128"/>
      <c r="M193" s="128"/>
      <c r="N193" s="128"/>
      <c r="O193" s="128"/>
    </row>
    <row r="194" spans="1:15" ht="20.25" customHeight="1" thickBot="1" x14ac:dyDescent="0.3">
      <c r="A194" s="525" t="s">
        <v>447</v>
      </c>
      <c r="B194" s="526">
        <f>9%-B193</f>
        <v>0.09</v>
      </c>
      <c r="C194" s="128"/>
      <c r="D194" s="128"/>
      <c r="E194" s="128"/>
      <c r="F194" s="128"/>
      <c r="G194" s="128"/>
      <c r="H194" s="128"/>
      <c r="I194" s="128"/>
      <c r="J194" s="128"/>
      <c r="K194" s="128"/>
      <c r="L194" s="128"/>
      <c r="M194" s="128"/>
      <c r="N194" s="128"/>
      <c r="O194" s="128"/>
    </row>
    <row r="195" spans="1:15" ht="21.75" customHeight="1" thickBot="1" x14ac:dyDescent="0.25">
      <c r="A195" s="521" t="s">
        <v>52</v>
      </c>
      <c r="B195" s="810" t="s">
        <v>84</v>
      </c>
      <c r="C195" s="159" t="e">
        <f>#REF!*$B$193</f>
        <v>#REF!</v>
      </c>
      <c r="D195" s="283"/>
      <c r="E195" s="283"/>
      <c r="F195" s="283"/>
      <c r="G195" s="532">
        <f>$B$193*G183</f>
        <v>0</v>
      </c>
      <c r="H195" s="840"/>
      <c r="I195" s="532">
        <f>$B$193*I183</f>
        <v>0</v>
      </c>
      <c r="J195" s="840"/>
      <c r="K195" s="532">
        <f>$B$193*K183</f>
        <v>0</v>
      </c>
      <c r="L195" s="840"/>
      <c r="M195" s="532">
        <f>$B$193*M183</f>
        <v>0</v>
      </c>
      <c r="N195" s="840"/>
      <c r="O195" s="532">
        <f>$B$193*O183</f>
        <v>0</v>
      </c>
    </row>
    <row r="196" spans="1:15" ht="13.5" thickBot="1" x14ac:dyDescent="0.25">
      <c r="A196" s="126"/>
      <c r="B196" s="126"/>
      <c r="C196" s="128"/>
      <c r="D196" s="283"/>
      <c r="E196" s="283"/>
      <c r="F196" s="128"/>
      <c r="G196" s="841"/>
      <c r="H196" s="841"/>
      <c r="I196" s="841"/>
      <c r="J196" s="841"/>
      <c r="K196" s="841"/>
      <c r="L196" s="841"/>
      <c r="M196" s="841"/>
      <c r="N196" s="841"/>
      <c r="O196" s="841"/>
    </row>
    <row r="197" spans="1:15" ht="19.5" customHeight="1" thickBot="1" x14ac:dyDescent="0.25">
      <c r="A197" s="809" t="s">
        <v>85</v>
      </c>
      <c r="B197" s="628">
        <v>0.1116</v>
      </c>
      <c r="C197" s="838" t="e">
        <f>#REF!*0.11</f>
        <v>#REF!</v>
      </c>
      <c r="D197" s="815"/>
      <c r="E197" s="815"/>
      <c r="F197" s="283"/>
      <c r="G197" s="532">
        <f>$B$197*G185</f>
        <v>0</v>
      </c>
      <c r="H197" s="812"/>
      <c r="I197" s="532">
        <f>$B$197*I185</f>
        <v>0</v>
      </c>
      <c r="J197" s="813"/>
      <c r="K197" s="532">
        <f>$B$197*K185</f>
        <v>0</v>
      </c>
      <c r="L197" s="813"/>
      <c r="M197" s="532">
        <f>$B$197*M185</f>
        <v>24552</v>
      </c>
      <c r="N197" s="813"/>
      <c r="O197" s="532">
        <f>$B$197*O185</f>
        <v>25043.040000000001</v>
      </c>
    </row>
    <row r="198" spans="1:15" ht="13.5" thickBot="1" x14ac:dyDescent="0.25">
      <c r="A198" s="820"/>
      <c r="B198" s="820"/>
      <c r="C198" s="839"/>
      <c r="D198" s="815"/>
      <c r="E198" s="815"/>
      <c r="F198" s="128"/>
      <c r="G198" s="842"/>
      <c r="H198" s="842"/>
      <c r="I198" s="420"/>
      <c r="J198" s="842"/>
      <c r="K198" s="842"/>
      <c r="L198" s="842"/>
      <c r="M198" s="842"/>
      <c r="N198" s="842"/>
      <c r="O198" s="842"/>
    </row>
    <row r="199" spans="1:15" ht="21.75" customHeight="1" thickBot="1" x14ac:dyDescent="0.25">
      <c r="A199" s="521" t="s">
        <v>37</v>
      </c>
      <c r="B199" s="628">
        <v>6.2E-2</v>
      </c>
      <c r="C199" s="814" t="e">
        <f>#REF!*0.062</f>
        <v>#REF!</v>
      </c>
      <c r="D199" s="815"/>
      <c r="E199" s="532">
        <f>E188*$B$199</f>
        <v>0</v>
      </c>
      <c r="F199" s="815"/>
      <c r="G199" s="532">
        <f>G188*$B$199</f>
        <v>0</v>
      </c>
      <c r="H199" s="816"/>
      <c r="I199" s="532">
        <f>I188*$B$199</f>
        <v>0</v>
      </c>
      <c r="J199" s="817"/>
      <c r="K199" s="532">
        <f>K188*$B$199</f>
        <v>0</v>
      </c>
      <c r="L199" s="817"/>
      <c r="M199" s="532">
        <f>M188*$B$199</f>
        <v>24335</v>
      </c>
      <c r="N199" s="817"/>
      <c r="O199" s="532">
        <f>O188*$B$199</f>
        <v>24821.7</v>
      </c>
    </row>
    <row r="200" spans="1:15" ht="13.5" thickBot="1" x14ac:dyDescent="0.25">
      <c r="A200" s="805"/>
      <c r="B200" s="805"/>
      <c r="C200" s="839"/>
      <c r="D200" s="815"/>
      <c r="E200" s="815"/>
      <c r="F200" s="128"/>
      <c r="G200" s="842"/>
      <c r="H200" s="842"/>
      <c r="I200" s="842"/>
      <c r="J200" s="842"/>
      <c r="K200" s="842"/>
      <c r="L200" s="842"/>
      <c r="M200" s="842"/>
      <c r="N200" s="842"/>
      <c r="O200" s="842"/>
    </row>
    <row r="201" spans="1:15" ht="24" customHeight="1" thickBot="1" x14ac:dyDescent="0.25">
      <c r="A201" s="521" t="s">
        <v>86</v>
      </c>
      <c r="B201" s="628">
        <v>1.4500000000000001E-2</v>
      </c>
      <c r="C201" s="818"/>
      <c r="D201" s="819"/>
      <c r="E201" s="532">
        <f>E189*$B$201</f>
        <v>0</v>
      </c>
      <c r="F201" s="820"/>
      <c r="G201" s="532">
        <f>G189*$B$201</f>
        <v>0</v>
      </c>
      <c r="H201" s="816"/>
      <c r="I201" s="532">
        <f>I189*$B$201</f>
        <v>0</v>
      </c>
      <c r="J201" s="817"/>
      <c r="K201" s="532">
        <f>K189*$B$201</f>
        <v>0</v>
      </c>
      <c r="L201" s="817"/>
      <c r="M201" s="532">
        <f>M189*$B$201</f>
        <v>10806.125</v>
      </c>
      <c r="N201" s="817"/>
      <c r="O201" s="532">
        <f>O189*$B$201</f>
        <v>11022.247500000001</v>
      </c>
    </row>
    <row r="202" spans="1:15" ht="13.5" thickBot="1" x14ac:dyDescent="0.25">
      <c r="A202" s="4"/>
      <c r="B202" s="4"/>
      <c r="C202" s="4"/>
      <c r="D202" s="4"/>
      <c r="E202" s="4"/>
      <c r="F202" s="4"/>
      <c r="G202" s="413"/>
      <c r="H202" s="413"/>
      <c r="I202" s="413"/>
      <c r="J202" s="413"/>
      <c r="K202" s="413"/>
      <c r="L202" s="413"/>
      <c r="M202" s="413"/>
      <c r="N202" s="413"/>
      <c r="O202" s="413"/>
    </row>
    <row r="203" spans="1:15" ht="24" customHeight="1" thickBot="1" x14ac:dyDescent="0.25">
      <c r="A203" s="521" t="s">
        <v>251</v>
      </c>
      <c r="B203" s="930">
        <v>4.3999999999999997E-2</v>
      </c>
      <c r="C203" s="4"/>
      <c r="D203" s="4"/>
      <c r="E203" s="414">
        <f>E188*$B$203</f>
        <v>0</v>
      </c>
      <c r="F203" s="4"/>
      <c r="G203" s="414">
        <f>G188*$B$203</f>
        <v>0</v>
      </c>
      <c r="H203" s="413"/>
      <c r="I203" s="414">
        <f>I188*$B$203</f>
        <v>0</v>
      </c>
      <c r="J203" s="413"/>
      <c r="K203" s="414">
        <f>K188*$B$203</f>
        <v>0</v>
      </c>
      <c r="L203" s="413"/>
      <c r="M203" s="414">
        <f>M188*$B$203</f>
        <v>17270</v>
      </c>
      <c r="N203" s="413"/>
      <c r="O203" s="414">
        <f>O188*$B$203</f>
        <v>17615.399999999998</v>
      </c>
    </row>
    <row r="204" spans="1:15" x14ac:dyDescent="0.2">
      <c r="A204" s="4"/>
      <c r="B204" s="4"/>
      <c r="C204" s="4"/>
      <c r="D204" s="4"/>
      <c r="E204" s="4"/>
      <c r="F204" s="4"/>
      <c r="G204" s="4"/>
      <c r="H204" s="4"/>
      <c r="I204" s="4"/>
      <c r="J204" s="4"/>
      <c r="K204" s="4"/>
      <c r="L204" s="4"/>
      <c r="M204" s="4"/>
      <c r="N204" s="4"/>
      <c r="O204" s="4"/>
    </row>
  </sheetData>
  <sheetProtection password="CC59" sheet="1" formatColumns="0" formatRows="0"/>
  <mergeCells count="6">
    <mergeCell ref="A1:B1"/>
    <mergeCell ref="B117:O117"/>
    <mergeCell ref="B4:O4"/>
    <mergeCell ref="B60:O60"/>
    <mergeCell ref="A62:B62"/>
    <mergeCell ref="D5:O5"/>
  </mergeCells>
  <phoneticPr fontId="22" type="noConversion"/>
  <conditionalFormatting sqref="G181:O181 H180 J180 L180 N180 E181">
    <cfRule type="expression" dxfId="8" priority="7" stopIfTrue="1">
      <formula>#REF!="Yes"</formula>
    </cfRule>
  </conditionalFormatting>
  <conditionalFormatting sqref="G34:O34 G41:H42 G28:H29 G31:O32 F7:F57 J28:J29 L28:L29 N28:N29 H43:H45 G43:G57 J41:J45 L41:L45 N41:O41 N42:N45 C6:E57 O43 O45 O47 O49 O51 O53 O55">
    <cfRule type="expression" dxfId="7" priority="9" stopIfTrue="1">
      <formula>#REF!="Prior Fiscal Year"</formula>
    </cfRule>
  </conditionalFormatting>
  <conditionalFormatting sqref="C180:F180 C181:D181 F181">
    <cfRule type="expression" dxfId="6" priority="20" stopIfTrue="1">
      <formula>#REF!="Yes"</formula>
    </cfRule>
    <cfRule type="expression" dxfId="5" priority="21" stopIfTrue="1">
      <formula>#REF!="Prior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dataValidations xWindow="303" yWindow="336"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34" workbookViewId="0"/>
  </sheetViews>
  <sheetFormatPr defaultRowHeight="12.75" x14ac:dyDescent="0.2"/>
  <cols>
    <col min="1" max="1" width="79" customWidth="1"/>
    <col min="2" max="7" width="15.7109375" customWidth="1"/>
  </cols>
  <sheetData>
    <row r="1" spans="1:7" ht="18" x14ac:dyDescent="0.25">
      <c r="A1" s="965" t="str">
        <f>'Budget with Assumptions'!$A$2</f>
        <v>Connected Future Academy Campus 5</v>
      </c>
      <c r="B1" s="93"/>
      <c r="C1" s="92"/>
      <c r="D1" s="92"/>
      <c r="E1" s="73"/>
      <c r="F1" s="73"/>
      <c r="G1" s="73"/>
    </row>
    <row r="2" spans="1:7" ht="18.75" thickBot="1" x14ac:dyDescent="0.3">
      <c r="A2" s="966" t="s">
        <v>463</v>
      </c>
      <c r="B2" s="93"/>
      <c r="C2" s="92"/>
      <c r="D2" s="92"/>
      <c r="E2" s="73"/>
      <c r="F2" s="73"/>
      <c r="G2" s="73"/>
    </row>
    <row r="3" spans="1:7" ht="15.75" x14ac:dyDescent="0.25">
      <c r="B3" s="93"/>
      <c r="C3" s="92"/>
      <c r="D3" s="92"/>
      <c r="E3" s="73"/>
      <c r="F3" s="73"/>
      <c r="G3" s="73"/>
    </row>
    <row r="4" spans="1:7" ht="19.5" customHeight="1" x14ac:dyDescent="0.25">
      <c r="A4" s="953"/>
      <c r="B4" s="74"/>
      <c r="C4" s="74"/>
      <c r="D4" s="74"/>
      <c r="E4" s="74"/>
      <c r="F4" s="74"/>
      <c r="G4" s="74"/>
    </row>
    <row r="5" spans="1:7" ht="13.5" thickBot="1" x14ac:dyDescent="0.25">
      <c r="A5" s="75"/>
      <c r="B5" s="75"/>
      <c r="C5" s="75"/>
      <c r="D5" s="75"/>
      <c r="E5" s="75"/>
      <c r="F5" s="75"/>
      <c r="G5" s="75"/>
    </row>
    <row r="6" spans="1:7" ht="19.5" customHeight="1" thickBot="1" x14ac:dyDescent="0.3">
      <c r="A6" s="955"/>
      <c r="B6" s="1183" t="s">
        <v>461</v>
      </c>
      <c r="C6" s="1184"/>
      <c r="D6" s="1184"/>
      <c r="E6" s="1184"/>
      <c r="F6" s="1184"/>
      <c r="G6" s="1185"/>
    </row>
    <row r="7" spans="1:7" ht="18.75" customHeight="1" thickBot="1" x14ac:dyDescent="0.3">
      <c r="A7" s="959" t="s">
        <v>459</v>
      </c>
      <c r="B7" s="961" t="s">
        <v>170</v>
      </c>
      <c r="C7" s="962">
        <f>'Budget with Assumptions'!L9</f>
        <v>2017</v>
      </c>
      <c r="D7" s="962">
        <f>'Budget with Assumptions'!N9</f>
        <v>2018</v>
      </c>
      <c r="E7" s="962">
        <f>'Budget with Assumptions'!P9</f>
        <v>2019</v>
      </c>
      <c r="F7" s="962">
        <f>'Budget with Assumptions'!R9</f>
        <v>2020</v>
      </c>
      <c r="G7" s="962">
        <f>'Budget with Assumptions'!T9</f>
        <v>2021</v>
      </c>
    </row>
    <row r="8" spans="1:7" x14ac:dyDescent="0.2">
      <c r="A8" s="960" t="s">
        <v>69</v>
      </c>
      <c r="B8" s="954" t="s">
        <v>207</v>
      </c>
      <c r="C8" s="119"/>
      <c r="D8" s="119"/>
      <c r="E8" s="119"/>
      <c r="F8" s="119"/>
      <c r="G8" s="119"/>
    </row>
    <row r="9" spans="1:7" x14ac:dyDescent="0.2">
      <c r="A9" s="960" t="s">
        <v>70</v>
      </c>
      <c r="B9" s="954" t="s">
        <v>207</v>
      </c>
      <c r="C9" s="119"/>
      <c r="D9" s="119"/>
      <c r="E9" s="119"/>
      <c r="F9" s="119"/>
      <c r="G9" s="119"/>
    </row>
    <row r="10" spans="1:7" x14ac:dyDescent="0.2">
      <c r="A10" s="960" t="s">
        <v>71</v>
      </c>
      <c r="B10" s="954" t="s">
        <v>207</v>
      </c>
      <c r="C10" s="119"/>
      <c r="D10" s="119"/>
      <c r="E10" s="119"/>
      <c r="F10" s="119"/>
      <c r="G10" s="119"/>
    </row>
    <row r="11" spans="1:7" x14ac:dyDescent="0.2">
      <c r="A11" s="960" t="s">
        <v>72</v>
      </c>
      <c r="B11" s="954" t="s">
        <v>207</v>
      </c>
      <c r="C11" s="119"/>
      <c r="D11" s="119"/>
      <c r="E11" s="119"/>
      <c r="F11" s="119"/>
      <c r="G11" s="119"/>
    </row>
    <row r="12" spans="1:7" x14ac:dyDescent="0.2">
      <c r="A12" s="960" t="s">
        <v>73</v>
      </c>
      <c r="B12" s="954" t="s">
        <v>207</v>
      </c>
      <c r="C12" s="119"/>
      <c r="D12" s="119"/>
      <c r="E12" s="119"/>
      <c r="F12" s="119"/>
      <c r="G12" s="119"/>
    </row>
    <row r="13" spans="1:7" ht="13.5" thickBot="1" x14ac:dyDescent="0.25">
      <c r="A13" s="973" t="s">
        <v>74</v>
      </c>
      <c r="B13" s="954" t="s">
        <v>207</v>
      </c>
      <c r="C13" s="149"/>
      <c r="D13" s="119"/>
      <c r="E13" s="119"/>
      <c r="F13" s="119"/>
      <c r="G13" s="119"/>
    </row>
    <row r="14" spans="1:7" ht="23.25" customHeight="1" thickBot="1" x14ac:dyDescent="0.25">
      <c r="A14" s="975" t="s">
        <v>474</v>
      </c>
      <c r="B14" s="79"/>
      <c r="C14" s="974">
        <f>SUM(C8:C13)</f>
        <v>0</v>
      </c>
      <c r="D14" s="974">
        <f>SUM(D8:D13)</f>
        <v>0</v>
      </c>
      <c r="E14" s="974">
        <f>SUM(E8:E13)</f>
        <v>0</v>
      </c>
      <c r="F14" s="974">
        <f>SUM(F8:F13)</f>
        <v>0</v>
      </c>
      <c r="G14" s="974">
        <f>SUM(G8:G13)</f>
        <v>0</v>
      </c>
    </row>
    <row r="15" spans="1:7" ht="13.5" thickBot="1" x14ac:dyDescent="0.25">
      <c r="A15" s="74"/>
      <c r="B15" s="74"/>
      <c r="C15" s="74"/>
      <c r="D15" s="74"/>
      <c r="E15" s="74"/>
      <c r="F15" s="74"/>
      <c r="G15" s="74"/>
    </row>
    <row r="16" spans="1:7" ht="18.75" customHeight="1" thickBot="1" x14ac:dyDescent="0.3">
      <c r="A16" s="963" t="str">
        <f t="shared" ref="A16:A22" si="0">A7</f>
        <v>Clinician Position</v>
      </c>
      <c r="B16" s="1183" t="s">
        <v>462</v>
      </c>
      <c r="C16" s="1184"/>
      <c r="D16" s="1184"/>
      <c r="E16" s="1184"/>
      <c r="F16" s="1184"/>
      <c r="G16" s="1185"/>
    </row>
    <row r="17" spans="1:7" x14ac:dyDescent="0.2">
      <c r="A17" s="392" t="str">
        <f t="shared" si="0"/>
        <v>SPED Clinicians-Psychologist (reimbursed by CPS)</v>
      </c>
      <c r="B17" s="797" t="s">
        <v>207</v>
      </c>
      <c r="C17" s="968"/>
      <c r="D17" s="968"/>
      <c r="E17" s="968"/>
      <c r="F17" s="968"/>
      <c r="G17" s="968"/>
    </row>
    <row r="18" spans="1:7" x14ac:dyDescent="0.2">
      <c r="A18" s="392" t="str">
        <f t="shared" si="0"/>
        <v>SPED Clinicians-Social Worker (reimbursed by CPS)</v>
      </c>
      <c r="B18" s="797" t="s">
        <v>207</v>
      </c>
      <c r="C18" s="968"/>
      <c r="D18" s="968"/>
      <c r="E18" s="968"/>
      <c r="F18" s="968"/>
      <c r="G18" s="968"/>
    </row>
    <row r="19" spans="1:7" x14ac:dyDescent="0.2">
      <c r="A19" s="392" t="str">
        <f t="shared" si="0"/>
        <v>SPED Clinicians-Speech Therapist (reimbursed by CPS)</v>
      </c>
      <c r="B19" s="797" t="s">
        <v>207</v>
      </c>
      <c r="C19" s="968"/>
      <c r="D19" s="968"/>
      <c r="E19" s="968"/>
      <c r="F19" s="968"/>
      <c r="G19" s="968"/>
    </row>
    <row r="20" spans="1:7" x14ac:dyDescent="0.2">
      <c r="A20" s="392" t="str">
        <f t="shared" si="0"/>
        <v>SPED Clinicians-Physical Therapist (reimbursed by CPS)</v>
      </c>
      <c r="B20" s="797" t="s">
        <v>207</v>
      </c>
      <c r="C20" s="968"/>
      <c r="D20" s="968"/>
      <c r="E20" s="968"/>
      <c r="F20" s="968"/>
      <c r="G20" s="968"/>
    </row>
    <row r="21" spans="1:7" x14ac:dyDescent="0.2">
      <c r="A21" s="392" t="str">
        <f t="shared" si="0"/>
        <v>SPED Clinicians-Occupational Therapist (reimbursed by CPS)</v>
      </c>
      <c r="B21" s="797" t="s">
        <v>207</v>
      </c>
      <c r="C21" s="968"/>
      <c r="D21" s="968"/>
      <c r="E21" s="968"/>
      <c r="F21" s="968"/>
      <c r="G21" s="968"/>
    </row>
    <row r="22" spans="1:7" ht="12.75" customHeight="1" x14ac:dyDescent="0.2">
      <c r="A22" s="392" t="str">
        <f t="shared" si="0"/>
        <v>SPED Clinicians-Nurse (reimbursed by CPS)</v>
      </c>
      <c r="B22" s="797" t="s">
        <v>207</v>
      </c>
      <c r="C22" s="968"/>
      <c r="D22" s="968"/>
      <c r="E22" s="968"/>
      <c r="F22" s="968"/>
      <c r="G22" s="968"/>
    </row>
    <row r="23" spans="1:7" ht="38.25" customHeight="1" thickBot="1" x14ac:dyDescent="0.25">
      <c r="A23" s="140"/>
      <c r="B23" s="74"/>
      <c r="C23" s="74"/>
      <c r="D23" s="74"/>
      <c r="E23" s="74"/>
      <c r="F23" s="74"/>
      <c r="G23" s="74"/>
    </row>
    <row r="24" spans="1:7" ht="18.75" customHeight="1" thickBot="1" x14ac:dyDescent="0.3">
      <c r="A24" s="963" t="str">
        <f>A16</f>
        <v>Clinician Position</v>
      </c>
      <c r="B24" s="1183" t="s">
        <v>464</v>
      </c>
      <c r="C24" s="1184"/>
      <c r="D24" s="1184"/>
      <c r="E24" s="1184"/>
      <c r="F24" s="1184"/>
      <c r="G24" s="1185"/>
    </row>
    <row r="25" spans="1:7" x14ac:dyDescent="0.2">
      <c r="A25" s="392" t="str">
        <f t="shared" ref="A25:A30" si="1">A8</f>
        <v>SPED Clinicians-Psychologist (reimbursed by CPS)</v>
      </c>
      <c r="B25" s="806" t="s">
        <v>207</v>
      </c>
      <c r="C25" s="957">
        <f t="shared" ref="C25:G30" si="2">C8*C17</f>
        <v>0</v>
      </c>
      <c r="D25" s="957">
        <f t="shared" si="2"/>
        <v>0</v>
      </c>
      <c r="E25" s="957">
        <f t="shared" si="2"/>
        <v>0</v>
      </c>
      <c r="F25" s="957">
        <f t="shared" si="2"/>
        <v>0</v>
      </c>
      <c r="G25" s="957">
        <f t="shared" si="2"/>
        <v>0</v>
      </c>
    </row>
    <row r="26" spans="1:7" x14ac:dyDescent="0.2">
      <c r="A26" s="393" t="str">
        <f t="shared" si="1"/>
        <v>SPED Clinicians-Social Worker (reimbursed by CPS)</v>
      </c>
      <c r="B26" s="806" t="s">
        <v>207</v>
      </c>
      <c r="C26" s="957">
        <f t="shared" si="2"/>
        <v>0</v>
      </c>
      <c r="D26" s="957">
        <f t="shared" si="2"/>
        <v>0</v>
      </c>
      <c r="E26" s="957">
        <f t="shared" si="2"/>
        <v>0</v>
      </c>
      <c r="F26" s="957">
        <f t="shared" si="2"/>
        <v>0</v>
      </c>
      <c r="G26" s="957">
        <f t="shared" si="2"/>
        <v>0</v>
      </c>
    </row>
    <row r="27" spans="1:7" x14ac:dyDescent="0.2">
      <c r="A27" s="393" t="str">
        <f t="shared" si="1"/>
        <v>SPED Clinicians-Speech Therapist (reimbursed by CPS)</v>
      </c>
      <c r="B27" s="806" t="s">
        <v>207</v>
      </c>
      <c r="C27" s="957">
        <f t="shared" si="2"/>
        <v>0</v>
      </c>
      <c r="D27" s="957">
        <f t="shared" si="2"/>
        <v>0</v>
      </c>
      <c r="E27" s="957">
        <f t="shared" si="2"/>
        <v>0</v>
      </c>
      <c r="F27" s="957">
        <f t="shared" si="2"/>
        <v>0</v>
      </c>
      <c r="G27" s="957">
        <f t="shared" si="2"/>
        <v>0</v>
      </c>
    </row>
    <row r="28" spans="1:7" x14ac:dyDescent="0.2">
      <c r="A28" s="393" t="str">
        <f t="shared" si="1"/>
        <v>SPED Clinicians-Physical Therapist (reimbursed by CPS)</v>
      </c>
      <c r="B28" s="806" t="s">
        <v>207</v>
      </c>
      <c r="C28" s="957">
        <f t="shared" si="2"/>
        <v>0</v>
      </c>
      <c r="D28" s="957">
        <f t="shared" si="2"/>
        <v>0</v>
      </c>
      <c r="E28" s="957">
        <f t="shared" si="2"/>
        <v>0</v>
      </c>
      <c r="F28" s="957">
        <f t="shared" si="2"/>
        <v>0</v>
      </c>
      <c r="G28" s="957">
        <f t="shared" si="2"/>
        <v>0</v>
      </c>
    </row>
    <row r="29" spans="1:7" x14ac:dyDescent="0.2">
      <c r="A29" s="393" t="str">
        <f t="shared" si="1"/>
        <v>SPED Clinicians-Occupational Therapist (reimbursed by CPS)</v>
      </c>
      <c r="B29" s="806" t="s">
        <v>207</v>
      </c>
      <c r="C29" s="957">
        <f t="shared" si="2"/>
        <v>0</v>
      </c>
      <c r="D29" s="957">
        <f t="shared" si="2"/>
        <v>0</v>
      </c>
      <c r="E29" s="957">
        <f t="shared" si="2"/>
        <v>0</v>
      </c>
      <c r="F29" s="957">
        <f t="shared" si="2"/>
        <v>0</v>
      </c>
      <c r="G29" s="957">
        <f t="shared" si="2"/>
        <v>0</v>
      </c>
    </row>
    <row r="30" spans="1:7" ht="13.5" thickBot="1" x14ac:dyDescent="0.25">
      <c r="A30" s="393" t="str">
        <f t="shared" si="1"/>
        <v>SPED Clinicians-Nurse (reimbursed by CPS)</v>
      </c>
      <c r="B30" s="806" t="s">
        <v>207</v>
      </c>
      <c r="C30" s="957">
        <f t="shared" si="2"/>
        <v>0</v>
      </c>
      <c r="D30" s="957">
        <f t="shared" si="2"/>
        <v>0</v>
      </c>
      <c r="E30" s="957">
        <f t="shared" si="2"/>
        <v>0</v>
      </c>
      <c r="F30" s="957">
        <f t="shared" si="2"/>
        <v>0</v>
      </c>
      <c r="G30" s="957">
        <f t="shared" si="2"/>
        <v>0</v>
      </c>
    </row>
    <row r="31" spans="1:7" ht="20.25" customHeight="1" thickBot="1" x14ac:dyDescent="0.3">
      <c r="A31" s="964" t="s">
        <v>460</v>
      </c>
      <c r="B31" s="956" t="s">
        <v>207</v>
      </c>
      <c r="C31" s="958">
        <f>SUM(C25:C30)</f>
        <v>0</v>
      </c>
      <c r="D31" s="958">
        <f>SUM(D25:D30)</f>
        <v>0</v>
      </c>
      <c r="E31" s="958">
        <f>SUM(E25:E30)</f>
        <v>0</v>
      </c>
      <c r="F31" s="958">
        <f>SUM(F25:F30)</f>
        <v>0</v>
      </c>
      <c r="G31" s="958">
        <f>SUM(G25:G30)</f>
        <v>0</v>
      </c>
    </row>
    <row r="32" spans="1:7" s="337" customFormat="1" x14ac:dyDescent="0.2">
      <c r="A32" s="967"/>
      <c r="B32" s="140"/>
      <c r="C32" s="140"/>
      <c r="D32" s="140"/>
      <c r="E32" s="140"/>
      <c r="F32" s="140"/>
      <c r="G32" s="140"/>
    </row>
  </sheetData>
  <sheetProtection password="CC59" sheet="1" objects="1" scenarios="1" formatColumns="0" formatRows="0"/>
  <mergeCells count="3">
    <mergeCell ref="B6:G6"/>
    <mergeCell ref="B16:G16"/>
    <mergeCell ref="B24:G24"/>
  </mergeCells>
  <conditionalFormatting sqref="B31:G31">
    <cfRule type="expression" dxfId="2" priority="8" stopIfTrue="1">
      <formula>#REF!="Yes"</formula>
    </cfRule>
  </conditionalFormatting>
  <conditionalFormatting sqref="B7:B13">
    <cfRule type="expression" dxfId="1" priority="7" stopIfTrue="1">
      <formula>#REF!="Prior Fiscal Year"</formula>
    </cfRule>
  </conditionalFormatting>
  <dataValidations count="1">
    <dataValidation allowBlank="1" showInputMessage="1" showErrorMessage="1" prompt="You may change any of the job titles." sqref="A7"/>
  </dataValidations>
  <pageMargins left="0" right="0" top="0.75" bottom="0.75" header="0.3" footer="0.3"/>
  <pageSetup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2"/>
  <sheetViews>
    <sheetView topLeftCell="R264" workbookViewId="0">
      <selection activeCell="O130" sqref="O130"/>
    </sheetView>
  </sheetViews>
  <sheetFormatPr defaultRowHeight="12.75" x14ac:dyDescent="0.2"/>
  <cols>
    <col min="1" max="1" width="79.42578125" bestFit="1" customWidth="1"/>
    <col min="2" max="2" width="20.85546875" customWidth="1"/>
    <col min="3" max="3" width="17.42578125" customWidth="1"/>
    <col min="4" max="4" width="18.42578125" customWidth="1"/>
    <col min="5" max="5" width="17.140625" customWidth="1"/>
    <col min="6" max="6" width="14.28515625" customWidth="1"/>
    <col min="7" max="7" width="79.42578125" bestFit="1"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20.100000000000001" customHeight="1" thickBot="1" x14ac:dyDescent="0.3">
      <c r="A1" s="1176" t="str">
        <f>'Budget with Assumptions'!$A$2</f>
        <v>Connected Future Academy Campus 5</v>
      </c>
      <c r="B1" s="1177"/>
      <c r="C1" s="162"/>
      <c r="D1" s="162"/>
      <c r="E1" s="163"/>
      <c r="F1" s="164"/>
    </row>
    <row r="2" spans="1:29" ht="15" x14ac:dyDescent="0.25">
      <c r="A2" s="165"/>
      <c r="B2" s="162"/>
      <c r="C2" s="162"/>
      <c r="D2" s="162"/>
      <c r="E2" s="163"/>
      <c r="F2" s="164"/>
    </row>
    <row r="3" spans="1:29" ht="15" x14ac:dyDescent="0.25">
      <c r="A3" s="166"/>
      <c r="B3" s="162"/>
      <c r="C3" s="162"/>
      <c r="D3" s="162"/>
      <c r="E3" s="163"/>
      <c r="F3" s="164"/>
    </row>
    <row r="4" spans="1:29" ht="15" x14ac:dyDescent="0.25">
      <c r="A4" s="166"/>
      <c r="B4" s="162"/>
      <c r="C4" s="162"/>
      <c r="D4" s="162"/>
      <c r="E4" s="163"/>
      <c r="F4" s="164"/>
    </row>
    <row r="5" spans="1:29" ht="15.75" thickBot="1" x14ac:dyDescent="0.3">
      <c r="A5" s="166"/>
      <c r="B5" s="162"/>
      <c r="C5" s="162"/>
      <c r="D5" s="162"/>
      <c r="E5" s="163"/>
      <c r="F5" s="164"/>
    </row>
    <row r="6" spans="1:29" ht="15.75" thickBot="1" x14ac:dyDescent="0.3">
      <c r="A6" s="1255" t="s">
        <v>171</v>
      </c>
      <c r="B6" s="1250"/>
      <c r="C6" s="1250"/>
      <c r="D6" s="1250"/>
      <c r="E6" s="1250"/>
      <c r="F6" s="1251"/>
      <c r="G6" s="1255" t="s">
        <v>171</v>
      </c>
      <c r="H6" s="1250"/>
      <c r="I6" s="1250"/>
      <c r="J6" s="1250"/>
      <c r="K6" s="1250"/>
      <c r="L6" s="1255" t="s">
        <v>171</v>
      </c>
      <c r="M6" s="1250"/>
      <c r="N6" s="1250"/>
      <c r="O6" s="1250"/>
      <c r="P6" s="1250"/>
      <c r="Q6" s="1251"/>
      <c r="R6" s="1249" t="s">
        <v>171</v>
      </c>
      <c r="S6" s="1250"/>
      <c r="T6" s="1250"/>
      <c r="U6" s="1250"/>
      <c r="V6" s="1250"/>
      <c r="W6" s="1251"/>
      <c r="X6" s="1249" t="s">
        <v>171</v>
      </c>
      <c r="Y6" s="1250"/>
      <c r="Z6" s="1250"/>
      <c r="AA6" s="1250"/>
      <c r="AB6" s="1250"/>
      <c r="AC6" s="1251"/>
    </row>
    <row r="7" spans="1:29" ht="22.5" customHeight="1" thickBot="1" x14ac:dyDescent="0.3">
      <c r="A7" s="1252">
        <f>'Budget with Assumptions'!L9</f>
        <v>2017</v>
      </c>
      <c r="B7" s="1253"/>
      <c r="C7" s="1253"/>
      <c r="D7" s="1253"/>
      <c r="E7" s="1253"/>
      <c r="F7" s="1254"/>
      <c r="G7" s="1252">
        <f>'Budget with Assumptions'!N9</f>
        <v>2018</v>
      </c>
      <c r="H7" s="1253"/>
      <c r="I7" s="1253"/>
      <c r="J7" s="1253"/>
      <c r="K7" s="1253"/>
      <c r="L7" s="1252">
        <f>'Budget with Assumptions'!P9</f>
        <v>2019</v>
      </c>
      <c r="M7" s="1253"/>
      <c r="N7" s="1253"/>
      <c r="O7" s="1253"/>
      <c r="P7" s="1253"/>
      <c r="Q7" s="1254"/>
      <c r="R7" s="1253">
        <f>'Budget with Assumptions'!R9</f>
        <v>2020</v>
      </c>
      <c r="S7" s="1253"/>
      <c r="T7" s="1253"/>
      <c r="U7" s="1253"/>
      <c r="V7" s="1253"/>
      <c r="W7" s="1254"/>
      <c r="X7" s="1253">
        <f>'Budget with Assumptions'!T9</f>
        <v>2021</v>
      </c>
      <c r="Y7" s="1253"/>
      <c r="Z7" s="1253"/>
      <c r="AA7" s="1253"/>
      <c r="AB7" s="1253"/>
      <c r="AC7" s="1254"/>
    </row>
    <row r="8" spans="1:29" ht="15.75" thickBot="1" x14ac:dyDescent="0.3">
      <c r="A8" s="257"/>
      <c r="B8" s="258"/>
      <c r="C8" s="258"/>
      <c r="D8" s="258"/>
      <c r="E8" s="259"/>
      <c r="F8" s="444"/>
      <c r="G8" s="445"/>
      <c r="H8" s="240"/>
      <c r="I8" s="240"/>
      <c r="J8" s="240"/>
      <c r="K8" s="240"/>
      <c r="L8" s="445"/>
      <c r="M8" s="240"/>
      <c r="N8" s="240"/>
      <c r="O8" s="240"/>
      <c r="P8" s="240"/>
      <c r="Q8" s="244"/>
      <c r="R8" s="240"/>
      <c r="S8" s="240"/>
      <c r="T8" s="240"/>
      <c r="U8" s="240"/>
      <c r="V8" s="240"/>
      <c r="W8" s="244"/>
      <c r="X8" s="240"/>
      <c r="Y8" s="240"/>
      <c r="Z8" s="240"/>
      <c r="AA8" s="240"/>
      <c r="AB8" s="240"/>
      <c r="AC8" s="244"/>
    </row>
    <row r="9" spans="1:29" ht="28.5" customHeight="1" thickBot="1" x14ac:dyDescent="0.3">
      <c r="A9" s="1236">
        <f>A7</f>
        <v>2017</v>
      </c>
      <c r="B9" s="1237"/>
      <c r="C9" s="168"/>
      <c r="D9" s="168"/>
      <c r="E9" s="169"/>
      <c r="F9" s="202"/>
      <c r="G9" s="1236">
        <f>G7</f>
        <v>2018</v>
      </c>
      <c r="H9" s="1237"/>
      <c r="I9" s="168"/>
      <c r="J9" s="168"/>
      <c r="K9" s="169"/>
      <c r="L9" s="1236">
        <f>L7</f>
        <v>2019</v>
      </c>
      <c r="M9" s="1237"/>
      <c r="N9" s="168"/>
      <c r="O9" s="168"/>
      <c r="P9" s="169"/>
      <c r="Q9" s="251"/>
      <c r="R9" s="1247">
        <f>R7</f>
        <v>2020</v>
      </c>
      <c r="S9" s="1237"/>
      <c r="T9" s="168"/>
      <c r="U9" s="168"/>
      <c r="V9" s="169"/>
      <c r="W9" s="251"/>
      <c r="X9" s="1247">
        <f>X7</f>
        <v>2021</v>
      </c>
      <c r="Y9" s="1237"/>
      <c r="Z9" s="168"/>
      <c r="AA9" s="168"/>
      <c r="AB9" s="169"/>
      <c r="AC9" s="251"/>
    </row>
    <row r="10" spans="1:29" ht="15.75" thickBot="1" x14ac:dyDescent="0.3">
      <c r="A10" s="394" t="s">
        <v>89</v>
      </c>
      <c r="B10" s="315" t="s">
        <v>440</v>
      </c>
      <c r="C10" s="168"/>
      <c r="D10" s="168"/>
      <c r="E10" s="169"/>
      <c r="F10" s="202"/>
      <c r="G10" s="394" t="s">
        <v>89</v>
      </c>
      <c r="H10" s="315" t="s">
        <v>440</v>
      </c>
      <c r="I10" s="168"/>
      <c r="J10" s="168"/>
      <c r="K10" s="169"/>
      <c r="L10" s="394" t="s">
        <v>89</v>
      </c>
      <c r="M10" s="315" t="s">
        <v>440</v>
      </c>
      <c r="N10" s="168"/>
      <c r="O10" s="168"/>
      <c r="P10" s="169"/>
      <c r="Q10" s="251"/>
      <c r="R10" s="395" t="s">
        <v>89</v>
      </c>
      <c r="S10" s="315" t="s">
        <v>440</v>
      </c>
      <c r="T10" s="168"/>
      <c r="U10" s="168"/>
      <c r="V10" s="169"/>
      <c r="W10" s="251"/>
      <c r="X10" s="395" t="s">
        <v>89</v>
      </c>
      <c r="Y10" s="315" t="s">
        <v>440</v>
      </c>
      <c r="Z10" s="168"/>
      <c r="AA10" s="168"/>
      <c r="AB10" s="169"/>
      <c r="AC10" s="251"/>
    </row>
    <row r="11" spans="1:29" ht="15" x14ac:dyDescent="0.25">
      <c r="A11" s="432" t="s">
        <v>90</v>
      </c>
      <c r="B11" s="843">
        <v>5367.98</v>
      </c>
      <c r="C11" s="168"/>
      <c r="D11" s="168"/>
      <c r="E11" s="169"/>
      <c r="F11" s="202"/>
      <c r="G11" s="432" t="str">
        <f t="shared" ref="G11:G16" si="0">A11</f>
        <v>SBB Grades K-3</v>
      </c>
      <c r="H11" s="843">
        <f>$B$11</f>
        <v>5367.98</v>
      </c>
      <c r="I11" s="168"/>
      <c r="J11" s="168"/>
      <c r="K11" s="169"/>
      <c r="L11" s="432" t="str">
        <f t="shared" ref="L11:L16" si="1">A11</f>
        <v>SBB Grades K-3</v>
      </c>
      <c r="M11" s="843">
        <f>$B$11</f>
        <v>5367.98</v>
      </c>
      <c r="N11" s="168"/>
      <c r="O11" s="168"/>
      <c r="P11" s="169"/>
      <c r="Q11" s="251"/>
      <c r="R11" s="443" t="str">
        <f t="shared" ref="R11:R16" si="2">A11</f>
        <v>SBB Grades K-3</v>
      </c>
      <c r="S11" s="843">
        <f>$B$11</f>
        <v>5367.98</v>
      </c>
      <c r="T11" s="168"/>
      <c r="U11" s="168"/>
      <c r="V11" s="169"/>
      <c r="W11" s="251"/>
      <c r="X11" s="443" t="str">
        <f t="shared" ref="X11:X16" si="3">A11</f>
        <v>SBB Grades K-3</v>
      </c>
      <c r="Y11" s="843">
        <f>$B$11</f>
        <v>5367.98</v>
      </c>
      <c r="Z11" s="168"/>
      <c r="AA11" s="168"/>
      <c r="AB11" s="169"/>
      <c r="AC11" s="251"/>
    </row>
    <row r="12" spans="1:29" ht="15" x14ac:dyDescent="0.25">
      <c r="A12" s="433" t="s">
        <v>91</v>
      </c>
      <c r="B12" s="844">
        <v>2111.98</v>
      </c>
      <c r="C12" s="168"/>
      <c r="D12" s="168"/>
      <c r="E12" s="169"/>
      <c r="F12" s="202"/>
      <c r="G12" s="432" t="str">
        <f t="shared" si="0"/>
        <v>Non-SBB K-3</v>
      </c>
      <c r="H12" s="843">
        <f>$B$12</f>
        <v>2111.98</v>
      </c>
      <c r="I12" s="168"/>
      <c r="J12" s="168"/>
      <c r="K12" s="169"/>
      <c r="L12" s="432" t="str">
        <f t="shared" si="1"/>
        <v>Non-SBB K-3</v>
      </c>
      <c r="M12" s="843">
        <f>$B$12</f>
        <v>2111.98</v>
      </c>
      <c r="N12" s="168"/>
      <c r="O12" s="168"/>
      <c r="P12" s="169"/>
      <c r="Q12" s="251"/>
      <c r="R12" s="443" t="str">
        <f t="shared" si="2"/>
        <v>Non-SBB K-3</v>
      </c>
      <c r="S12" s="843">
        <f>$B$12</f>
        <v>2111.98</v>
      </c>
      <c r="T12" s="168"/>
      <c r="U12" s="168"/>
      <c r="V12" s="169"/>
      <c r="W12" s="251"/>
      <c r="X12" s="443" t="str">
        <f t="shared" si="3"/>
        <v>Non-SBB K-3</v>
      </c>
      <c r="Y12" s="843">
        <f>$B$12</f>
        <v>2111.98</v>
      </c>
      <c r="Z12" s="168"/>
      <c r="AA12" s="168"/>
      <c r="AB12" s="169"/>
      <c r="AC12" s="251"/>
    </row>
    <row r="13" spans="1:29" ht="15" x14ac:dyDescent="0.25">
      <c r="A13" s="260" t="s">
        <v>286</v>
      </c>
      <c r="B13" s="950">
        <v>5016.8</v>
      </c>
      <c r="C13" s="168"/>
      <c r="D13" s="168"/>
      <c r="E13" s="169"/>
      <c r="F13" s="202"/>
      <c r="G13" s="948" t="str">
        <f t="shared" si="0"/>
        <v>SBB Grades 4-8 (for schools that do NOT have HS grades)</v>
      </c>
      <c r="H13" s="951">
        <f>$B$13</f>
        <v>5016.8</v>
      </c>
      <c r="I13" s="168"/>
      <c r="J13" s="168"/>
      <c r="K13" s="169"/>
      <c r="L13" s="948" t="str">
        <f t="shared" si="1"/>
        <v>SBB Grades 4-8 (for schools that do NOT have HS grades)</v>
      </c>
      <c r="M13" s="951">
        <f>$B$13</f>
        <v>5016.8</v>
      </c>
      <c r="N13" s="168"/>
      <c r="O13" s="168"/>
      <c r="P13" s="169"/>
      <c r="Q13" s="251"/>
      <c r="R13" s="952" t="str">
        <f t="shared" si="2"/>
        <v>SBB Grades 4-8 (for schools that do NOT have HS grades)</v>
      </c>
      <c r="S13" s="951">
        <f>$B$13</f>
        <v>5016.8</v>
      </c>
      <c r="T13" s="168"/>
      <c r="U13" s="168"/>
      <c r="V13" s="169"/>
      <c r="W13" s="251"/>
      <c r="X13" s="952" t="str">
        <f t="shared" si="3"/>
        <v>SBB Grades 4-8 (for schools that do NOT have HS grades)</v>
      </c>
      <c r="Y13" s="951">
        <f>$B$13</f>
        <v>5016.8</v>
      </c>
      <c r="Z13" s="168"/>
      <c r="AA13" s="168"/>
      <c r="AB13" s="169"/>
      <c r="AC13" s="251"/>
    </row>
    <row r="14" spans="1:29" ht="15" x14ac:dyDescent="0.25">
      <c r="A14" s="260" t="s">
        <v>287</v>
      </c>
      <c r="B14" s="950">
        <v>1973.81</v>
      </c>
      <c r="C14" s="168"/>
      <c r="D14" s="168"/>
      <c r="E14" s="169"/>
      <c r="F14" s="202"/>
      <c r="G14" s="948" t="str">
        <f t="shared" si="0"/>
        <v>Non-SBB Grades 4-8 (for schools that do NOT have HS grades)</v>
      </c>
      <c r="H14" s="951">
        <f>$B$14</f>
        <v>1973.81</v>
      </c>
      <c r="I14" s="168"/>
      <c r="J14" s="168"/>
      <c r="K14" s="169"/>
      <c r="L14" s="948" t="str">
        <f t="shared" si="1"/>
        <v>Non-SBB Grades 4-8 (for schools that do NOT have HS grades)</v>
      </c>
      <c r="M14" s="951">
        <f>$B$14</f>
        <v>1973.81</v>
      </c>
      <c r="N14" s="168"/>
      <c r="O14" s="168"/>
      <c r="P14" s="169"/>
      <c r="Q14" s="251"/>
      <c r="R14" s="952" t="str">
        <f t="shared" si="2"/>
        <v>Non-SBB Grades 4-8 (for schools that do NOT have HS grades)</v>
      </c>
      <c r="S14" s="951">
        <f>$B$14</f>
        <v>1973.81</v>
      </c>
      <c r="T14" s="168"/>
      <c r="U14" s="168"/>
      <c r="V14" s="169"/>
      <c r="W14" s="251"/>
      <c r="X14" s="952" t="str">
        <f t="shared" si="3"/>
        <v>Non-SBB Grades 4-8 (for schools that do NOT have HS grades)</v>
      </c>
      <c r="Y14" s="951">
        <f>$B$14</f>
        <v>1973.81</v>
      </c>
      <c r="Z14" s="168"/>
      <c r="AA14" s="168"/>
      <c r="AB14" s="169"/>
      <c r="AC14" s="251"/>
    </row>
    <row r="15" spans="1:29" ht="15" x14ac:dyDescent="0.25">
      <c r="A15" s="433" t="s">
        <v>92</v>
      </c>
      <c r="B15" s="844">
        <v>6220.83</v>
      </c>
      <c r="C15" s="168"/>
      <c r="D15" s="168"/>
      <c r="E15" s="169"/>
      <c r="F15" s="202"/>
      <c r="G15" s="432" t="str">
        <f t="shared" si="0"/>
        <v>SBB High School (Grades 9-12 or 6-12)</v>
      </c>
      <c r="H15" s="844">
        <f>$B$15</f>
        <v>6220.83</v>
      </c>
      <c r="I15" s="168"/>
      <c r="J15" s="168"/>
      <c r="K15" s="169"/>
      <c r="L15" s="432" t="str">
        <f t="shared" si="1"/>
        <v>SBB High School (Grades 9-12 or 6-12)</v>
      </c>
      <c r="M15" s="844">
        <f>$B$15</f>
        <v>6220.83</v>
      </c>
      <c r="N15" s="168"/>
      <c r="O15" s="168"/>
      <c r="P15" s="169"/>
      <c r="Q15" s="251"/>
      <c r="R15" s="443" t="str">
        <f t="shared" si="2"/>
        <v>SBB High School (Grades 9-12 or 6-12)</v>
      </c>
      <c r="S15" s="844">
        <f>$B$15</f>
        <v>6220.83</v>
      </c>
      <c r="T15" s="168"/>
      <c r="U15" s="168"/>
      <c r="V15" s="169"/>
      <c r="W15" s="251"/>
      <c r="X15" s="443" t="str">
        <f t="shared" si="3"/>
        <v>SBB High School (Grades 9-12 or 6-12)</v>
      </c>
      <c r="Y15" s="844">
        <f>$B$15</f>
        <v>6220.83</v>
      </c>
      <c r="Z15" s="168"/>
      <c r="AA15" s="168"/>
      <c r="AB15" s="169"/>
      <c r="AC15" s="251"/>
    </row>
    <row r="16" spans="1:29" ht="15" x14ac:dyDescent="0.25">
      <c r="A16" s="947" t="s">
        <v>93</v>
      </c>
      <c r="B16" s="844">
        <v>2447.52</v>
      </c>
      <c r="C16" s="168"/>
      <c r="D16" s="168"/>
      <c r="E16" s="169"/>
      <c r="F16" s="202"/>
      <c r="G16" s="432" t="str">
        <f t="shared" si="0"/>
        <v>Non-SBB High School (Grades 9-12 or 6-12)</v>
      </c>
      <c r="H16" s="844">
        <f>$B$16</f>
        <v>2447.52</v>
      </c>
      <c r="I16" s="168"/>
      <c r="J16" s="168"/>
      <c r="K16" s="169"/>
      <c r="L16" s="432" t="str">
        <f t="shared" si="1"/>
        <v>Non-SBB High School (Grades 9-12 or 6-12)</v>
      </c>
      <c r="M16" s="844">
        <f>$B$16</f>
        <v>2447.52</v>
      </c>
      <c r="N16" s="168"/>
      <c r="O16" s="168"/>
      <c r="P16" s="169"/>
      <c r="Q16" s="251"/>
      <c r="R16" s="443" t="str">
        <f t="shared" si="2"/>
        <v>Non-SBB High School (Grades 9-12 or 6-12)</v>
      </c>
      <c r="S16" s="844">
        <f>$B$16</f>
        <v>2447.52</v>
      </c>
      <c r="T16" s="168"/>
      <c r="U16" s="168"/>
      <c r="V16" s="169"/>
      <c r="W16" s="251"/>
      <c r="X16" s="443" t="str">
        <f t="shared" si="3"/>
        <v>Non-SBB High School (Grades 9-12 or 6-12)</v>
      </c>
      <c r="Y16" s="844">
        <f>B16</f>
        <v>2447.52</v>
      </c>
      <c r="Z16" s="168"/>
      <c r="AA16" s="168"/>
      <c r="AB16" s="169"/>
      <c r="AC16" s="251"/>
    </row>
    <row r="17" spans="1:29" ht="15" x14ac:dyDescent="0.25">
      <c r="A17" s="949"/>
      <c r="B17" s="946"/>
      <c r="C17" s="168"/>
      <c r="D17" s="168"/>
      <c r="E17" s="169"/>
      <c r="F17" s="202"/>
      <c r="G17" s="949"/>
      <c r="H17" s="946"/>
      <c r="I17" s="168"/>
      <c r="J17" s="168"/>
      <c r="K17" s="169"/>
      <c r="L17" s="451"/>
      <c r="M17" s="442"/>
      <c r="N17" s="168"/>
      <c r="O17" s="168"/>
      <c r="P17" s="169"/>
      <c r="Q17" s="251"/>
      <c r="R17" s="165"/>
      <c r="S17" s="442"/>
      <c r="T17" s="168"/>
      <c r="U17" s="168"/>
      <c r="V17" s="169"/>
      <c r="W17" s="251"/>
      <c r="X17" s="165"/>
      <c r="Y17" s="442"/>
      <c r="Z17" s="168"/>
      <c r="AA17" s="168"/>
      <c r="AB17" s="169"/>
      <c r="AC17" s="251"/>
    </row>
    <row r="18" spans="1:29" ht="15" x14ac:dyDescent="0.25">
      <c r="A18" s="451"/>
      <c r="B18" s="946"/>
      <c r="C18" s="168"/>
      <c r="D18" s="168"/>
      <c r="E18" s="169"/>
      <c r="F18" s="202"/>
      <c r="G18" s="451"/>
      <c r="H18" s="946"/>
      <c r="I18" s="168"/>
      <c r="J18" s="168"/>
      <c r="K18" s="169"/>
      <c r="L18" s="451"/>
      <c r="M18" s="442"/>
      <c r="N18" s="168"/>
      <c r="O18" s="168"/>
      <c r="P18" s="169"/>
      <c r="Q18" s="251"/>
      <c r="R18" s="165"/>
      <c r="S18" s="442"/>
      <c r="T18" s="168"/>
      <c r="U18" s="168"/>
      <c r="V18" s="169"/>
      <c r="W18" s="251"/>
      <c r="X18" s="165"/>
      <c r="Y18" s="442"/>
      <c r="Z18" s="168"/>
      <c r="AA18" s="168"/>
      <c r="AB18" s="169"/>
      <c r="AC18" s="251"/>
    </row>
    <row r="19" spans="1:29" ht="15" x14ac:dyDescent="0.25">
      <c r="A19" s="261"/>
      <c r="B19" s="168"/>
      <c r="C19" s="168"/>
      <c r="D19" s="168"/>
      <c r="E19" s="169"/>
      <c r="F19" s="202"/>
      <c r="G19" s="167"/>
      <c r="H19" s="168"/>
      <c r="I19" s="168"/>
      <c r="J19" s="168"/>
      <c r="K19" s="169"/>
      <c r="L19" s="261"/>
      <c r="M19" s="168"/>
      <c r="N19" s="168"/>
      <c r="O19" s="168"/>
      <c r="P19" s="169"/>
      <c r="Q19" s="251"/>
      <c r="R19" s="167"/>
      <c r="S19" s="168"/>
      <c r="T19" s="168"/>
      <c r="U19" s="168"/>
      <c r="V19" s="169"/>
      <c r="W19" s="251"/>
      <c r="X19" s="167"/>
      <c r="Y19" s="168"/>
      <c r="Z19" s="168"/>
      <c r="AA19" s="168"/>
      <c r="AB19" s="169"/>
      <c r="AC19" s="251"/>
    </row>
    <row r="20" spans="1:29" ht="16.5" thickBot="1" x14ac:dyDescent="0.3">
      <c r="A20" s="262"/>
      <c r="B20" s="172"/>
      <c r="C20" s="172"/>
      <c r="D20" s="172"/>
      <c r="E20" s="169"/>
      <c r="F20" s="202"/>
      <c r="G20" s="171"/>
      <c r="H20" s="172"/>
      <c r="I20" s="172"/>
      <c r="J20" s="172"/>
      <c r="K20" s="169"/>
      <c r="L20" s="262"/>
      <c r="M20" s="172"/>
      <c r="N20" s="172"/>
      <c r="O20" s="172"/>
      <c r="P20" s="169"/>
      <c r="Q20" s="251"/>
      <c r="R20" s="171"/>
      <c r="S20" s="172"/>
      <c r="T20" s="172"/>
      <c r="U20" s="172"/>
      <c r="V20" s="169"/>
      <c r="W20" s="251"/>
      <c r="X20" s="171"/>
      <c r="Y20" s="172"/>
      <c r="Z20" s="172"/>
      <c r="AA20" s="172"/>
      <c r="AB20" s="169"/>
      <c r="AC20" s="251"/>
    </row>
    <row r="21" spans="1:29" ht="15.75" customHeight="1" x14ac:dyDescent="0.2">
      <c r="A21" s="1232">
        <f>A7</f>
        <v>2017</v>
      </c>
      <c r="B21" s="1233"/>
      <c r="C21" s="1233"/>
      <c r="D21" s="1233"/>
      <c r="E21" s="1233"/>
      <c r="F21" s="247"/>
      <c r="G21" s="1238">
        <f>G7</f>
        <v>2018</v>
      </c>
      <c r="H21" s="1238"/>
      <c r="I21" s="1238"/>
      <c r="J21" s="1238"/>
      <c r="K21" s="1238"/>
      <c r="L21" s="1233">
        <f>L7</f>
        <v>2019</v>
      </c>
      <c r="M21" s="1233"/>
      <c r="N21" s="1233"/>
      <c r="O21" s="1233"/>
      <c r="P21" s="1233"/>
      <c r="Q21" s="251"/>
      <c r="R21" s="1233">
        <f>R7</f>
        <v>2020</v>
      </c>
      <c r="S21" s="1233"/>
      <c r="T21" s="1233"/>
      <c r="U21" s="1233"/>
      <c r="V21" s="1233"/>
      <c r="W21" s="251"/>
      <c r="X21" s="1233">
        <f>X7</f>
        <v>2021</v>
      </c>
      <c r="Y21" s="1233"/>
      <c r="Z21" s="1233"/>
      <c r="AA21" s="1233"/>
      <c r="AB21" s="1233"/>
      <c r="AC21" s="251"/>
    </row>
    <row r="22" spans="1:29" ht="13.5" thickBot="1" x14ac:dyDescent="0.25">
      <c r="A22" s="1234"/>
      <c r="B22" s="1235"/>
      <c r="C22" s="1235"/>
      <c r="D22" s="1235"/>
      <c r="E22" s="1235"/>
      <c r="F22" s="245"/>
      <c r="G22" s="1239"/>
      <c r="H22" s="1239"/>
      <c r="I22" s="1239"/>
      <c r="J22" s="1239"/>
      <c r="K22" s="1239"/>
      <c r="L22" s="1235"/>
      <c r="M22" s="1235"/>
      <c r="N22" s="1235"/>
      <c r="O22" s="1235"/>
      <c r="P22" s="1235"/>
      <c r="Q22" s="245"/>
      <c r="R22" s="1235"/>
      <c r="S22" s="1235"/>
      <c r="T22" s="1235"/>
      <c r="U22" s="1235"/>
      <c r="V22" s="1235"/>
      <c r="W22" s="245"/>
      <c r="X22" s="1235"/>
      <c r="Y22" s="1235"/>
      <c r="Z22" s="1235"/>
      <c r="AA22" s="1235"/>
      <c r="AB22" s="1235"/>
      <c r="AC22" s="245"/>
    </row>
    <row r="23" spans="1:29" ht="16.5" thickBot="1" x14ac:dyDescent="0.3">
      <c r="A23" s="1191" t="s">
        <v>94</v>
      </c>
      <c r="B23" s="1192"/>
      <c r="C23" s="1192"/>
      <c r="D23" s="1192"/>
      <c r="E23" s="1192"/>
      <c r="F23" s="248"/>
      <c r="G23" s="1192" t="s">
        <v>94</v>
      </c>
      <c r="H23" s="1192"/>
      <c r="I23" s="1192"/>
      <c r="J23" s="1192"/>
      <c r="K23" s="1192"/>
      <c r="L23" s="1192" t="s">
        <v>94</v>
      </c>
      <c r="M23" s="1192"/>
      <c r="N23" s="1192"/>
      <c r="O23" s="1192"/>
      <c r="P23" s="1192"/>
      <c r="Q23" s="248"/>
      <c r="R23" s="1192" t="s">
        <v>94</v>
      </c>
      <c r="S23" s="1192"/>
      <c r="T23" s="1192"/>
      <c r="U23" s="1192"/>
      <c r="V23" s="1192"/>
      <c r="W23" s="248"/>
      <c r="X23" s="1192" t="s">
        <v>94</v>
      </c>
      <c r="Y23" s="1192"/>
      <c r="Z23" s="1192"/>
      <c r="AA23" s="1192"/>
      <c r="AB23" s="1192"/>
      <c r="AC23" s="248"/>
    </row>
    <row r="24" spans="1:29" ht="16.5" thickBot="1" x14ac:dyDescent="0.3">
      <c r="A24" s="174"/>
      <c r="B24" s="175"/>
      <c r="C24" s="175"/>
      <c r="D24" s="173"/>
      <c r="E24" s="173"/>
      <c r="F24" s="248"/>
      <c r="G24" s="173"/>
      <c r="H24" s="175"/>
      <c r="I24" s="175"/>
      <c r="J24" s="173"/>
      <c r="K24" s="173"/>
      <c r="L24" s="1011"/>
      <c r="M24" s="197"/>
      <c r="N24" s="175"/>
      <c r="O24" s="173"/>
      <c r="P24" s="173"/>
      <c r="Q24" s="248"/>
      <c r="R24" s="173"/>
      <c r="S24" s="175"/>
      <c r="T24" s="175"/>
      <c r="U24" s="173"/>
      <c r="V24" s="173"/>
      <c r="W24" s="248"/>
      <c r="X24" s="173"/>
      <c r="Y24" s="175"/>
      <c r="Z24" s="175"/>
      <c r="AA24" s="173"/>
      <c r="AB24" s="173"/>
      <c r="AC24" s="248"/>
    </row>
    <row r="25" spans="1:29" ht="30.75" thickBot="1" x14ac:dyDescent="0.3">
      <c r="A25" s="556" t="s">
        <v>95</v>
      </c>
      <c r="B25" s="560" t="s">
        <v>96</v>
      </c>
      <c r="C25" s="561" t="s">
        <v>97</v>
      </c>
      <c r="D25" s="556" t="s">
        <v>98</v>
      </c>
      <c r="E25" s="107"/>
      <c r="F25" s="249"/>
      <c r="G25" s="562" t="s">
        <v>95</v>
      </c>
      <c r="H25" s="560" t="s">
        <v>96</v>
      </c>
      <c r="I25" s="561" t="s">
        <v>97</v>
      </c>
      <c r="J25" s="556" t="s">
        <v>98</v>
      </c>
      <c r="K25" s="107"/>
      <c r="L25" s="556" t="s">
        <v>95</v>
      </c>
      <c r="M25" s="560" t="s">
        <v>96</v>
      </c>
      <c r="N25" s="561" t="s">
        <v>97</v>
      </c>
      <c r="O25" s="556" t="s">
        <v>98</v>
      </c>
      <c r="P25" s="107"/>
      <c r="Q25" s="249"/>
      <c r="R25" s="562" t="s">
        <v>95</v>
      </c>
      <c r="S25" s="560" t="s">
        <v>96</v>
      </c>
      <c r="T25" s="561" t="s">
        <v>97</v>
      </c>
      <c r="U25" s="556" t="s">
        <v>98</v>
      </c>
      <c r="V25" s="107"/>
      <c r="W25" s="249"/>
      <c r="X25" s="562" t="s">
        <v>95</v>
      </c>
      <c r="Y25" s="560" t="s">
        <v>96</v>
      </c>
      <c r="Z25" s="561" t="s">
        <v>97</v>
      </c>
      <c r="AA25" s="556" t="s">
        <v>98</v>
      </c>
      <c r="AB25" s="107"/>
      <c r="AC25" s="249"/>
    </row>
    <row r="26" spans="1:29" x14ac:dyDescent="0.2">
      <c r="A26" s="557" t="s">
        <v>99</v>
      </c>
      <c r="B26" s="177"/>
      <c r="C26" s="177"/>
      <c r="D26" s="534">
        <f>B26+C26</f>
        <v>0</v>
      </c>
      <c r="E26" s="107"/>
      <c r="F26" s="250"/>
      <c r="G26" s="563" t="s">
        <v>99</v>
      </c>
      <c r="H26" s="177"/>
      <c r="I26" s="177"/>
      <c r="J26" s="534">
        <f>H26+I26</f>
        <v>0</v>
      </c>
      <c r="K26" s="107"/>
      <c r="L26" s="557" t="s">
        <v>99</v>
      </c>
      <c r="M26" s="177"/>
      <c r="N26" s="177"/>
      <c r="O26" s="534">
        <f>M26+N26</f>
        <v>0</v>
      </c>
      <c r="P26" s="107"/>
      <c r="Q26" s="250"/>
      <c r="R26" s="563" t="s">
        <v>99</v>
      </c>
      <c r="S26" s="177"/>
      <c r="T26" s="177"/>
      <c r="U26" s="534">
        <f>S26+T26</f>
        <v>0</v>
      </c>
      <c r="V26" s="107"/>
      <c r="W26" s="250"/>
      <c r="X26" s="563" t="s">
        <v>99</v>
      </c>
      <c r="Y26" s="177"/>
      <c r="Z26" s="177"/>
      <c r="AA26" s="534">
        <f>Y26+Z26</f>
        <v>0</v>
      </c>
      <c r="AB26" s="107"/>
      <c r="AC26" s="250"/>
    </row>
    <row r="27" spans="1:29" x14ac:dyDescent="0.2">
      <c r="A27" s="533">
        <v>1</v>
      </c>
      <c r="B27" s="179"/>
      <c r="C27" s="179"/>
      <c r="D27" s="535">
        <f>B27+C27</f>
        <v>0</v>
      </c>
      <c r="E27" s="107"/>
      <c r="F27" s="251"/>
      <c r="G27" s="564">
        <v>1</v>
      </c>
      <c r="H27" s="177"/>
      <c r="I27" s="179"/>
      <c r="J27" s="535">
        <f>H27+I27</f>
        <v>0</v>
      </c>
      <c r="K27" s="107"/>
      <c r="L27" s="533">
        <v>1</v>
      </c>
      <c r="M27" s="177"/>
      <c r="N27" s="179"/>
      <c r="O27" s="535">
        <f>M27+N27</f>
        <v>0</v>
      </c>
      <c r="P27" s="107"/>
      <c r="Q27" s="251"/>
      <c r="R27" s="564">
        <v>1</v>
      </c>
      <c r="S27" s="177"/>
      <c r="T27" s="179"/>
      <c r="U27" s="535">
        <f>S27+T27</f>
        <v>0</v>
      </c>
      <c r="V27" s="107"/>
      <c r="W27" s="251"/>
      <c r="X27" s="564">
        <v>1</v>
      </c>
      <c r="Y27" s="177"/>
      <c r="Z27" s="179"/>
      <c r="AA27" s="535">
        <f>Y27+Z27</f>
        <v>0</v>
      </c>
      <c r="AB27" s="107"/>
      <c r="AC27" s="251"/>
    </row>
    <row r="28" spans="1:29" x14ac:dyDescent="0.2">
      <c r="A28" s="533">
        <v>2</v>
      </c>
      <c r="B28" s="179"/>
      <c r="C28" s="179"/>
      <c r="D28" s="535">
        <f>B28+C28</f>
        <v>0</v>
      </c>
      <c r="E28" s="107"/>
      <c r="F28" s="251"/>
      <c r="G28" s="564">
        <v>2</v>
      </c>
      <c r="H28" s="177"/>
      <c r="I28" s="179"/>
      <c r="J28" s="535">
        <f>H28+I28</f>
        <v>0</v>
      </c>
      <c r="K28" s="107"/>
      <c r="L28" s="533">
        <v>2</v>
      </c>
      <c r="M28" s="177"/>
      <c r="N28" s="179"/>
      <c r="O28" s="535">
        <f>M28+N28</f>
        <v>0</v>
      </c>
      <c r="P28" s="107"/>
      <c r="Q28" s="251"/>
      <c r="R28" s="564">
        <v>2</v>
      </c>
      <c r="S28" s="177"/>
      <c r="T28" s="179"/>
      <c r="U28" s="535">
        <f>S28+T28</f>
        <v>0</v>
      </c>
      <c r="V28" s="107"/>
      <c r="W28" s="251"/>
      <c r="X28" s="564">
        <v>2</v>
      </c>
      <c r="Y28" s="177"/>
      <c r="Z28" s="179"/>
      <c r="AA28" s="535">
        <f>Y28+Z28</f>
        <v>0</v>
      </c>
      <c r="AB28" s="107"/>
      <c r="AC28" s="251"/>
    </row>
    <row r="29" spans="1:29" ht="13.5" thickBot="1" x14ac:dyDescent="0.25">
      <c r="A29" s="533">
        <v>3</v>
      </c>
      <c r="B29" s="179"/>
      <c r="C29" s="179"/>
      <c r="D29" s="536">
        <f>B29+C29</f>
        <v>0</v>
      </c>
      <c r="E29" s="107"/>
      <c r="F29" s="251"/>
      <c r="G29" s="564">
        <v>3</v>
      </c>
      <c r="H29" s="177"/>
      <c r="I29" s="179"/>
      <c r="J29" s="536">
        <f>H29+I29</f>
        <v>0</v>
      </c>
      <c r="K29" s="107"/>
      <c r="L29" s="533">
        <v>3</v>
      </c>
      <c r="M29" s="177"/>
      <c r="N29" s="179"/>
      <c r="O29" s="536">
        <f>M29+N29</f>
        <v>0</v>
      </c>
      <c r="P29" s="107"/>
      <c r="Q29" s="251"/>
      <c r="R29" s="564">
        <v>3</v>
      </c>
      <c r="S29" s="177"/>
      <c r="T29" s="179"/>
      <c r="U29" s="536">
        <f>S29+T29</f>
        <v>0</v>
      </c>
      <c r="V29" s="107"/>
      <c r="W29" s="251"/>
      <c r="X29" s="564">
        <v>3</v>
      </c>
      <c r="Y29" s="177"/>
      <c r="Z29" s="179"/>
      <c r="AA29" s="536">
        <f>Y29+Z29</f>
        <v>0</v>
      </c>
      <c r="AB29" s="107"/>
      <c r="AC29" s="251"/>
    </row>
    <row r="30" spans="1:29" ht="13.5" thickBot="1" x14ac:dyDescent="0.25">
      <c r="A30" s="558" t="s">
        <v>100</v>
      </c>
      <c r="B30" s="538">
        <f>SUM(B26:B29)</f>
        <v>0</v>
      </c>
      <c r="C30" s="539">
        <f>SUM(C26:C29)</f>
        <v>0</v>
      </c>
      <c r="D30" s="537">
        <f>B30+C30</f>
        <v>0</v>
      </c>
      <c r="E30" s="107"/>
      <c r="F30" s="251"/>
      <c r="G30" s="565" t="s">
        <v>100</v>
      </c>
      <c r="H30" s="538">
        <f>SUM(H26:H29)</f>
        <v>0</v>
      </c>
      <c r="I30" s="539">
        <f>SUM(I26:I29)</f>
        <v>0</v>
      </c>
      <c r="J30" s="537">
        <f>H30+I30</f>
        <v>0</v>
      </c>
      <c r="K30" s="107"/>
      <c r="L30" s="558" t="s">
        <v>100</v>
      </c>
      <c r="M30" s="538">
        <f>SUM(M26:M29)</f>
        <v>0</v>
      </c>
      <c r="N30" s="539">
        <f>SUM(N26:N29)</f>
        <v>0</v>
      </c>
      <c r="O30" s="537">
        <f>M30+N30</f>
        <v>0</v>
      </c>
      <c r="P30" s="107"/>
      <c r="Q30" s="251"/>
      <c r="R30" s="565" t="s">
        <v>100</v>
      </c>
      <c r="S30" s="538">
        <f>SUM(S26:S29)</f>
        <v>0</v>
      </c>
      <c r="T30" s="539">
        <f>SUM(T26:T29)</f>
        <v>0</v>
      </c>
      <c r="U30" s="537">
        <f>S30+T30</f>
        <v>0</v>
      </c>
      <c r="V30" s="107"/>
      <c r="W30" s="251"/>
      <c r="X30" s="565" t="s">
        <v>100</v>
      </c>
      <c r="Y30" s="538">
        <f>SUM(Y26:Y29)</f>
        <v>0</v>
      </c>
      <c r="Z30" s="539">
        <f>SUM(Z26:Z29)</f>
        <v>0</v>
      </c>
      <c r="AA30" s="537">
        <f>Y30+Z30</f>
        <v>0</v>
      </c>
      <c r="AB30" s="107"/>
      <c r="AC30" s="251"/>
    </row>
    <row r="31" spans="1:29" ht="13.5" thickBot="1" x14ac:dyDescent="0.25">
      <c r="A31" s="559" t="s">
        <v>101</v>
      </c>
      <c r="B31" s="540">
        <v>1</v>
      </c>
      <c r="C31" s="540">
        <v>0.4</v>
      </c>
      <c r="D31" s="97"/>
      <c r="E31" s="107"/>
      <c r="F31" s="251"/>
      <c r="G31" s="566" t="s">
        <v>101</v>
      </c>
      <c r="H31" s="540">
        <v>1</v>
      </c>
      <c r="I31" s="540">
        <v>0.4</v>
      </c>
      <c r="J31" s="97"/>
      <c r="K31" s="107"/>
      <c r="L31" s="559" t="s">
        <v>101</v>
      </c>
      <c r="M31" s="540">
        <v>1</v>
      </c>
      <c r="N31" s="540">
        <v>0.4</v>
      </c>
      <c r="O31" s="97"/>
      <c r="P31" s="107"/>
      <c r="Q31" s="251"/>
      <c r="R31" s="566" t="s">
        <v>101</v>
      </c>
      <c r="S31" s="540">
        <v>1</v>
      </c>
      <c r="T31" s="540">
        <v>0.4</v>
      </c>
      <c r="U31" s="97"/>
      <c r="V31" s="107"/>
      <c r="W31" s="251"/>
      <c r="X31" s="566" t="s">
        <v>101</v>
      </c>
      <c r="Y31" s="540">
        <v>1</v>
      </c>
      <c r="Z31" s="540">
        <v>0.4</v>
      </c>
      <c r="AA31" s="97"/>
      <c r="AB31" s="107"/>
      <c r="AC31" s="251"/>
    </row>
    <row r="32" spans="1:29" ht="13.5" thickBot="1" x14ac:dyDescent="0.25">
      <c r="A32" s="490" t="s">
        <v>102</v>
      </c>
      <c r="B32" s="541">
        <f>B30*B31</f>
        <v>0</v>
      </c>
      <c r="C32" s="541">
        <f>C30*C31</f>
        <v>0</v>
      </c>
      <c r="D32" s="537">
        <f>B32+C32</f>
        <v>0</v>
      </c>
      <c r="E32" s="107"/>
      <c r="F32" s="251"/>
      <c r="G32" s="567" t="s">
        <v>102</v>
      </c>
      <c r="H32" s="541">
        <f>H30*H31</f>
        <v>0</v>
      </c>
      <c r="I32" s="541">
        <f>I30*I31</f>
        <v>0</v>
      </c>
      <c r="J32" s="537">
        <f>H32+I32</f>
        <v>0</v>
      </c>
      <c r="K32" s="107"/>
      <c r="L32" s="490" t="s">
        <v>102</v>
      </c>
      <c r="M32" s="541">
        <f>M30*M31</f>
        <v>0</v>
      </c>
      <c r="N32" s="541">
        <f>N30*N31</f>
        <v>0</v>
      </c>
      <c r="O32" s="537">
        <f>M32+N32</f>
        <v>0</v>
      </c>
      <c r="P32" s="107"/>
      <c r="Q32" s="251"/>
      <c r="R32" s="567" t="s">
        <v>102</v>
      </c>
      <c r="S32" s="541">
        <f>S30*S31</f>
        <v>0</v>
      </c>
      <c r="T32" s="541">
        <f>T30*T31</f>
        <v>0</v>
      </c>
      <c r="U32" s="537">
        <f>S32+T32</f>
        <v>0</v>
      </c>
      <c r="V32" s="107"/>
      <c r="W32" s="251"/>
      <c r="X32" s="567" t="s">
        <v>102</v>
      </c>
      <c r="Y32" s="541">
        <f>Y30*Y31</f>
        <v>0</v>
      </c>
      <c r="Z32" s="541">
        <f>Z30*Z31</f>
        <v>0</v>
      </c>
      <c r="AA32" s="537">
        <f>Y32+Z32</f>
        <v>0</v>
      </c>
      <c r="AB32" s="107"/>
      <c r="AC32" s="251"/>
    </row>
    <row r="33" spans="1:29" x14ac:dyDescent="0.2">
      <c r="A33" s="180"/>
      <c r="B33" s="181"/>
      <c r="C33" s="107"/>
      <c r="D33" s="181"/>
      <c r="E33" s="107"/>
      <c r="F33" s="251"/>
      <c r="G33" s="181"/>
      <c r="H33" s="181"/>
      <c r="I33" s="107"/>
      <c r="J33" s="181"/>
      <c r="K33" s="107"/>
      <c r="L33" s="180"/>
      <c r="M33" s="181"/>
      <c r="N33" s="107"/>
      <c r="O33" s="181"/>
      <c r="P33" s="107"/>
      <c r="Q33" s="251"/>
      <c r="R33" s="181"/>
      <c r="S33" s="181"/>
      <c r="T33" s="107"/>
      <c r="U33" s="181"/>
      <c r="V33" s="107"/>
      <c r="W33" s="251"/>
      <c r="X33" s="181"/>
      <c r="Y33" s="181"/>
      <c r="Z33" s="107"/>
      <c r="AA33" s="181"/>
      <c r="AB33" s="107"/>
      <c r="AC33" s="251"/>
    </row>
    <row r="34" spans="1:29" ht="13.5" thickBot="1" x14ac:dyDescent="0.25">
      <c r="A34" s="180"/>
      <c r="B34" s="181"/>
      <c r="C34" s="107"/>
      <c r="D34" s="181"/>
      <c r="E34" s="107"/>
      <c r="F34" s="251"/>
      <c r="G34" s="181"/>
      <c r="H34" s="181"/>
      <c r="I34" s="107"/>
      <c r="J34" s="181"/>
      <c r="K34" s="107"/>
      <c r="L34" s="180" t="s">
        <v>343</v>
      </c>
      <c r="M34" s="181"/>
      <c r="N34" s="107"/>
      <c r="O34" s="181"/>
      <c r="P34" s="107"/>
      <c r="Q34" s="251"/>
      <c r="R34" s="181"/>
      <c r="S34" s="181"/>
      <c r="T34" s="107"/>
      <c r="U34" s="181"/>
      <c r="V34" s="107"/>
      <c r="W34" s="251"/>
      <c r="X34" s="181"/>
      <c r="Y34" s="181"/>
      <c r="Z34" s="107"/>
      <c r="AA34" s="181"/>
      <c r="AB34" s="107"/>
      <c r="AC34" s="251"/>
    </row>
    <row r="35" spans="1:29" ht="13.5" thickBot="1" x14ac:dyDescent="0.25">
      <c r="A35" s="1193" t="s">
        <v>103</v>
      </c>
      <c r="B35" s="1194"/>
      <c r="C35" s="107"/>
      <c r="D35" s="181"/>
      <c r="E35" s="107"/>
      <c r="F35" s="251"/>
      <c r="G35" s="1200" t="s">
        <v>103</v>
      </c>
      <c r="H35" s="1194"/>
      <c r="I35" s="107"/>
      <c r="J35" s="181"/>
      <c r="K35" s="107"/>
      <c r="L35" s="1193" t="s">
        <v>103</v>
      </c>
      <c r="M35" s="1194"/>
      <c r="N35" s="107"/>
      <c r="O35" s="181"/>
      <c r="P35" s="107"/>
      <c r="Q35" s="251"/>
      <c r="R35" s="1200" t="s">
        <v>103</v>
      </c>
      <c r="S35" s="1194"/>
      <c r="T35" s="107"/>
      <c r="U35" s="181"/>
      <c r="V35" s="107"/>
      <c r="W35" s="251"/>
      <c r="X35" s="1200" t="s">
        <v>103</v>
      </c>
      <c r="Y35" s="1194"/>
      <c r="Z35" s="107"/>
      <c r="AA35" s="181"/>
      <c r="AB35" s="107"/>
      <c r="AC35" s="251"/>
    </row>
    <row r="36" spans="1:29" x14ac:dyDescent="0.2">
      <c r="A36" s="568" t="s">
        <v>295</v>
      </c>
      <c r="B36" s="542">
        <f>D32</f>
        <v>0</v>
      </c>
      <c r="C36" s="107"/>
      <c r="D36" s="181"/>
      <c r="E36" s="107"/>
      <c r="F36" s="251"/>
      <c r="G36" s="572" t="s">
        <v>295</v>
      </c>
      <c r="H36" s="542">
        <f>J32</f>
        <v>0</v>
      </c>
      <c r="I36" s="107"/>
      <c r="J36" s="181"/>
      <c r="K36" s="107"/>
      <c r="L36" s="568" t="s">
        <v>295</v>
      </c>
      <c r="M36" s="542">
        <f>O32</f>
        <v>0</v>
      </c>
      <c r="N36" s="107"/>
      <c r="O36" s="181"/>
      <c r="P36" s="107"/>
      <c r="Q36" s="251"/>
      <c r="R36" s="572" t="s">
        <v>295</v>
      </c>
      <c r="S36" s="542">
        <f>U32</f>
        <v>0</v>
      </c>
      <c r="T36" s="107"/>
      <c r="U36" s="181"/>
      <c r="V36" s="107"/>
      <c r="W36" s="251"/>
      <c r="X36" s="572" t="s">
        <v>295</v>
      </c>
      <c r="Y36" s="542">
        <f>AA32</f>
        <v>0</v>
      </c>
      <c r="Z36" s="107"/>
      <c r="AA36" s="181"/>
      <c r="AB36" s="107"/>
      <c r="AC36" s="251"/>
    </row>
    <row r="37" spans="1:29" ht="13.5" thickBot="1" x14ac:dyDescent="0.25">
      <c r="A37" s="569" t="s">
        <v>104</v>
      </c>
      <c r="B37" s="543">
        <f>B11</f>
        <v>5367.98</v>
      </c>
      <c r="C37" s="107"/>
      <c r="D37" s="181"/>
      <c r="E37" s="107"/>
      <c r="F37" s="251"/>
      <c r="G37" s="573" t="s">
        <v>104</v>
      </c>
      <c r="H37" s="543">
        <f>H11</f>
        <v>5367.98</v>
      </c>
      <c r="I37" s="107"/>
      <c r="J37" s="181"/>
      <c r="K37" s="107"/>
      <c r="L37" s="569" t="s">
        <v>104</v>
      </c>
      <c r="M37" s="543">
        <f>M11</f>
        <v>5367.98</v>
      </c>
      <c r="N37" s="107"/>
      <c r="O37" s="181"/>
      <c r="P37" s="107"/>
      <c r="Q37" s="251"/>
      <c r="R37" s="573" t="s">
        <v>104</v>
      </c>
      <c r="S37" s="543">
        <f>S11</f>
        <v>5367.98</v>
      </c>
      <c r="T37" s="107"/>
      <c r="U37" s="181"/>
      <c r="V37" s="107"/>
      <c r="W37" s="251"/>
      <c r="X37" s="573" t="s">
        <v>104</v>
      </c>
      <c r="Y37" s="543">
        <f>Y11</f>
        <v>5367.98</v>
      </c>
      <c r="Z37" s="107"/>
      <c r="AA37" s="181"/>
      <c r="AB37" s="107"/>
      <c r="AC37" s="251"/>
    </row>
    <row r="38" spans="1:29" ht="15.75" thickBot="1" x14ac:dyDescent="0.3">
      <c r="A38" s="537" t="s">
        <v>105</v>
      </c>
      <c r="B38" s="544">
        <f>B36*B37</f>
        <v>0</v>
      </c>
      <c r="C38" s="107"/>
      <c r="D38" s="181"/>
      <c r="E38" s="107"/>
      <c r="F38" s="251"/>
      <c r="G38" s="574" t="s">
        <v>105</v>
      </c>
      <c r="H38" s="544">
        <f>H36*H37</f>
        <v>0</v>
      </c>
      <c r="I38" s="107"/>
      <c r="J38" s="181"/>
      <c r="K38" s="107"/>
      <c r="L38" s="537" t="s">
        <v>105</v>
      </c>
      <c r="M38" s="544">
        <f>M36*M37</f>
        <v>0</v>
      </c>
      <c r="N38" s="107"/>
      <c r="O38" s="181"/>
      <c r="P38" s="107"/>
      <c r="Q38" s="251"/>
      <c r="R38" s="574" t="s">
        <v>105</v>
      </c>
      <c r="S38" s="544">
        <f>S36*S37</f>
        <v>0</v>
      </c>
      <c r="T38" s="107"/>
      <c r="U38" s="181"/>
      <c r="V38" s="107"/>
      <c r="W38" s="251"/>
      <c r="X38" s="574" t="s">
        <v>105</v>
      </c>
      <c r="Y38" s="544">
        <f>Y36*Y37</f>
        <v>0</v>
      </c>
      <c r="Z38" s="107"/>
      <c r="AA38" s="181"/>
      <c r="AB38" s="107"/>
      <c r="AC38" s="251"/>
    </row>
    <row r="39" spans="1:29" ht="15" x14ac:dyDescent="0.25">
      <c r="A39" s="182"/>
      <c r="B39" s="183"/>
      <c r="C39" s="107"/>
      <c r="D39" s="107"/>
      <c r="E39" s="181"/>
      <c r="F39" s="251"/>
      <c r="G39" s="7"/>
      <c r="H39" s="183"/>
      <c r="I39" s="107"/>
      <c r="J39" s="107"/>
      <c r="K39" s="181"/>
      <c r="L39" s="182"/>
      <c r="M39" s="183"/>
      <c r="N39" s="107"/>
      <c r="O39" s="107"/>
      <c r="P39" s="181"/>
      <c r="Q39" s="251"/>
      <c r="R39" s="7"/>
      <c r="S39" s="183"/>
      <c r="T39" s="107"/>
      <c r="U39" s="107"/>
      <c r="V39" s="181"/>
      <c r="W39" s="251"/>
      <c r="X39" s="7"/>
      <c r="Y39" s="183"/>
      <c r="Z39" s="107"/>
      <c r="AA39" s="107"/>
      <c r="AB39" s="181"/>
      <c r="AC39" s="251"/>
    </row>
    <row r="40" spans="1:29" ht="15.75" thickBot="1" x14ac:dyDescent="0.3">
      <c r="A40" s="182"/>
      <c r="B40" s="183"/>
      <c r="C40" s="107"/>
      <c r="D40" s="107"/>
      <c r="E40" s="181"/>
      <c r="F40" s="251"/>
      <c r="G40" s="7"/>
      <c r="H40" s="183"/>
      <c r="I40" s="107"/>
      <c r="J40" s="107"/>
      <c r="K40" s="181"/>
      <c r="L40" s="182"/>
      <c r="M40" s="183"/>
      <c r="N40" s="107"/>
      <c r="O40" s="107"/>
      <c r="P40" s="181"/>
      <c r="Q40" s="251"/>
      <c r="R40" s="7"/>
      <c r="S40" s="183"/>
      <c r="T40" s="107"/>
      <c r="U40" s="107"/>
      <c r="V40" s="181"/>
      <c r="W40" s="251"/>
      <c r="X40" s="7"/>
      <c r="Y40" s="183"/>
      <c r="Z40" s="107"/>
      <c r="AA40" s="107"/>
      <c r="AB40" s="181"/>
      <c r="AC40" s="251"/>
    </row>
    <row r="41" spans="1:29" ht="13.5" thickBot="1" x14ac:dyDescent="0.25">
      <c r="A41" s="1193" t="s">
        <v>106</v>
      </c>
      <c r="B41" s="1194"/>
      <c r="C41" s="107"/>
      <c r="D41" s="107"/>
      <c r="E41" s="181"/>
      <c r="F41" s="251"/>
      <c r="G41" s="1200" t="s">
        <v>106</v>
      </c>
      <c r="H41" s="1194"/>
      <c r="I41" s="107"/>
      <c r="J41" s="107"/>
      <c r="K41" s="181"/>
      <c r="L41" s="1193" t="s">
        <v>106</v>
      </c>
      <c r="M41" s="1194"/>
      <c r="N41" s="107"/>
      <c r="O41" s="107"/>
      <c r="P41" s="181"/>
      <c r="Q41" s="251"/>
      <c r="R41" s="1200" t="s">
        <v>106</v>
      </c>
      <c r="S41" s="1194"/>
      <c r="T41" s="107"/>
      <c r="U41" s="107"/>
      <c r="V41" s="181"/>
      <c r="W41" s="251"/>
      <c r="X41" s="1200" t="s">
        <v>106</v>
      </c>
      <c r="Y41" s="1194"/>
      <c r="Z41" s="107"/>
      <c r="AA41" s="107"/>
      <c r="AB41" s="181"/>
      <c r="AC41" s="251"/>
    </row>
    <row r="42" spans="1:29" x14ac:dyDescent="0.2">
      <c r="A42" s="568" t="s">
        <v>107</v>
      </c>
      <c r="B42" s="542">
        <f>D30</f>
        <v>0</v>
      </c>
      <c r="C42" s="107"/>
      <c r="D42" s="107"/>
      <c r="E42" s="181"/>
      <c r="F42" s="251"/>
      <c r="G42" s="572" t="s">
        <v>107</v>
      </c>
      <c r="H42" s="542">
        <f>J30</f>
        <v>0</v>
      </c>
      <c r="I42" s="107"/>
      <c r="J42" s="107"/>
      <c r="K42" s="181"/>
      <c r="L42" s="568" t="s">
        <v>107</v>
      </c>
      <c r="M42" s="542">
        <f>O30</f>
        <v>0</v>
      </c>
      <c r="N42" s="107"/>
      <c r="O42" s="107"/>
      <c r="P42" s="181"/>
      <c r="Q42" s="251"/>
      <c r="R42" s="572" t="s">
        <v>107</v>
      </c>
      <c r="S42" s="542">
        <f>U30</f>
        <v>0</v>
      </c>
      <c r="T42" s="107"/>
      <c r="U42" s="107"/>
      <c r="V42" s="181"/>
      <c r="W42" s="251"/>
      <c r="X42" s="572" t="s">
        <v>107</v>
      </c>
      <c r="Y42" s="542">
        <f>AA30</f>
        <v>0</v>
      </c>
      <c r="Z42" s="107"/>
      <c r="AA42" s="107"/>
      <c r="AB42" s="181"/>
      <c r="AC42" s="251"/>
    </row>
    <row r="43" spans="1:29" ht="13.5" thickBot="1" x14ac:dyDescent="0.25">
      <c r="A43" s="569" t="s">
        <v>108</v>
      </c>
      <c r="B43" s="543">
        <f>B12</f>
        <v>2111.98</v>
      </c>
      <c r="C43" s="107"/>
      <c r="D43" s="107"/>
      <c r="E43" s="107"/>
      <c r="F43" s="251"/>
      <c r="G43" s="573" t="s">
        <v>108</v>
      </c>
      <c r="H43" s="543">
        <f>H12</f>
        <v>2111.98</v>
      </c>
      <c r="I43" s="107"/>
      <c r="J43" s="107"/>
      <c r="K43" s="107"/>
      <c r="L43" s="569" t="s">
        <v>108</v>
      </c>
      <c r="M43" s="543">
        <f>M12</f>
        <v>2111.98</v>
      </c>
      <c r="N43" s="107"/>
      <c r="O43" s="107"/>
      <c r="P43" s="107"/>
      <c r="Q43" s="251"/>
      <c r="R43" s="573" t="s">
        <v>108</v>
      </c>
      <c r="S43" s="543">
        <f>S12</f>
        <v>2111.98</v>
      </c>
      <c r="T43" s="107"/>
      <c r="U43" s="107"/>
      <c r="V43" s="107"/>
      <c r="W43" s="251"/>
      <c r="X43" s="573" t="s">
        <v>108</v>
      </c>
      <c r="Y43" s="543">
        <f>Y12</f>
        <v>2111.98</v>
      </c>
      <c r="Z43" s="107"/>
      <c r="AA43" s="107"/>
      <c r="AB43" s="107"/>
      <c r="AC43" s="251"/>
    </row>
    <row r="44" spans="1:29" ht="15.75" thickBot="1" x14ac:dyDescent="0.3">
      <c r="A44" s="537" t="s">
        <v>109</v>
      </c>
      <c r="B44" s="544">
        <f>B42*B43</f>
        <v>0</v>
      </c>
      <c r="C44" s="107"/>
      <c r="D44" s="107"/>
      <c r="E44" s="107"/>
      <c r="F44" s="251"/>
      <c r="G44" s="574" t="s">
        <v>109</v>
      </c>
      <c r="H44" s="544">
        <f>H42*H43</f>
        <v>0</v>
      </c>
      <c r="I44" s="107"/>
      <c r="J44" s="107"/>
      <c r="K44" s="107"/>
      <c r="L44" s="537" t="s">
        <v>109</v>
      </c>
      <c r="M44" s="544">
        <f>M42*M43</f>
        <v>0</v>
      </c>
      <c r="N44" s="107"/>
      <c r="O44" s="107"/>
      <c r="P44" s="107"/>
      <c r="Q44" s="251"/>
      <c r="R44" s="574" t="s">
        <v>109</v>
      </c>
      <c r="S44" s="544">
        <f>S42*S43</f>
        <v>0</v>
      </c>
      <c r="T44" s="107"/>
      <c r="U44" s="107"/>
      <c r="V44" s="107"/>
      <c r="W44" s="251"/>
      <c r="X44" s="574" t="s">
        <v>109</v>
      </c>
      <c r="Y44" s="544">
        <f>Y42*Y43</f>
        <v>0</v>
      </c>
      <c r="Z44" s="107"/>
      <c r="AA44" s="107"/>
      <c r="AB44" s="107"/>
      <c r="AC44" s="251"/>
    </row>
    <row r="45" spans="1:29" x14ac:dyDescent="0.2">
      <c r="A45" s="184"/>
      <c r="B45" s="185"/>
      <c r="C45" s="186"/>
      <c r="D45" s="178"/>
      <c r="E45" s="190"/>
      <c r="F45" s="251"/>
      <c r="G45" s="185"/>
      <c r="H45" s="185"/>
      <c r="I45" s="186"/>
      <c r="J45" s="178"/>
      <c r="K45" s="190"/>
      <c r="L45" s="184"/>
      <c r="M45" s="185"/>
      <c r="N45" s="186"/>
      <c r="O45" s="178"/>
      <c r="P45" s="190"/>
      <c r="Q45" s="251"/>
      <c r="R45" s="185"/>
      <c r="S45" s="185"/>
      <c r="T45" s="186"/>
      <c r="U45" s="178"/>
      <c r="V45" s="190"/>
      <c r="W45" s="251"/>
      <c r="X45" s="185"/>
      <c r="Y45" s="185"/>
      <c r="Z45" s="186"/>
      <c r="AA45" s="178"/>
      <c r="AB45" s="190"/>
      <c r="AC45" s="251"/>
    </row>
    <row r="46" spans="1:29" ht="13.5" thickBot="1" x14ac:dyDescent="0.25">
      <c r="A46" s="184"/>
      <c r="B46" s="185"/>
      <c r="C46" s="186"/>
      <c r="D46" s="178"/>
      <c r="E46" s="190"/>
      <c r="F46" s="251"/>
      <c r="G46" s="185"/>
      <c r="H46" s="185"/>
      <c r="I46" s="186"/>
      <c r="J46" s="178"/>
      <c r="K46" s="190"/>
      <c r="L46" s="184"/>
      <c r="M46" s="185"/>
      <c r="N46" s="186"/>
      <c r="O46" s="178"/>
      <c r="P46" s="190"/>
      <c r="Q46" s="251"/>
      <c r="R46" s="185"/>
      <c r="S46" s="185"/>
      <c r="T46" s="186"/>
      <c r="U46" s="178"/>
      <c r="V46" s="190"/>
      <c r="W46" s="251"/>
      <c r="X46" s="185"/>
      <c r="Y46" s="185"/>
      <c r="Z46" s="186"/>
      <c r="AA46" s="178"/>
      <c r="AB46" s="190"/>
      <c r="AC46" s="251"/>
    </row>
    <row r="47" spans="1:29" ht="13.5" thickBot="1" x14ac:dyDescent="0.25">
      <c r="A47" s="570" t="s">
        <v>110</v>
      </c>
      <c r="B47" s="567"/>
      <c r="C47" s="186"/>
      <c r="D47" s="178"/>
      <c r="E47" s="190"/>
      <c r="F47" s="251"/>
      <c r="G47" s="575" t="s">
        <v>110</v>
      </c>
      <c r="H47" s="567"/>
      <c r="I47" s="186"/>
      <c r="J47" s="178"/>
      <c r="K47" s="190"/>
      <c r="L47" s="1009" t="s">
        <v>110</v>
      </c>
      <c r="M47" s="1010"/>
      <c r="N47" s="186"/>
      <c r="O47" s="178"/>
      <c r="P47" s="190"/>
      <c r="Q47" s="251"/>
      <c r="R47" s="575" t="s">
        <v>110</v>
      </c>
      <c r="S47" s="567"/>
      <c r="T47" s="186"/>
      <c r="U47" s="178"/>
      <c r="V47" s="190"/>
      <c r="W47" s="251"/>
      <c r="X47" s="575" t="s">
        <v>110</v>
      </c>
      <c r="Y47" s="567"/>
      <c r="Z47" s="186"/>
      <c r="AA47" s="178"/>
      <c r="AB47" s="190"/>
      <c r="AC47" s="251"/>
    </row>
    <row r="48" spans="1:29" x14ac:dyDescent="0.2">
      <c r="A48" s="571" t="s">
        <v>105</v>
      </c>
      <c r="B48" s="545">
        <f>B38</f>
        <v>0</v>
      </c>
      <c r="C48" s="186"/>
      <c r="D48" s="178"/>
      <c r="E48" s="190"/>
      <c r="F48" s="251"/>
      <c r="G48" s="576" t="s">
        <v>105</v>
      </c>
      <c r="H48" s="545">
        <f>H38</f>
        <v>0</v>
      </c>
      <c r="I48" s="186"/>
      <c r="J48" s="178"/>
      <c r="K48" s="190"/>
      <c r="L48" s="571" t="s">
        <v>105</v>
      </c>
      <c r="M48" s="545">
        <f>M38</f>
        <v>0</v>
      </c>
      <c r="N48" s="186"/>
      <c r="O48" s="178"/>
      <c r="P48" s="190"/>
      <c r="Q48" s="251"/>
      <c r="R48" s="576" t="s">
        <v>105</v>
      </c>
      <c r="S48" s="545">
        <f>S38</f>
        <v>0</v>
      </c>
      <c r="T48" s="186"/>
      <c r="U48" s="178"/>
      <c r="V48" s="190"/>
      <c r="W48" s="251"/>
      <c r="X48" s="576" t="s">
        <v>105</v>
      </c>
      <c r="Y48" s="545">
        <f>Y38</f>
        <v>0</v>
      </c>
      <c r="Z48" s="186"/>
      <c r="AA48" s="178"/>
      <c r="AB48" s="190"/>
      <c r="AC48" s="251"/>
    </row>
    <row r="49" spans="1:29" ht="13.5" thickBot="1" x14ac:dyDescent="0.25">
      <c r="A49" s="571" t="s">
        <v>109</v>
      </c>
      <c r="B49" s="543">
        <f>B44</f>
        <v>0</v>
      </c>
      <c r="C49" s="186"/>
      <c r="D49" s="178"/>
      <c r="E49" s="190"/>
      <c r="F49" s="251"/>
      <c r="G49" s="576" t="s">
        <v>109</v>
      </c>
      <c r="H49" s="543">
        <f>H44</f>
        <v>0</v>
      </c>
      <c r="I49" s="186"/>
      <c r="J49" s="178"/>
      <c r="K49" s="190"/>
      <c r="L49" s="571" t="s">
        <v>109</v>
      </c>
      <c r="M49" s="543">
        <f>M44</f>
        <v>0</v>
      </c>
      <c r="N49" s="186"/>
      <c r="O49" s="178"/>
      <c r="P49" s="190"/>
      <c r="Q49" s="251"/>
      <c r="R49" s="576" t="s">
        <v>109</v>
      </c>
      <c r="S49" s="543">
        <f>S44</f>
        <v>0</v>
      </c>
      <c r="T49" s="186"/>
      <c r="U49" s="178"/>
      <c r="V49" s="190"/>
      <c r="W49" s="251"/>
      <c r="X49" s="576" t="s">
        <v>109</v>
      </c>
      <c r="Y49" s="543">
        <f>Y44</f>
        <v>0</v>
      </c>
      <c r="Z49" s="186"/>
      <c r="AA49" s="178"/>
      <c r="AB49" s="190"/>
      <c r="AC49" s="251"/>
    </row>
    <row r="50" spans="1:29" ht="15.75" thickBot="1" x14ac:dyDescent="0.3">
      <c r="A50" s="537" t="s">
        <v>111</v>
      </c>
      <c r="B50" s="544">
        <f>B48+B49</f>
        <v>0</v>
      </c>
      <c r="C50" s="186"/>
      <c r="D50" s="178"/>
      <c r="E50" s="190"/>
      <c r="F50" s="251"/>
      <c r="G50" s="574" t="s">
        <v>111</v>
      </c>
      <c r="H50" s="544">
        <f>H48+H49</f>
        <v>0</v>
      </c>
      <c r="I50" s="186"/>
      <c r="J50" s="178"/>
      <c r="K50" s="190"/>
      <c r="L50" s="537" t="s">
        <v>111</v>
      </c>
      <c r="M50" s="544">
        <f>M48+M49</f>
        <v>0</v>
      </c>
      <c r="N50" s="186"/>
      <c r="O50" s="178"/>
      <c r="P50" s="190"/>
      <c r="Q50" s="251"/>
      <c r="R50" s="574" t="s">
        <v>111</v>
      </c>
      <c r="S50" s="544">
        <f>S48+S49</f>
        <v>0</v>
      </c>
      <c r="T50" s="186"/>
      <c r="U50" s="178"/>
      <c r="V50" s="190"/>
      <c r="W50" s="251"/>
      <c r="X50" s="574" t="s">
        <v>111</v>
      </c>
      <c r="Y50" s="544">
        <f>Y48+Y49</f>
        <v>0</v>
      </c>
      <c r="Z50" s="186"/>
      <c r="AA50" s="178"/>
      <c r="AB50" s="190"/>
      <c r="AC50" s="251"/>
    </row>
    <row r="51" spans="1:29" x14ac:dyDescent="0.2">
      <c r="A51" s="184"/>
      <c r="B51" s="185"/>
      <c r="C51" s="186"/>
      <c r="D51" s="178"/>
      <c r="E51" s="190"/>
      <c r="F51" s="251"/>
      <c r="G51" s="185"/>
      <c r="H51" s="185"/>
      <c r="I51" s="186"/>
      <c r="J51" s="178"/>
      <c r="K51" s="190"/>
      <c r="L51" s="184"/>
      <c r="M51" s="185"/>
      <c r="N51" s="186"/>
      <c r="O51" s="178"/>
      <c r="P51" s="190"/>
      <c r="Q51" s="251"/>
      <c r="R51" s="185"/>
      <c r="S51" s="185"/>
      <c r="T51" s="186"/>
      <c r="U51" s="178"/>
      <c r="V51" s="190"/>
      <c r="W51" s="251"/>
      <c r="X51" s="185"/>
      <c r="Y51" s="185"/>
      <c r="Z51" s="186"/>
      <c r="AA51" s="178"/>
      <c r="AB51" s="190"/>
      <c r="AC51" s="251"/>
    </row>
    <row r="52" spans="1:29" ht="13.5" thickBot="1" x14ac:dyDescent="0.25">
      <c r="A52" s="187"/>
      <c r="B52" s="188"/>
      <c r="C52" s="189"/>
      <c r="D52" s="189"/>
      <c r="E52" s="246"/>
      <c r="F52" s="251"/>
      <c r="G52" s="188"/>
      <c r="H52" s="188"/>
      <c r="I52" s="189"/>
      <c r="J52" s="189"/>
      <c r="K52" s="246"/>
      <c r="L52" s="187"/>
      <c r="M52" s="188"/>
      <c r="N52" s="189"/>
      <c r="O52" s="189"/>
      <c r="P52" s="246"/>
      <c r="Q52" s="251"/>
      <c r="R52" s="188"/>
      <c r="S52" s="188"/>
      <c r="T52" s="189"/>
      <c r="U52" s="189"/>
      <c r="V52" s="246"/>
      <c r="W52" s="251"/>
      <c r="X52" s="188"/>
      <c r="Y52" s="188"/>
      <c r="Z52" s="189"/>
      <c r="AA52" s="189"/>
      <c r="AB52" s="246"/>
      <c r="AC52" s="251"/>
    </row>
    <row r="53" spans="1:29" x14ac:dyDescent="0.2">
      <c r="A53" s="263"/>
      <c r="B53" s="170"/>
      <c r="C53" s="170"/>
      <c r="D53" s="170"/>
      <c r="E53" s="190"/>
      <c r="F53" s="251"/>
      <c r="G53" s="170"/>
      <c r="H53" s="170"/>
      <c r="I53" s="170"/>
      <c r="J53" s="170"/>
      <c r="K53" s="190"/>
      <c r="L53" s="263"/>
      <c r="M53" s="170"/>
      <c r="N53" s="170"/>
      <c r="O53" s="170"/>
      <c r="P53" s="190"/>
      <c r="Q53" s="251"/>
      <c r="R53" s="170"/>
      <c r="S53" s="170"/>
      <c r="T53" s="170"/>
      <c r="U53" s="170"/>
      <c r="V53" s="190"/>
      <c r="W53" s="251"/>
      <c r="X53" s="170"/>
      <c r="Y53" s="170"/>
      <c r="Z53" s="170"/>
      <c r="AA53" s="170"/>
      <c r="AB53" s="190"/>
      <c r="AC53" s="251"/>
    </row>
    <row r="54" spans="1:29" x14ac:dyDescent="0.2">
      <c r="A54" s="263"/>
      <c r="B54" s="170"/>
      <c r="C54" s="170"/>
      <c r="D54" s="170"/>
      <c r="E54" s="169"/>
      <c r="F54" s="251"/>
      <c r="G54" s="170"/>
      <c r="H54" s="170"/>
      <c r="I54" s="170"/>
      <c r="J54" s="170"/>
      <c r="K54" s="169"/>
      <c r="L54" s="263"/>
      <c r="M54" s="170"/>
      <c r="N54" s="170"/>
      <c r="O54" s="170"/>
      <c r="P54" s="169"/>
      <c r="Q54" s="251"/>
      <c r="R54" s="170"/>
      <c r="S54" s="170"/>
      <c r="T54" s="170"/>
      <c r="U54" s="170"/>
      <c r="V54" s="169"/>
      <c r="W54" s="251"/>
      <c r="X54" s="170"/>
      <c r="Y54" s="170"/>
      <c r="Z54" s="170"/>
      <c r="AA54" s="170"/>
      <c r="AB54" s="169"/>
      <c r="AC54" s="251"/>
    </row>
    <row r="55" spans="1:29" x14ac:dyDescent="0.2">
      <c r="A55" s="263"/>
      <c r="B55" s="170"/>
      <c r="C55" s="170"/>
      <c r="D55" s="170"/>
      <c r="E55" s="169"/>
      <c r="F55" s="251"/>
      <c r="G55" s="170"/>
      <c r="H55" s="170"/>
      <c r="I55" s="170"/>
      <c r="J55" s="170"/>
      <c r="K55" s="169"/>
      <c r="L55" s="263"/>
      <c r="M55" s="170"/>
      <c r="N55" s="170"/>
      <c r="O55" s="170"/>
      <c r="P55" s="169"/>
      <c r="Q55" s="251"/>
      <c r="R55" s="170"/>
      <c r="S55" s="170"/>
      <c r="T55" s="170"/>
      <c r="U55" s="170"/>
      <c r="V55" s="169"/>
      <c r="W55" s="251"/>
      <c r="X55" s="170"/>
      <c r="Y55" s="170"/>
      <c r="Z55" s="170"/>
      <c r="AA55" s="170"/>
      <c r="AB55" s="169"/>
      <c r="AC55" s="251"/>
    </row>
    <row r="56" spans="1:29" ht="13.5" thickBot="1" x14ac:dyDescent="0.25">
      <c r="A56" s="263"/>
      <c r="B56" s="170"/>
      <c r="C56" s="170"/>
      <c r="D56" s="170"/>
      <c r="E56" s="169"/>
      <c r="F56" s="251"/>
      <c r="G56" s="170"/>
      <c r="H56" s="170"/>
      <c r="I56" s="170"/>
      <c r="J56" s="170"/>
      <c r="K56" s="169"/>
      <c r="L56" s="263"/>
      <c r="M56" s="170"/>
      <c r="N56" s="170"/>
      <c r="O56" s="170"/>
      <c r="P56" s="169"/>
      <c r="Q56" s="251"/>
      <c r="R56" s="170"/>
      <c r="S56" s="170"/>
      <c r="T56" s="170"/>
      <c r="U56" s="170"/>
      <c r="V56" s="169"/>
      <c r="W56" s="251"/>
      <c r="X56" s="170"/>
      <c r="Y56" s="170"/>
      <c r="Z56" s="170"/>
      <c r="AA56" s="170"/>
      <c r="AB56" s="169"/>
      <c r="AC56" s="251"/>
    </row>
    <row r="57" spans="1:29" ht="16.5" thickBot="1" x14ac:dyDescent="0.3">
      <c r="A57" s="1191" t="s">
        <v>112</v>
      </c>
      <c r="B57" s="1192"/>
      <c r="C57" s="1192"/>
      <c r="D57" s="1192"/>
      <c r="E57" s="1192"/>
      <c r="F57" s="662"/>
      <c r="G57" s="1192" t="s">
        <v>112</v>
      </c>
      <c r="H57" s="1192"/>
      <c r="I57" s="1192"/>
      <c r="J57" s="1192"/>
      <c r="K57" s="1192"/>
      <c r="L57" s="1191" t="s">
        <v>112</v>
      </c>
      <c r="M57" s="1192"/>
      <c r="N57" s="1192"/>
      <c r="O57" s="1192"/>
      <c r="P57" s="1192"/>
      <c r="Q57" s="250"/>
      <c r="R57" s="1192" t="s">
        <v>112</v>
      </c>
      <c r="S57" s="1192"/>
      <c r="T57" s="1192"/>
      <c r="U57" s="1192"/>
      <c r="V57" s="1192"/>
      <c r="W57" s="250"/>
      <c r="X57" s="1192" t="s">
        <v>112</v>
      </c>
      <c r="Y57" s="1192"/>
      <c r="Z57" s="1192"/>
      <c r="AA57" s="1192"/>
      <c r="AB57" s="1192"/>
      <c r="AC57" s="250"/>
    </row>
    <row r="58" spans="1:29" ht="36" customHeight="1" thickBot="1" x14ac:dyDescent="0.3">
      <c r="A58" s="1209" t="s">
        <v>113</v>
      </c>
      <c r="B58" s="1210"/>
      <c r="C58" s="1210"/>
      <c r="D58" s="1210"/>
      <c r="E58" s="1210"/>
      <c r="F58" s="250"/>
      <c r="G58" s="1210" t="s">
        <v>113</v>
      </c>
      <c r="H58" s="1210"/>
      <c r="I58" s="1210"/>
      <c r="J58" s="1210"/>
      <c r="K58" s="1210"/>
      <c r="L58" s="1209" t="s">
        <v>342</v>
      </c>
      <c r="M58" s="1210"/>
      <c r="N58" s="1210"/>
      <c r="O58" s="1210"/>
      <c r="P58" s="1210"/>
      <c r="Q58" s="250"/>
      <c r="R58" s="1210" t="s">
        <v>342</v>
      </c>
      <c r="S58" s="1210"/>
      <c r="T58" s="1210"/>
      <c r="U58" s="1210"/>
      <c r="V58" s="1210"/>
      <c r="W58" s="250"/>
      <c r="X58" s="1210" t="s">
        <v>342</v>
      </c>
      <c r="Y58" s="1210"/>
      <c r="Z58" s="1210"/>
      <c r="AA58" s="1210"/>
      <c r="AB58" s="1210"/>
      <c r="AC58" s="250"/>
    </row>
    <row r="59" spans="1:29" ht="16.5" thickBot="1" x14ac:dyDescent="0.3">
      <c r="A59" s="174"/>
      <c r="B59" s="175"/>
      <c r="C59" s="175"/>
      <c r="D59" s="173"/>
      <c r="E59" s="173"/>
      <c r="F59" s="251"/>
      <c r="G59" s="173"/>
      <c r="H59" s="175"/>
      <c r="I59" s="175"/>
      <c r="J59" s="173"/>
      <c r="K59" s="173"/>
      <c r="L59" s="1011"/>
      <c r="M59" s="197"/>
      <c r="N59" s="175"/>
      <c r="O59" s="173"/>
      <c r="P59" s="173"/>
      <c r="Q59" s="251"/>
      <c r="R59" s="173"/>
      <c r="S59" s="175"/>
      <c r="T59" s="175"/>
      <c r="U59" s="173"/>
      <c r="V59" s="173"/>
      <c r="W59" s="251"/>
      <c r="X59" s="173"/>
      <c r="Y59" s="175"/>
      <c r="Z59" s="175"/>
      <c r="AA59" s="173"/>
      <c r="AB59" s="173"/>
      <c r="AC59" s="251"/>
    </row>
    <row r="60" spans="1:29" ht="26.25" thickBot="1" x14ac:dyDescent="0.25">
      <c r="A60" s="490" t="s">
        <v>95</v>
      </c>
      <c r="B60" s="578" t="s">
        <v>96</v>
      </c>
      <c r="C60" s="579" t="s">
        <v>97</v>
      </c>
      <c r="D60" s="490" t="s">
        <v>98</v>
      </c>
      <c r="E60" s="97"/>
      <c r="F60" s="251"/>
      <c r="G60" s="567" t="s">
        <v>95</v>
      </c>
      <c r="H60" s="578" t="s">
        <v>96</v>
      </c>
      <c r="I60" s="579" t="s">
        <v>97</v>
      </c>
      <c r="J60" s="490" t="s">
        <v>98</v>
      </c>
      <c r="K60" s="97"/>
      <c r="L60" s="490" t="s">
        <v>95</v>
      </c>
      <c r="M60" s="1012" t="s">
        <v>96</v>
      </c>
      <c r="N60" s="1015" t="s">
        <v>97</v>
      </c>
      <c r="O60" s="490" t="s">
        <v>98</v>
      </c>
      <c r="P60" s="97"/>
      <c r="Q60" s="251"/>
      <c r="R60" s="567" t="s">
        <v>95</v>
      </c>
      <c r="S60" s="578" t="s">
        <v>96</v>
      </c>
      <c r="T60" s="579" t="s">
        <v>97</v>
      </c>
      <c r="U60" s="490" t="s">
        <v>98</v>
      </c>
      <c r="V60" s="97"/>
      <c r="W60" s="251"/>
      <c r="X60" s="567" t="s">
        <v>95</v>
      </c>
      <c r="Y60" s="578" t="s">
        <v>96</v>
      </c>
      <c r="Z60" s="579" t="s">
        <v>97</v>
      </c>
      <c r="AA60" s="490" t="s">
        <v>98</v>
      </c>
      <c r="AB60" s="97"/>
      <c r="AC60" s="251"/>
    </row>
    <row r="61" spans="1:29" x14ac:dyDescent="0.2">
      <c r="A61" s="557">
        <v>4</v>
      </c>
      <c r="B61" s="177"/>
      <c r="C61" s="177"/>
      <c r="D61" s="534">
        <f>B61+C61</f>
        <v>0</v>
      </c>
      <c r="E61" s="97"/>
      <c r="F61" s="251"/>
      <c r="G61" s="563">
        <v>4</v>
      </c>
      <c r="H61" s="177"/>
      <c r="I61" s="177"/>
      <c r="J61" s="534">
        <f>H61+I61</f>
        <v>0</v>
      </c>
      <c r="K61" s="97"/>
      <c r="L61" s="557">
        <v>4</v>
      </c>
      <c r="M61" s="177"/>
      <c r="N61" s="177"/>
      <c r="O61" s="534">
        <f>M61+N61</f>
        <v>0</v>
      </c>
      <c r="P61" s="97"/>
      <c r="Q61" s="251"/>
      <c r="R61" s="563">
        <v>4</v>
      </c>
      <c r="S61" s="177"/>
      <c r="T61" s="177"/>
      <c r="U61" s="534">
        <f>S61+T61</f>
        <v>0</v>
      </c>
      <c r="V61" s="97"/>
      <c r="W61" s="251"/>
      <c r="X61" s="563">
        <v>4</v>
      </c>
      <c r="Y61" s="177"/>
      <c r="Z61" s="177"/>
      <c r="AA61" s="534">
        <f>Y61+Z61</f>
        <v>0</v>
      </c>
      <c r="AB61" s="97"/>
      <c r="AC61" s="251"/>
    </row>
    <row r="62" spans="1:29" x14ac:dyDescent="0.2">
      <c r="A62" s="533">
        <v>5</v>
      </c>
      <c r="B62" s="177"/>
      <c r="C62" s="179"/>
      <c r="D62" s="535">
        <f>B62+C62</f>
        <v>0</v>
      </c>
      <c r="E62" s="97"/>
      <c r="F62" s="251"/>
      <c r="G62" s="564">
        <v>5</v>
      </c>
      <c r="H62" s="177"/>
      <c r="I62" s="179"/>
      <c r="J62" s="535">
        <f>H62+I62</f>
        <v>0</v>
      </c>
      <c r="K62" s="97"/>
      <c r="L62" s="533">
        <v>5</v>
      </c>
      <c r="M62" s="177"/>
      <c r="N62" s="179"/>
      <c r="O62" s="535">
        <f>M62+N62</f>
        <v>0</v>
      </c>
      <c r="P62" s="97"/>
      <c r="Q62" s="251"/>
      <c r="R62" s="564">
        <v>5</v>
      </c>
      <c r="S62" s="177"/>
      <c r="T62" s="177"/>
      <c r="U62" s="535">
        <f>S62+T62</f>
        <v>0</v>
      </c>
      <c r="V62" s="97"/>
      <c r="W62" s="251"/>
      <c r="X62" s="564">
        <v>5</v>
      </c>
      <c r="Y62" s="177"/>
      <c r="Z62" s="177"/>
      <c r="AA62" s="535">
        <f>Y62+Z62</f>
        <v>0</v>
      </c>
      <c r="AB62" s="97"/>
      <c r="AC62" s="251"/>
    </row>
    <row r="63" spans="1:29" x14ac:dyDescent="0.2">
      <c r="A63" s="533">
        <v>6</v>
      </c>
      <c r="B63" s="177"/>
      <c r="C63" s="179"/>
      <c r="D63" s="535">
        <f>B63+C63</f>
        <v>0</v>
      </c>
      <c r="E63" s="97"/>
      <c r="F63" s="251"/>
      <c r="G63" s="564">
        <v>6</v>
      </c>
      <c r="H63" s="177"/>
      <c r="I63" s="179"/>
      <c r="J63" s="535">
        <f>H63+I63</f>
        <v>0</v>
      </c>
      <c r="K63" s="97"/>
      <c r="L63" s="533">
        <v>6</v>
      </c>
      <c r="M63" s="177"/>
      <c r="N63" s="179"/>
      <c r="O63" s="535">
        <f>M63+N63</f>
        <v>0</v>
      </c>
      <c r="P63" s="97"/>
      <c r="Q63" s="251"/>
      <c r="R63" s="564">
        <v>6</v>
      </c>
      <c r="S63" s="177"/>
      <c r="T63" s="177"/>
      <c r="U63" s="535">
        <f>S63+T63</f>
        <v>0</v>
      </c>
      <c r="V63" s="97"/>
      <c r="W63" s="251"/>
      <c r="X63" s="564">
        <v>6</v>
      </c>
      <c r="Y63" s="177"/>
      <c r="Z63" s="177"/>
      <c r="AA63" s="535">
        <f>Y63+Z63</f>
        <v>0</v>
      </c>
      <c r="AB63" s="97"/>
      <c r="AC63" s="251"/>
    </row>
    <row r="64" spans="1:29" x14ac:dyDescent="0.2">
      <c r="A64" s="533">
        <v>7</v>
      </c>
      <c r="B64" s="177"/>
      <c r="C64" s="179"/>
      <c r="D64" s="535">
        <f>B64+C64</f>
        <v>0</v>
      </c>
      <c r="E64" s="97"/>
      <c r="F64" s="251"/>
      <c r="G64" s="564">
        <v>7</v>
      </c>
      <c r="H64" s="177"/>
      <c r="I64" s="179"/>
      <c r="J64" s="535">
        <f>H64+I64</f>
        <v>0</v>
      </c>
      <c r="K64" s="97"/>
      <c r="L64" s="533">
        <v>7</v>
      </c>
      <c r="M64" s="177"/>
      <c r="N64" s="179"/>
      <c r="O64" s="535">
        <f>M64+N64</f>
        <v>0</v>
      </c>
      <c r="P64" s="97"/>
      <c r="Q64" s="251"/>
      <c r="R64" s="564">
        <v>7</v>
      </c>
      <c r="S64" s="177"/>
      <c r="T64" s="177"/>
      <c r="U64" s="535">
        <f>S64+T64</f>
        <v>0</v>
      </c>
      <c r="V64" s="97"/>
      <c r="W64" s="251"/>
      <c r="X64" s="564">
        <v>7</v>
      </c>
      <c r="Y64" s="177"/>
      <c r="Z64" s="177"/>
      <c r="AA64" s="535">
        <f>Y64+Z64</f>
        <v>0</v>
      </c>
      <c r="AB64" s="97"/>
      <c r="AC64" s="251"/>
    </row>
    <row r="65" spans="1:29" ht="13.5" thickBot="1" x14ac:dyDescent="0.25">
      <c r="A65" s="577">
        <v>8</v>
      </c>
      <c r="B65" s="177"/>
      <c r="C65" s="179"/>
      <c r="D65" s="536">
        <f>B65+C65</f>
        <v>0</v>
      </c>
      <c r="E65" s="97"/>
      <c r="F65" s="251"/>
      <c r="G65" s="580">
        <v>8</v>
      </c>
      <c r="H65" s="177"/>
      <c r="I65" s="179"/>
      <c r="J65" s="536">
        <f>H65+I65</f>
        <v>0</v>
      </c>
      <c r="K65" s="97"/>
      <c r="L65" s="577">
        <v>8</v>
      </c>
      <c r="M65" s="177"/>
      <c r="N65" s="179"/>
      <c r="O65" s="536">
        <f>M65+N65</f>
        <v>0</v>
      </c>
      <c r="P65" s="97"/>
      <c r="Q65" s="251"/>
      <c r="R65" s="580">
        <v>8</v>
      </c>
      <c r="S65" s="177"/>
      <c r="T65" s="177"/>
      <c r="U65" s="536">
        <f>S65+T65</f>
        <v>0</v>
      </c>
      <c r="V65" s="97"/>
      <c r="W65" s="251"/>
      <c r="X65" s="580">
        <v>8</v>
      </c>
      <c r="Y65" s="177"/>
      <c r="Z65" s="177"/>
      <c r="AA65" s="536">
        <f>Y65+Z65</f>
        <v>0</v>
      </c>
      <c r="AB65" s="97"/>
      <c r="AC65" s="251"/>
    </row>
    <row r="66" spans="1:29" ht="13.5" thickBot="1" x14ac:dyDescent="0.25">
      <c r="A66" s="558" t="s">
        <v>114</v>
      </c>
      <c r="B66" s="538">
        <f>SUM(B61:B65)</f>
        <v>0</v>
      </c>
      <c r="C66" s="539">
        <f>SUM(C61:C65)</f>
        <v>0</v>
      </c>
      <c r="D66" s="541">
        <f>SUM(D61:D65)</f>
        <v>0</v>
      </c>
      <c r="E66" s="97"/>
      <c r="F66" s="251"/>
      <c r="G66" s="565" t="s">
        <v>114</v>
      </c>
      <c r="H66" s="538">
        <f>SUM(H61:H65)</f>
        <v>0</v>
      </c>
      <c r="I66" s="539">
        <f>SUM(I61:I65)</f>
        <v>0</v>
      </c>
      <c r="J66" s="541">
        <f>SUM(J61:J65)</f>
        <v>0</v>
      </c>
      <c r="K66" s="97"/>
      <c r="L66" s="558" t="s">
        <v>114</v>
      </c>
      <c r="M66" s="538">
        <f>SUM(M61:M65)</f>
        <v>0</v>
      </c>
      <c r="N66" s="539">
        <f>SUM(N61:N65)</f>
        <v>0</v>
      </c>
      <c r="O66" s="541">
        <f>SUM(O61:O65)</f>
        <v>0</v>
      </c>
      <c r="P66" s="97"/>
      <c r="Q66" s="251"/>
      <c r="R66" s="565" t="s">
        <v>114</v>
      </c>
      <c r="S66" s="538">
        <f>SUM(S61:S65)</f>
        <v>0</v>
      </c>
      <c r="T66" s="539">
        <f>SUM(T61:T65)</f>
        <v>0</v>
      </c>
      <c r="U66" s="541">
        <f>SUM(U61:U65)</f>
        <v>0</v>
      </c>
      <c r="V66" s="97"/>
      <c r="W66" s="251"/>
      <c r="X66" s="565" t="s">
        <v>114</v>
      </c>
      <c r="Y66" s="538">
        <f>SUM(Y61:Y65)</f>
        <v>0</v>
      </c>
      <c r="Z66" s="539">
        <f>SUM(Z61:Z65)</f>
        <v>0</v>
      </c>
      <c r="AA66" s="541">
        <f>SUM(AA61:AA65)</f>
        <v>0</v>
      </c>
      <c r="AB66" s="97"/>
      <c r="AC66" s="251"/>
    </row>
    <row r="67" spans="1:29" ht="13.5" thickBot="1" x14ac:dyDescent="0.25">
      <c r="A67" s="559" t="s">
        <v>101</v>
      </c>
      <c r="B67" s="540">
        <v>1</v>
      </c>
      <c r="C67" s="540">
        <v>0.4</v>
      </c>
      <c r="D67" s="97"/>
      <c r="E67" s="97"/>
      <c r="F67" s="251"/>
      <c r="G67" s="566" t="s">
        <v>101</v>
      </c>
      <c r="H67" s="540">
        <v>1</v>
      </c>
      <c r="I67" s="540">
        <v>0.4</v>
      </c>
      <c r="J67" s="97"/>
      <c r="K67" s="97"/>
      <c r="L67" s="559" t="s">
        <v>101</v>
      </c>
      <c r="M67" s="540">
        <v>1</v>
      </c>
      <c r="N67" s="540">
        <v>0.4</v>
      </c>
      <c r="O67" s="97"/>
      <c r="P67" s="97"/>
      <c r="Q67" s="251"/>
      <c r="R67" s="566" t="s">
        <v>101</v>
      </c>
      <c r="S67" s="540">
        <v>1</v>
      </c>
      <c r="T67" s="540">
        <v>0.4</v>
      </c>
      <c r="U67" s="97"/>
      <c r="V67" s="97"/>
      <c r="W67" s="251"/>
      <c r="X67" s="566" t="s">
        <v>101</v>
      </c>
      <c r="Y67" s="540">
        <v>1</v>
      </c>
      <c r="Z67" s="540">
        <v>0.4</v>
      </c>
      <c r="AA67" s="97"/>
      <c r="AB67" s="97"/>
      <c r="AC67" s="251"/>
    </row>
    <row r="68" spans="1:29" ht="13.5" thickBot="1" x14ac:dyDescent="0.25">
      <c r="A68" s="490" t="s">
        <v>115</v>
      </c>
      <c r="B68" s="541">
        <f>B66*B67</f>
        <v>0</v>
      </c>
      <c r="C68" s="629">
        <f>C66*C67</f>
        <v>0</v>
      </c>
      <c r="D68" s="630">
        <f>B68+C68</f>
        <v>0</v>
      </c>
      <c r="E68" s="97"/>
      <c r="F68" s="251"/>
      <c r="G68" s="567" t="s">
        <v>115</v>
      </c>
      <c r="H68" s="541">
        <f>H66*H67</f>
        <v>0</v>
      </c>
      <c r="I68" s="629">
        <f>I66*I67</f>
        <v>0</v>
      </c>
      <c r="J68" s="630">
        <f>H68+I68</f>
        <v>0</v>
      </c>
      <c r="K68" s="97"/>
      <c r="L68" s="490" t="s">
        <v>115</v>
      </c>
      <c r="M68" s="541">
        <f>M66*M67</f>
        <v>0</v>
      </c>
      <c r="N68" s="629">
        <f>N66*N67</f>
        <v>0</v>
      </c>
      <c r="O68" s="630">
        <f>M68+N68</f>
        <v>0</v>
      </c>
      <c r="P68" s="97"/>
      <c r="Q68" s="251"/>
      <c r="R68" s="567" t="s">
        <v>115</v>
      </c>
      <c r="S68" s="541">
        <f>S66*S67</f>
        <v>0</v>
      </c>
      <c r="T68" s="629">
        <f>T66*T67</f>
        <v>0</v>
      </c>
      <c r="U68" s="630">
        <f>S68+T68</f>
        <v>0</v>
      </c>
      <c r="V68" s="97"/>
      <c r="W68" s="251"/>
      <c r="X68" s="567" t="s">
        <v>115</v>
      </c>
      <c r="Y68" s="541">
        <f>Y66*Y67</f>
        <v>0</v>
      </c>
      <c r="Z68" s="629">
        <f>Z66*Z67</f>
        <v>0</v>
      </c>
      <c r="AA68" s="630">
        <f>Y68+Z68</f>
        <v>0</v>
      </c>
      <c r="AB68" s="97"/>
      <c r="AC68" s="251"/>
    </row>
    <row r="69" spans="1:29" x14ac:dyDescent="0.2">
      <c r="A69" s="180"/>
      <c r="B69" s="181"/>
      <c r="C69" s="107"/>
      <c r="D69" s="181"/>
      <c r="E69" s="107"/>
      <c r="F69" s="251"/>
      <c r="G69" s="181"/>
      <c r="H69" s="181"/>
      <c r="I69" s="107"/>
      <c r="J69" s="181"/>
      <c r="K69" s="107"/>
      <c r="L69" s="180"/>
      <c r="M69" s="181"/>
      <c r="N69" s="107"/>
      <c r="O69" s="181"/>
      <c r="P69" s="107"/>
      <c r="Q69" s="251"/>
      <c r="R69" s="181"/>
      <c r="S69" s="181"/>
      <c r="T69" s="107"/>
      <c r="U69" s="181"/>
      <c r="V69" s="107"/>
      <c r="W69" s="251"/>
      <c r="X69" s="181"/>
      <c r="Y69" s="181"/>
      <c r="Z69" s="107"/>
      <c r="AA69" s="181"/>
      <c r="AB69" s="107"/>
      <c r="AC69" s="251"/>
    </row>
    <row r="70" spans="1:29" ht="13.5" thickBot="1" x14ac:dyDescent="0.25">
      <c r="A70" s="180"/>
      <c r="B70" s="181"/>
      <c r="C70" s="107"/>
      <c r="D70" s="181"/>
      <c r="E70" s="107"/>
      <c r="F70" s="251"/>
      <c r="G70" s="181"/>
      <c r="H70" s="181"/>
      <c r="I70" s="107"/>
      <c r="J70" s="181"/>
      <c r="K70" s="107"/>
      <c r="L70" s="180"/>
      <c r="M70" s="181"/>
      <c r="N70" s="107"/>
      <c r="O70" s="181"/>
      <c r="P70" s="107"/>
      <c r="Q70" s="251"/>
      <c r="R70" s="181"/>
      <c r="S70" s="181"/>
      <c r="T70" s="107"/>
      <c r="U70" s="181"/>
      <c r="V70" s="107"/>
      <c r="W70" s="251"/>
      <c r="X70" s="181"/>
      <c r="Y70" s="181"/>
      <c r="Z70" s="107"/>
      <c r="AA70" s="181"/>
      <c r="AB70" s="107"/>
      <c r="AC70" s="251"/>
    </row>
    <row r="71" spans="1:29" ht="13.5" thickBot="1" x14ac:dyDescent="0.25">
      <c r="A71" s="1193" t="s">
        <v>116</v>
      </c>
      <c r="B71" s="1194"/>
      <c r="C71" s="107"/>
      <c r="D71" s="181"/>
      <c r="E71" s="107"/>
      <c r="F71" s="251"/>
      <c r="G71" s="1200" t="s">
        <v>116</v>
      </c>
      <c r="H71" s="1194"/>
      <c r="I71" s="107"/>
      <c r="J71" s="181"/>
      <c r="K71" s="107"/>
      <c r="L71" s="1193" t="s">
        <v>116</v>
      </c>
      <c r="M71" s="1194"/>
      <c r="N71" s="107"/>
      <c r="O71" s="181"/>
      <c r="P71" s="107"/>
      <c r="Q71" s="251"/>
      <c r="R71" s="1200" t="s">
        <v>116</v>
      </c>
      <c r="S71" s="1194"/>
      <c r="T71" s="107"/>
      <c r="U71" s="181"/>
      <c r="V71" s="107"/>
      <c r="W71" s="251"/>
      <c r="X71" s="1200" t="s">
        <v>116</v>
      </c>
      <c r="Y71" s="1194"/>
      <c r="Z71" s="107"/>
      <c r="AA71" s="181"/>
      <c r="AB71" s="107"/>
      <c r="AC71" s="251"/>
    </row>
    <row r="72" spans="1:29" x14ac:dyDescent="0.2">
      <c r="A72" s="568" t="s">
        <v>294</v>
      </c>
      <c r="B72" s="631">
        <f>D68</f>
        <v>0</v>
      </c>
      <c r="C72" s="107"/>
      <c r="D72" s="181"/>
      <c r="E72" s="107"/>
      <c r="F72" s="251"/>
      <c r="G72" s="572" t="s">
        <v>294</v>
      </c>
      <c r="H72" s="632">
        <f>J68</f>
        <v>0</v>
      </c>
      <c r="I72" s="107"/>
      <c r="J72" s="181"/>
      <c r="K72" s="107"/>
      <c r="L72" s="568" t="s">
        <v>294</v>
      </c>
      <c r="M72" s="632">
        <f>O68</f>
        <v>0</v>
      </c>
      <c r="N72" s="107"/>
      <c r="O72" s="181"/>
      <c r="P72" s="107"/>
      <c r="Q72" s="251"/>
      <c r="R72" s="572" t="s">
        <v>294</v>
      </c>
      <c r="S72" s="632">
        <f>U68</f>
        <v>0</v>
      </c>
      <c r="T72" s="107"/>
      <c r="U72" s="181"/>
      <c r="V72" s="107"/>
      <c r="W72" s="251"/>
      <c r="X72" s="572" t="s">
        <v>294</v>
      </c>
      <c r="Y72" s="632">
        <f>AA68</f>
        <v>0</v>
      </c>
      <c r="Z72" s="107"/>
      <c r="AA72" s="181"/>
      <c r="AB72" s="107"/>
      <c r="AC72" s="251"/>
    </row>
    <row r="73" spans="1:29" ht="13.5" thickBot="1" x14ac:dyDescent="0.25">
      <c r="A73" s="569" t="s">
        <v>117</v>
      </c>
      <c r="B73" s="543">
        <f>B13</f>
        <v>5016.8</v>
      </c>
      <c r="C73" s="107"/>
      <c r="D73" s="181"/>
      <c r="E73" s="107"/>
      <c r="F73" s="251"/>
      <c r="G73" s="573" t="s">
        <v>117</v>
      </c>
      <c r="H73" s="543">
        <f>H13</f>
        <v>5016.8</v>
      </c>
      <c r="I73" s="107"/>
      <c r="J73" s="181"/>
      <c r="K73" s="107"/>
      <c r="L73" s="569" t="s">
        <v>117</v>
      </c>
      <c r="M73" s="543">
        <f>M13</f>
        <v>5016.8</v>
      </c>
      <c r="N73" s="107"/>
      <c r="O73" s="181"/>
      <c r="P73" s="107"/>
      <c r="Q73" s="251"/>
      <c r="R73" s="573" t="s">
        <v>117</v>
      </c>
      <c r="S73" s="543">
        <f>S13</f>
        <v>5016.8</v>
      </c>
      <c r="T73" s="107"/>
      <c r="U73" s="181"/>
      <c r="V73" s="107"/>
      <c r="W73" s="251"/>
      <c r="X73" s="573" t="s">
        <v>117</v>
      </c>
      <c r="Y73" s="543">
        <f>Y13</f>
        <v>5016.8</v>
      </c>
      <c r="Z73" s="107"/>
      <c r="AA73" s="181"/>
      <c r="AB73" s="107"/>
      <c r="AC73" s="251"/>
    </row>
    <row r="74" spans="1:29" ht="15.75" thickBot="1" x14ac:dyDescent="0.3">
      <c r="A74" s="537" t="s">
        <v>118</v>
      </c>
      <c r="B74" s="544">
        <f>B72*B73</f>
        <v>0</v>
      </c>
      <c r="C74" s="107"/>
      <c r="D74" s="181"/>
      <c r="E74" s="107"/>
      <c r="F74" s="251"/>
      <c r="G74" s="574" t="s">
        <v>118</v>
      </c>
      <c r="H74" s="544">
        <f>H72*H73</f>
        <v>0</v>
      </c>
      <c r="I74" s="107"/>
      <c r="J74" s="181"/>
      <c r="K74" s="107"/>
      <c r="L74" s="537" t="s">
        <v>118</v>
      </c>
      <c r="M74" s="544">
        <f>M72*M73</f>
        <v>0</v>
      </c>
      <c r="N74" s="107"/>
      <c r="O74" s="181"/>
      <c r="P74" s="107"/>
      <c r="Q74" s="251"/>
      <c r="R74" s="574" t="s">
        <v>118</v>
      </c>
      <c r="S74" s="544">
        <f>S72*S73</f>
        <v>0</v>
      </c>
      <c r="T74" s="107"/>
      <c r="U74" s="181"/>
      <c r="V74" s="107"/>
      <c r="W74" s="251"/>
      <c r="X74" s="574" t="s">
        <v>118</v>
      </c>
      <c r="Y74" s="544">
        <f>Y72*Y73</f>
        <v>0</v>
      </c>
      <c r="Z74" s="107"/>
      <c r="AA74" s="181"/>
      <c r="AB74" s="107"/>
      <c r="AC74" s="251"/>
    </row>
    <row r="75" spans="1:29" ht="15" x14ac:dyDescent="0.25">
      <c r="A75" s="193"/>
      <c r="B75" s="194"/>
      <c r="C75" s="107"/>
      <c r="D75" s="107"/>
      <c r="E75" s="181"/>
      <c r="F75" s="252"/>
      <c r="G75" s="241"/>
      <c r="H75" s="194"/>
      <c r="I75" s="107"/>
      <c r="J75" s="107"/>
      <c r="K75" s="181"/>
      <c r="L75" s="193"/>
      <c r="M75" s="194"/>
      <c r="N75" s="107"/>
      <c r="O75" s="107"/>
      <c r="P75" s="181"/>
      <c r="Q75" s="252"/>
      <c r="R75" s="241"/>
      <c r="S75" s="194"/>
      <c r="T75" s="107"/>
      <c r="U75" s="107"/>
      <c r="V75" s="181"/>
      <c r="W75" s="252"/>
      <c r="X75" s="241"/>
      <c r="Y75" s="194"/>
      <c r="Z75" s="107"/>
      <c r="AA75" s="107"/>
      <c r="AB75" s="181"/>
      <c r="AC75" s="252"/>
    </row>
    <row r="76" spans="1:29" ht="15.75" thickBot="1" x14ac:dyDescent="0.3">
      <c r="A76" s="193"/>
      <c r="B76" s="194"/>
      <c r="C76" s="107"/>
      <c r="D76" s="107"/>
      <c r="E76" s="181"/>
      <c r="F76" s="252"/>
      <c r="G76" s="241"/>
      <c r="H76" s="194"/>
      <c r="I76" s="107"/>
      <c r="J76" s="107"/>
      <c r="K76" s="181"/>
      <c r="L76" s="193"/>
      <c r="M76" s="194"/>
      <c r="N76" s="107"/>
      <c r="O76" s="107"/>
      <c r="P76" s="181"/>
      <c r="Q76" s="252"/>
      <c r="R76" s="241"/>
      <c r="S76" s="194"/>
      <c r="T76" s="107"/>
      <c r="U76" s="107"/>
      <c r="V76" s="181"/>
      <c r="W76" s="252"/>
      <c r="X76" s="241"/>
      <c r="Y76" s="194"/>
      <c r="Z76" s="107"/>
      <c r="AA76" s="107"/>
      <c r="AB76" s="181"/>
      <c r="AC76" s="252"/>
    </row>
    <row r="77" spans="1:29" ht="13.5" thickBot="1" x14ac:dyDescent="0.25">
      <c r="A77" s="1193" t="s">
        <v>119</v>
      </c>
      <c r="B77" s="1194"/>
      <c r="C77" s="107"/>
      <c r="D77" s="107"/>
      <c r="E77" s="181"/>
      <c r="F77" s="250"/>
      <c r="G77" s="1200" t="s">
        <v>119</v>
      </c>
      <c r="H77" s="1194"/>
      <c r="I77" s="107"/>
      <c r="J77" s="107"/>
      <c r="K77" s="181"/>
      <c r="L77" s="1193" t="s">
        <v>119</v>
      </c>
      <c r="M77" s="1194"/>
      <c r="N77" s="107"/>
      <c r="O77" s="107"/>
      <c r="P77" s="181"/>
      <c r="Q77" s="250"/>
      <c r="R77" s="1200" t="s">
        <v>119</v>
      </c>
      <c r="S77" s="1194"/>
      <c r="T77" s="107"/>
      <c r="U77" s="107"/>
      <c r="V77" s="181"/>
      <c r="W77" s="250"/>
      <c r="X77" s="1200" t="s">
        <v>119</v>
      </c>
      <c r="Y77" s="1194"/>
      <c r="Z77" s="107"/>
      <c r="AA77" s="107"/>
      <c r="AB77" s="181"/>
      <c r="AC77" s="250"/>
    </row>
    <row r="78" spans="1:29" x14ac:dyDescent="0.2">
      <c r="A78" s="568" t="s">
        <v>120</v>
      </c>
      <c r="B78" s="542">
        <f>D66</f>
        <v>0</v>
      </c>
      <c r="C78" s="107"/>
      <c r="D78" s="107"/>
      <c r="E78" s="181"/>
      <c r="F78" s="251"/>
      <c r="G78" s="572" t="s">
        <v>120</v>
      </c>
      <c r="H78" s="542">
        <f>J66</f>
        <v>0</v>
      </c>
      <c r="I78" s="107"/>
      <c r="J78" s="107"/>
      <c r="K78" s="181"/>
      <c r="L78" s="568" t="s">
        <v>120</v>
      </c>
      <c r="M78" s="542">
        <f>O66</f>
        <v>0</v>
      </c>
      <c r="N78" s="107"/>
      <c r="O78" s="107"/>
      <c r="P78" s="181"/>
      <c r="Q78" s="251"/>
      <c r="R78" s="572" t="s">
        <v>120</v>
      </c>
      <c r="S78" s="542">
        <f>U66</f>
        <v>0</v>
      </c>
      <c r="T78" s="107"/>
      <c r="U78" s="107"/>
      <c r="V78" s="181"/>
      <c r="W78" s="251"/>
      <c r="X78" s="572" t="s">
        <v>120</v>
      </c>
      <c r="Y78" s="542">
        <f>AA66</f>
        <v>0</v>
      </c>
      <c r="Z78" s="107"/>
      <c r="AA78" s="107"/>
      <c r="AB78" s="181"/>
      <c r="AC78" s="251"/>
    </row>
    <row r="79" spans="1:29" ht="13.5" thickBot="1" x14ac:dyDescent="0.25">
      <c r="A79" s="569" t="s">
        <v>121</v>
      </c>
      <c r="B79" s="543">
        <f>B14</f>
        <v>1973.81</v>
      </c>
      <c r="C79" s="107"/>
      <c r="D79" s="107"/>
      <c r="E79" s="107"/>
      <c r="F79" s="251"/>
      <c r="G79" s="573" t="s">
        <v>121</v>
      </c>
      <c r="H79" s="543">
        <f>H14</f>
        <v>1973.81</v>
      </c>
      <c r="I79" s="107"/>
      <c r="J79" s="107"/>
      <c r="K79" s="107"/>
      <c r="L79" s="569" t="s">
        <v>121</v>
      </c>
      <c r="M79" s="543">
        <f>M14</f>
        <v>1973.81</v>
      </c>
      <c r="N79" s="107"/>
      <c r="O79" s="107"/>
      <c r="P79" s="107"/>
      <c r="Q79" s="251"/>
      <c r="R79" s="573" t="s">
        <v>121</v>
      </c>
      <c r="S79" s="543">
        <f>S14</f>
        <v>1973.81</v>
      </c>
      <c r="T79" s="107"/>
      <c r="U79" s="107"/>
      <c r="V79" s="107"/>
      <c r="W79" s="251"/>
      <c r="X79" s="573" t="s">
        <v>121</v>
      </c>
      <c r="Y79" s="543">
        <f>Y14</f>
        <v>1973.81</v>
      </c>
      <c r="Z79" s="107"/>
      <c r="AA79" s="107"/>
      <c r="AB79" s="107"/>
      <c r="AC79" s="251"/>
    </row>
    <row r="80" spans="1:29" ht="15.75" thickBot="1" x14ac:dyDescent="0.3">
      <c r="A80" s="537" t="s">
        <v>122</v>
      </c>
      <c r="B80" s="544">
        <f>B78*B79</f>
        <v>0</v>
      </c>
      <c r="C80" s="107"/>
      <c r="D80" s="107"/>
      <c r="E80" s="107"/>
      <c r="F80" s="251"/>
      <c r="G80" s="574" t="s">
        <v>122</v>
      </c>
      <c r="H80" s="544">
        <f>H78*H79</f>
        <v>0</v>
      </c>
      <c r="I80" s="107"/>
      <c r="J80" s="107"/>
      <c r="K80" s="107"/>
      <c r="L80" s="537" t="s">
        <v>122</v>
      </c>
      <c r="M80" s="544">
        <f>M78*M79</f>
        <v>0</v>
      </c>
      <c r="N80" s="107"/>
      <c r="O80" s="107"/>
      <c r="P80" s="107"/>
      <c r="Q80" s="251"/>
      <c r="R80" s="574" t="s">
        <v>122</v>
      </c>
      <c r="S80" s="544">
        <f>S78*S79</f>
        <v>0</v>
      </c>
      <c r="T80" s="107"/>
      <c r="U80" s="107"/>
      <c r="V80" s="107"/>
      <c r="W80" s="251"/>
      <c r="X80" s="574" t="s">
        <v>122</v>
      </c>
      <c r="Y80" s="544">
        <f>Y78*Y79</f>
        <v>0</v>
      </c>
      <c r="Z80" s="107"/>
      <c r="AA80" s="107"/>
      <c r="AB80" s="107"/>
      <c r="AC80" s="251"/>
    </row>
    <row r="81" spans="1:29" x14ac:dyDescent="0.2">
      <c r="A81" s="195"/>
      <c r="B81" s="186"/>
      <c r="C81" s="186"/>
      <c r="D81" s="178"/>
      <c r="E81" s="190"/>
      <c r="F81" s="251"/>
      <c r="G81" s="186"/>
      <c r="H81" s="186"/>
      <c r="I81" s="186"/>
      <c r="J81" s="178"/>
      <c r="K81" s="190"/>
      <c r="L81" s="195"/>
      <c r="M81" s="186"/>
      <c r="N81" s="186"/>
      <c r="O81" s="178"/>
      <c r="P81" s="190"/>
      <c r="Q81" s="251"/>
      <c r="R81" s="186"/>
      <c r="S81" s="186"/>
      <c r="T81" s="186"/>
      <c r="U81" s="178"/>
      <c r="V81" s="190"/>
      <c r="W81" s="251"/>
      <c r="X81" s="186"/>
      <c r="Y81" s="186"/>
      <c r="Z81" s="186"/>
      <c r="AA81" s="178"/>
      <c r="AB81" s="190"/>
      <c r="AC81" s="251"/>
    </row>
    <row r="82" spans="1:29" ht="13.5" thickBot="1" x14ac:dyDescent="0.25">
      <c r="A82" s="195"/>
      <c r="B82" s="186"/>
      <c r="C82" s="186"/>
      <c r="D82" s="178"/>
      <c r="E82" s="190"/>
      <c r="F82" s="251"/>
      <c r="G82" s="186"/>
      <c r="H82" s="186"/>
      <c r="I82" s="186"/>
      <c r="J82" s="178"/>
      <c r="K82" s="190"/>
      <c r="L82" s="195"/>
      <c r="M82" s="186"/>
      <c r="N82" s="186"/>
      <c r="O82" s="178"/>
      <c r="P82" s="190"/>
      <c r="Q82" s="251"/>
      <c r="R82" s="186"/>
      <c r="S82" s="186"/>
      <c r="T82" s="186"/>
      <c r="U82" s="178"/>
      <c r="V82" s="190"/>
      <c r="W82" s="251"/>
      <c r="X82" s="186"/>
      <c r="Y82" s="186"/>
      <c r="Z82" s="186"/>
      <c r="AA82" s="178"/>
      <c r="AB82" s="190"/>
      <c r="AC82" s="251"/>
    </row>
    <row r="83" spans="1:29" ht="13.5" thickBot="1" x14ac:dyDescent="0.25">
      <c r="A83" s="1193" t="s">
        <v>123</v>
      </c>
      <c r="B83" s="1194"/>
      <c r="C83" s="186"/>
      <c r="D83" s="178"/>
      <c r="E83" s="190"/>
      <c r="F83" s="251"/>
      <c r="G83" s="1200" t="s">
        <v>123</v>
      </c>
      <c r="H83" s="1194"/>
      <c r="I83" s="186"/>
      <c r="J83" s="178"/>
      <c r="K83" s="190"/>
      <c r="L83" s="1193" t="s">
        <v>123</v>
      </c>
      <c r="M83" s="1194"/>
      <c r="N83" s="186"/>
      <c r="O83" s="178"/>
      <c r="P83" s="190"/>
      <c r="Q83" s="251"/>
      <c r="R83" s="1200" t="s">
        <v>123</v>
      </c>
      <c r="S83" s="1194"/>
      <c r="T83" s="186"/>
      <c r="U83" s="178"/>
      <c r="V83" s="190"/>
      <c r="W83" s="251"/>
      <c r="X83" s="1200" t="s">
        <v>123</v>
      </c>
      <c r="Y83" s="1194"/>
      <c r="Z83" s="186"/>
      <c r="AA83" s="178"/>
      <c r="AB83" s="190"/>
      <c r="AC83" s="251"/>
    </row>
    <row r="84" spans="1:29" x14ac:dyDescent="0.2">
      <c r="A84" s="568" t="s">
        <v>118</v>
      </c>
      <c r="B84" s="546">
        <f>B74</f>
        <v>0</v>
      </c>
      <c r="C84" s="186"/>
      <c r="D84" s="178"/>
      <c r="E84" s="190"/>
      <c r="F84" s="251"/>
      <c r="G84" s="572" t="s">
        <v>118</v>
      </c>
      <c r="H84" s="546">
        <f>H74</f>
        <v>0</v>
      </c>
      <c r="I84" s="186"/>
      <c r="J84" s="178"/>
      <c r="K84" s="190"/>
      <c r="L84" s="568" t="s">
        <v>118</v>
      </c>
      <c r="M84" s="546">
        <f>M74</f>
        <v>0</v>
      </c>
      <c r="N84" s="186"/>
      <c r="O84" s="178"/>
      <c r="P84" s="190"/>
      <c r="Q84" s="251"/>
      <c r="R84" s="572" t="s">
        <v>118</v>
      </c>
      <c r="S84" s="546">
        <f>S74</f>
        <v>0</v>
      </c>
      <c r="T84" s="186"/>
      <c r="U84" s="178"/>
      <c r="V84" s="190"/>
      <c r="W84" s="251"/>
      <c r="X84" s="572" t="s">
        <v>118</v>
      </c>
      <c r="Y84" s="546">
        <f>Y74</f>
        <v>0</v>
      </c>
      <c r="Z84" s="186"/>
      <c r="AA84" s="178"/>
      <c r="AB84" s="190"/>
      <c r="AC84" s="251"/>
    </row>
    <row r="85" spans="1:29" ht="13.5" thickBot="1" x14ac:dyDescent="0.25">
      <c r="A85" s="568" t="s">
        <v>122</v>
      </c>
      <c r="B85" s="547">
        <f>B80</f>
        <v>0</v>
      </c>
      <c r="C85" s="186"/>
      <c r="D85" s="178"/>
      <c r="E85" s="190"/>
      <c r="F85" s="251"/>
      <c r="G85" s="572" t="s">
        <v>122</v>
      </c>
      <c r="H85" s="547">
        <f>H80</f>
        <v>0</v>
      </c>
      <c r="I85" s="186"/>
      <c r="J85" s="178"/>
      <c r="K85" s="190"/>
      <c r="L85" s="568" t="s">
        <v>122</v>
      </c>
      <c r="M85" s="547">
        <f>M80</f>
        <v>0</v>
      </c>
      <c r="N85" s="186"/>
      <c r="O85" s="178"/>
      <c r="P85" s="190"/>
      <c r="Q85" s="251"/>
      <c r="R85" s="572" t="s">
        <v>122</v>
      </c>
      <c r="S85" s="547">
        <f>S80</f>
        <v>0</v>
      </c>
      <c r="T85" s="186"/>
      <c r="U85" s="178"/>
      <c r="V85" s="190"/>
      <c r="W85" s="251"/>
      <c r="X85" s="572" t="s">
        <v>122</v>
      </c>
      <c r="Y85" s="547">
        <f>Y80</f>
        <v>0</v>
      </c>
      <c r="Z85" s="186"/>
      <c r="AA85" s="178"/>
      <c r="AB85" s="190"/>
      <c r="AC85" s="251"/>
    </row>
    <row r="86" spans="1:29" ht="15.75" thickBot="1" x14ac:dyDescent="0.3">
      <c r="A86" s="537" t="s">
        <v>124</v>
      </c>
      <c r="B86" s="544">
        <f>B84+B85</f>
        <v>0</v>
      </c>
      <c r="C86" s="186"/>
      <c r="D86" s="178"/>
      <c r="E86" s="190"/>
      <c r="F86" s="251"/>
      <c r="G86" s="574" t="s">
        <v>124</v>
      </c>
      <c r="H86" s="544">
        <f>H84+H85</f>
        <v>0</v>
      </c>
      <c r="I86" s="186"/>
      <c r="J86" s="178"/>
      <c r="K86" s="190"/>
      <c r="L86" s="537" t="s">
        <v>124</v>
      </c>
      <c r="M86" s="544">
        <f>M84+M85</f>
        <v>0</v>
      </c>
      <c r="N86" s="186"/>
      <c r="O86" s="178"/>
      <c r="P86" s="190"/>
      <c r="Q86" s="251"/>
      <c r="R86" s="574" t="s">
        <v>124</v>
      </c>
      <c r="S86" s="544">
        <f>S84+S85</f>
        <v>0</v>
      </c>
      <c r="T86" s="186"/>
      <c r="U86" s="178"/>
      <c r="V86" s="190"/>
      <c r="W86" s="251"/>
      <c r="X86" s="574" t="s">
        <v>124</v>
      </c>
      <c r="Y86" s="544">
        <f>Y84+Y85</f>
        <v>0</v>
      </c>
      <c r="Z86" s="186"/>
      <c r="AA86" s="178"/>
      <c r="AB86" s="190"/>
      <c r="AC86" s="251"/>
    </row>
    <row r="87" spans="1:29" x14ac:dyDescent="0.2">
      <c r="A87" s="195"/>
      <c r="B87" s="186"/>
      <c r="C87" s="186"/>
      <c r="D87" s="178"/>
      <c r="E87" s="190"/>
      <c r="F87" s="251"/>
      <c r="G87" s="186"/>
      <c r="H87" s="186"/>
      <c r="I87" s="186"/>
      <c r="J87" s="178"/>
      <c r="K87" s="190"/>
      <c r="L87" s="195"/>
      <c r="M87" s="186"/>
      <c r="N87" s="186"/>
      <c r="O87" s="178"/>
      <c r="P87" s="190"/>
      <c r="Q87" s="251"/>
      <c r="R87" s="186"/>
      <c r="S87" s="186"/>
      <c r="T87" s="186"/>
      <c r="U87" s="178"/>
      <c r="V87" s="190"/>
      <c r="W87" s="251"/>
      <c r="X87" s="186"/>
      <c r="Y87" s="186"/>
      <c r="Z87" s="186"/>
      <c r="AA87" s="178"/>
      <c r="AB87" s="190"/>
      <c r="AC87" s="251"/>
    </row>
    <row r="88" spans="1:29" x14ac:dyDescent="0.2">
      <c r="A88" s="195"/>
      <c r="B88" s="186"/>
      <c r="C88" s="186"/>
      <c r="D88" s="178"/>
      <c r="E88" s="190"/>
      <c r="F88" s="251"/>
      <c r="G88" s="186"/>
      <c r="H88" s="186"/>
      <c r="I88" s="186"/>
      <c r="J88" s="178"/>
      <c r="K88" s="190"/>
      <c r="L88" s="195"/>
      <c r="M88" s="186"/>
      <c r="N88" s="186"/>
      <c r="O88" s="178"/>
      <c r="P88" s="190"/>
      <c r="Q88" s="251"/>
      <c r="R88" s="186"/>
      <c r="S88" s="186"/>
      <c r="T88" s="186"/>
      <c r="U88" s="178"/>
      <c r="V88" s="190"/>
      <c r="W88" s="251"/>
      <c r="X88" s="186"/>
      <c r="Y88" s="186"/>
      <c r="Z88" s="186"/>
      <c r="AA88" s="178"/>
      <c r="AB88" s="190"/>
      <c r="AC88" s="251"/>
    </row>
    <row r="89" spans="1:29" x14ac:dyDescent="0.2">
      <c r="A89" s="195"/>
      <c r="B89" s="186"/>
      <c r="C89" s="186"/>
      <c r="D89" s="178"/>
      <c r="E89" s="190"/>
      <c r="F89" s="251"/>
      <c r="G89" s="186"/>
      <c r="H89" s="186"/>
      <c r="I89" s="186"/>
      <c r="J89" s="178"/>
      <c r="K89" s="190"/>
      <c r="L89" s="195"/>
      <c r="M89" s="186"/>
      <c r="N89" s="186"/>
      <c r="O89" s="178"/>
      <c r="P89" s="190"/>
      <c r="Q89" s="251"/>
      <c r="R89" s="186"/>
      <c r="S89" s="186"/>
      <c r="T89" s="186"/>
      <c r="U89" s="178"/>
      <c r="V89" s="190"/>
      <c r="W89" s="251"/>
      <c r="X89" s="186"/>
      <c r="Y89" s="186"/>
      <c r="Z89" s="186"/>
      <c r="AA89" s="178"/>
      <c r="AB89" s="190"/>
      <c r="AC89" s="251"/>
    </row>
    <row r="90" spans="1:29" ht="13.5" thickBot="1" x14ac:dyDescent="0.25">
      <c r="A90" s="195"/>
      <c r="B90" s="186"/>
      <c r="C90" s="186"/>
      <c r="D90" s="178"/>
      <c r="E90" s="190"/>
      <c r="F90" s="251"/>
      <c r="G90" s="186"/>
      <c r="H90" s="186"/>
      <c r="I90" s="186"/>
      <c r="J90" s="178"/>
      <c r="K90" s="190"/>
      <c r="L90" s="439"/>
      <c r="M90" s="440"/>
      <c r="N90" s="186"/>
      <c r="O90" s="178"/>
      <c r="P90" s="190"/>
      <c r="Q90" s="251"/>
      <c r="R90" s="186"/>
      <c r="S90" s="186"/>
      <c r="T90" s="186"/>
      <c r="U90" s="178"/>
      <c r="V90" s="190"/>
      <c r="W90" s="251"/>
      <c r="X90" s="186"/>
      <c r="Y90" s="186"/>
      <c r="Z90" s="186"/>
      <c r="AA90" s="178"/>
      <c r="AB90" s="190"/>
      <c r="AC90" s="251"/>
    </row>
    <row r="91" spans="1:29" ht="16.5" customHeight="1" thickBot="1" x14ac:dyDescent="0.3">
      <c r="A91" s="1191" t="s">
        <v>285</v>
      </c>
      <c r="B91" s="1192"/>
      <c r="C91" s="1192"/>
      <c r="D91" s="1192"/>
      <c r="E91" s="1228"/>
      <c r="F91" s="663"/>
      <c r="G91" s="1191" t="s">
        <v>285</v>
      </c>
      <c r="H91" s="1192"/>
      <c r="I91" s="1192"/>
      <c r="J91" s="1192"/>
      <c r="K91" s="1192"/>
      <c r="L91" s="1191" t="s">
        <v>285</v>
      </c>
      <c r="M91" s="1192"/>
      <c r="N91" s="1192"/>
      <c r="O91" s="1192"/>
      <c r="P91" s="1228"/>
      <c r="Q91" s="251"/>
      <c r="R91" s="1191" t="s">
        <v>285</v>
      </c>
      <c r="S91" s="1192"/>
      <c r="T91" s="1192"/>
      <c r="U91" s="1192"/>
      <c r="V91" s="1228"/>
      <c r="W91" s="251"/>
      <c r="X91" s="1191" t="s">
        <v>285</v>
      </c>
      <c r="Y91" s="1192"/>
      <c r="Z91" s="1192"/>
      <c r="AA91" s="1192"/>
      <c r="AB91" s="1228"/>
      <c r="AC91" s="251"/>
    </row>
    <row r="92" spans="1:29" ht="34.5" customHeight="1" thickBot="1" x14ac:dyDescent="0.3">
      <c r="A92" s="1209" t="s">
        <v>428</v>
      </c>
      <c r="B92" s="1210"/>
      <c r="C92" s="1210"/>
      <c r="D92" s="1210"/>
      <c r="E92" s="1229"/>
      <c r="F92" s="664"/>
      <c r="G92" s="1209" t="s">
        <v>428</v>
      </c>
      <c r="H92" s="1210"/>
      <c r="I92" s="1210"/>
      <c r="J92" s="1210"/>
      <c r="K92" s="1210"/>
      <c r="L92" s="1209" t="s">
        <v>428</v>
      </c>
      <c r="M92" s="1210"/>
      <c r="N92" s="1210"/>
      <c r="O92" s="1210"/>
      <c r="P92" s="1229"/>
      <c r="Q92" s="251"/>
      <c r="R92" s="1209" t="s">
        <v>428</v>
      </c>
      <c r="S92" s="1210"/>
      <c r="T92" s="1210"/>
      <c r="U92" s="1210"/>
      <c r="V92" s="1229"/>
      <c r="W92" s="251"/>
      <c r="X92" s="1209" t="s">
        <v>428</v>
      </c>
      <c r="Y92" s="1210"/>
      <c r="Z92" s="1210"/>
      <c r="AA92" s="1210"/>
      <c r="AB92" s="1229"/>
      <c r="AC92" s="251"/>
    </row>
    <row r="93" spans="1:29" ht="16.5" thickBot="1" x14ac:dyDescent="0.3">
      <c r="A93" s="174"/>
      <c r="B93" s="175"/>
      <c r="C93" s="175"/>
      <c r="D93" s="173"/>
      <c r="E93" s="447"/>
      <c r="F93" s="665"/>
      <c r="G93" s="174"/>
      <c r="H93" s="175"/>
      <c r="I93" s="175"/>
      <c r="J93" s="173"/>
      <c r="K93" s="173"/>
      <c r="L93" s="174"/>
      <c r="M93" s="175"/>
      <c r="N93" s="175"/>
      <c r="O93" s="173"/>
      <c r="P93" s="173"/>
      <c r="Q93" s="251"/>
      <c r="R93" s="174"/>
      <c r="S93" s="175"/>
      <c r="T93" s="175"/>
      <c r="U93" s="173"/>
      <c r="V93" s="173"/>
      <c r="W93" s="251"/>
      <c r="X93" s="174"/>
      <c r="Y93" s="175"/>
      <c r="Z93" s="175"/>
      <c r="AA93" s="173"/>
      <c r="AB93" s="173"/>
      <c r="AC93" s="251"/>
    </row>
    <row r="94" spans="1:29" ht="26.25" thickBot="1" x14ac:dyDescent="0.25">
      <c r="A94" s="490" t="s">
        <v>95</v>
      </c>
      <c r="B94" s="938" t="s">
        <v>458</v>
      </c>
      <c r="C94" s="579" t="s">
        <v>127</v>
      </c>
      <c r="D94" s="490" t="s">
        <v>97</v>
      </c>
      <c r="E94" s="570" t="s">
        <v>38</v>
      </c>
      <c r="F94" s="666"/>
      <c r="G94" s="490" t="s">
        <v>95</v>
      </c>
      <c r="H94" s="578" t="str">
        <f>B94</f>
        <v>Gen Ed and  LRE1Students</v>
      </c>
      <c r="I94" s="627" t="s">
        <v>127</v>
      </c>
      <c r="J94" s="490" t="s">
        <v>331</v>
      </c>
      <c r="K94" s="570" t="s">
        <v>38</v>
      </c>
      <c r="L94" s="490" t="s">
        <v>95</v>
      </c>
      <c r="M94" s="1012" t="str">
        <f>B94</f>
        <v>Gen Ed and  LRE1Students</v>
      </c>
      <c r="N94" s="1015" t="str">
        <f>C94</f>
        <v>LRE2 Students</v>
      </c>
      <c r="O94" s="490" t="str">
        <f>D94</f>
        <v>LRE3 Students</v>
      </c>
      <c r="P94" s="490" t="str">
        <f>K94</f>
        <v>Total Enrollment</v>
      </c>
      <c r="Q94" s="251"/>
      <c r="R94" s="490" t="s">
        <v>95</v>
      </c>
      <c r="S94" s="938" t="str">
        <f>H94</f>
        <v>Gen Ed and  LRE1Students</v>
      </c>
      <c r="T94" s="939" t="s">
        <v>127</v>
      </c>
      <c r="U94" s="490" t="s">
        <v>97</v>
      </c>
      <c r="V94" s="490" t="str">
        <f>K94</f>
        <v>Total Enrollment</v>
      </c>
      <c r="W94" s="251"/>
      <c r="X94" s="490" t="s">
        <v>95</v>
      </c>
      <c r="Y94" s="578" t="str">
        <f>B94</f>
        <v>Gen Ed and  LRE1Students</v>
      </c>
      <c r="Z94" s="938" t="str">
        <f>C94</f>
        <v>LRE2 Students</v>
      </c>
      <c r="AA94" s="597" t="str">
        <f>D94</f>
        <v>LRE3 Students</v>
      </c>
      <c r="AB94" s="597" t="str">
        <f>E94</f>
        <v>Total Enrollment</v>
      </c>
      <c r="AC94" s="251"/>
    </row>
    <row r="95" spans="1:29" x14ac:dyDescent="0.2">
      <c r="A95" s="533">
        <v>6</v>
      </c>
      <c r="B95" s="177"/>
      <c r="C95" s="179"/>
      <c r="D95" s="845"/>
      <c r="E95" s="548">
        <f>SUM(B95:D95)</f>
        <v>0</v>
      </c>
      <c r="F95" s="667"/>
      <c r="G95" s="533">
        <v>6</v>
      </c>
      <c r="H95" s="177"/>
      <c r="I95" s="179"/>
      <c r="J95" s="847"/>
      <c r="K95" s="548">
        <f>SUM(H95:J95)</f>
        <v>0</v>
      </c>
      <c r="L95" s="533">
        <v>6</v>
      </c>
      <c r="M95" s="989"/>
      <c r="N95" s="989"/>
      <c r="O95" s="989"/>
      <c r="P95" s="534">
        <f>SUM(M95:O95)</f>
        <v>0</v>
      </c>
      <c r="Q95" s="678"/>
      <c r="R95" s="533">
        <v>6</v>
      </c>
      <c r="S95" s="989"/>
      <c r="T95" s="989"/>
      <c r="U95" s="989"/>
      <c r="V95" s="644">
        <f>SUM(S95:U95)</f>
        <v>0</v>
      </c>
      <c r="W95" s="251"/>
      <c r="X95" s="533">
        <v>6</v>
      </c>
      <c r="Y95" s="989"/>
      <c r="Z95" s="989"/>
      <c r="AA95" s="989"/>
      <c r="AB95" s="644">
        <f>SUM(Y95:AA95)</f>
        <v>0</v>
      </c>
      <c r="AC95" s="251"/>
    </row>
    <row r="96" spans="1:29" x14ac:dyDescent="0.2">
      <c r="A96" s="533">
        <v>7</v>
      </c>
      <c r="B96" s="177"/>
      <c r="C96" s="179"/>
      <c r="D96" s="845"/>
      <c r="E96" s="548">
        <f>SUM(B96:D96)</f>
        <v>0</v>
      </c>
      <c r="F96" s="667"/>
      <c r="G96" s="533">
        <v>7</v>
      </c>
      <c r="H96" s="177"/>
      <c r="I96" s="179"/>
      <c r="J96" s="847"/>
      <c r="K96" s="548">
        <f>SUM(H96:J96)</f>
        <v>0</v>
      </c>
      <c r="L96" s="533">
        <v>7</v>
      </c>
      <c r="M96" s="989"/>
      <c r="N96" s="989"/>
      <c r="O96" s="989"/>
      <c r="P96" s="535">
        <f>SUM(M96:O96)</f>
        <v>0</v>
      </c>
      <c r="Q96" s="678"/>
      <c r="R96" s="533">
        <v>7</v>
      </c>
      <c r="S96" s="989"/>
      <c r="T96" s="989"/>
      <c r="U96" s="989"/>
      <c r="V96" s="644">
        <f>SUM(S96:U96)</f>
        <v>0</v>
      </c>
      <c r="W96" s="251"/>
      <c r="X96" s="533">
        <v>7</v>
      </c>
      <c r="Y96" s="989"/>
      <c r="Z96" s="989"/>
      <c r="AA96" s="989"/>
      <c r="AB96" s="644">
        <f>SUM(Y96:AA96)</f>
        <v>0</v>
      </c>
      <c r="AC96" s="251"/>
    </row>
    <row r="97" spans="1:29" ht="13.5" thickBot="1" x14ac:dyDescent="0.25">
      <c r="A97" s="577">
        <v>8</v>
      </c>
      <c r="B97" s="177"/>
      <c r="C97" s="582"/>
      <c r="D97" s="846"/>
      <c r="E97" s="581">
        <f>SUM(B97:D97)</f>
        <v>0</v>
      </c>
      <c r="F97" s="668"/>
      <c r="G97" s="577">
        <v>8</v>
      </c>
      <c r="H97" s="177"/>
      <c r="I97" s="179"/>
      <c r="J97" s="848"/>
      <c r="K97" s="581">
        <f>SUM(H97:J97)</f>
        <v>0</v>
      </c>
      <c r="L97" s="577">
        <v>8</v>
      </c>
      <c r="M97" s="989"/>
      <c r="N97" s="989"/>
      <c r="O97" s="990"/>
      <c r="P97" s="536">
        <f>SUM(M97:O97)</f>
        <v>0</v>
      </c>
      <c r="Q97" s="678"/>
      <c r="R97" s="577">
        <v>8</v>
      </c>
      <c r="S97" s="989"/>
      <c r="T97" s="989"/>
      <c r="U97" s="989"/>
      <c r="V97" s="644">
        <f>SUM(S97:U97)</f>
        <v>0</v>
      </c>
      <c r="W97" s="251"/>
      <c r="X97" s="577">
        <v>8</v>
      </c>
      <c r="Y97" s="989"/>
      <c r="Z97" s="989"/>
      <c r="AA97" s="989"/>
      <c r="AB97" s="644">
        <f>SUM(Y97:AA97)</f>
        <v>0</v>
      </c>
      <c r="AC97" s="251"/>
    </row>
    <row r="98" spans="1:29" ht="13.5" thickBot="1" x14ac:dyDescent="0.25">
      <c r="A98" s="558" t="s">
        <v>300</v>
      </c>
      <c r="B98" s="539">
        <f>SUM(B95:B97)</f>
        <v>0</v>
      </c>
      <c r="C98" s="541">
        <f>SUM(C95:C97)</f>
        <v>0</v>
      </c>
      <c r="D98" s="541">
        <f>SUM(D95:D97)</f>
        <v>0</v>
      </c>
      <c r="E98" s="537">
        <f>SUM(E95:E97)</f>
        <v>0</v>
      </c>
      <c r="F98" s="666"/>
      <c r="G98" s="558" t="s">
        <v>300</v>
      </c>
      <c r="H98" s="538">
        <f>SUM(H95:H97)</f>
        <v>0</v>
      </c>
      <c r="I98" s="539">
        <f>SUM(I95:I97)</f>
        <v>0</v>
      </c>
      <c r="J98" s="541">
        <f>SUM(J95:J97)</f>
        <v>0</v>
      </c>
      <c r="K98" s="549">
        <f>SUM(K95:K97)</f>
        <v>0</v>
      </c>
      <c r="L98" s="558" t="s">
        <v>300</v>
      </c>
      <c r="M98" s="538">
        <f>SUM(M95:M97)</f>
        <v>0</v>
      </c>
      <c r="N98" s="539">
        <f>SUM(N95:N97)</f>
        <v>0</v>
      </c>
      <c r="O98" s="539">
        <f>SUM(O95:O97)</f>
        <v>0</v>
      </c>
      <c r="P98" s="541">
        <f>SUM(P95:P97)</f>
        <v>0</v>
      </c>
      <c r="Q98" s="251"/>
      <c r="R98" s="558" t="s">
        <v>300</v>
      </c>
      <c r="S98" s="538">
        <f>SUM(S95:S97)</f>
        <v>0</v>
      </c>
      <c r="T98" s="539">
        <f>SUM(T95:T97)</f>
        <v>0</v>
      </c>
      <c r="U98" s="539">
        <f>SUM(U95:U97)</f>
        <v>0</v>
      </c>
      <c r="V98" s="539">
        <f>SUM(V95:V97)</f>
        <v>0</v>
      </c>
      <c r="W98" s="251"/>
      <c r="X98" s="558" t="s">
        <v>300</v>
      </c>
      <c r="Y98" s="538">
        <f>SUM(Y95:Y97)</f>
        <v>0</v>
      </c>
      <c r="Z98" s="539">
        <f>SUM(Z95:Z97)</f>
        <v>0</v>
      </c>
      <c r="AA98" s="541">
        <f>SUM(AA95:AA97)</f>
        <v>0</v>
      </c>
      <c r="AB98" s="541">
        <f>SUM(AB95:AB97)</f>
        <v>0</v>
      </c>
      <c r="AC98" s="251"/>
    </row>
    <row r="99" spans="1:29" ht="13.5" thickBot="1" x14ac:dyDescent="0.25">
      <c r="A99" s="559" t="s">
        <v>101</v>
      </c>
      <c r="B99" s="540">
        <v>1</v>
      </c>
      <c r="C99" s="633">
        <v>0.7</v>
      </c>
      <c r="D99" s="634">
        <v>0.4</v>
      </c>
      <c r="E99" s="192"/>
      <c r="F99" s="666"/>
      <c r="G99" s="559" t="s">
        <v>101</v>
      </c>
      <c r="H99" s="540">
        <v>1</v>
      </c>
      <c r="I99" s="633">
        <v>0.7</v>
      </c>
      <c r="J99" s="634">
        <v>0.4</v>
      </c>
      <c r="K99" s="97"/>
      <c r="L99" s="559" t="s">
        <v>101</v>
      </c>
      <c r="M99" s="540">
        <v>1</v>
      </c>
      <c r="N99" s="540">
        <v>0.7</v>
      </c>
      <c r="O99" s="540">
        <v>0.4</v>
      </c>
      <c r="P99" s="97"/>
      <c r="Q99" s="251"/>
      <c r="R99" s="559" t="s">
        <v>101</v>
      </c>
      <c r="S99" s="540">
        <v>1</v>
      </c>
      <c r="T99" s="540">
        <v>0.7</v>
      </c>
      <c r="U99" s="540">
        <v>0.4</v>
      </c>
      <c r="V99" s="945"/>
      <c r="W99" s="251"/>
      <c r="X99" s="559" t="s">
        <v>101</v>
      </c>
      <c r="Y99" s="540">
        <v>1</v>
      </c>
      <c r="Z99" s="540">
        <v>0.7</v>
      </c>
      <c r="AA99" s="540">
        <v>0.4</v>
      </c>
      <c r="AB99" s="97"/>
      <c r="AC99" s="251"/>
    </row>
    <row r="100" spans="1:29" ht="13.5" thickBot="1" x14ac:dyDescent="0.25">
      <c r="A100" s="490" t="s">
        <v>296</v>
      </c>
      <c r="B100" s="541">
        <f>B98*B99</f>
        <v>0</v>
      </c>
      <c r="C100" s="541">
        <f>C98*C99</f>
        <v>0</v>
      </c>
      <c r="D100" s="541">
        <f>D98*D99</f>
        <v>0</v>
      </c>
      <c r="E100" s="537">
        <f>SUM(B100:D100)</f>
        <v>0</v>
      </c>
      <c r="F100" s="666"/>
      <c r="G100" s="490" t="s">
        <v>296</v>
      </c>
      <c r="H100" s="541">
        <f>H98*H99</f>
        <v>0</v>
      </c>
      <c r="I100" s="541">
        <f>I98*I99</f>
        <v>0</v>
      </c>
      <c r="J100" s="541">
        <f>J98*J99</f>
        <v>0</v>
      </c>
      <c r="K100" s="549">
        <f>SUM(H100:J100)</f>
        <v>0</v>
      </c>
      <c r="L100" s="490" t="s">
        <v>296</v>
      </c>
      <c r="M100" s="541">
        <f>M98*M99</f>
        <v>0</v>
      </c>
      <c r="N100" s="541">
        <f>N98*N99</f>
        <v>0</v>
      </c>
      <c r="O100" s="537">
        <f>O98*O99</f>
        <v>0</v>
      </c>
      <c r="P100" s="944">
        <f>SUM(M100:O100)</f>
        <v>0</v>
      </c>
      <c r="Q100" s="251"/>
      <c r="R100" s="490" t="s">
        <v>296</v>
      </c>
      <c r="S100" s="541">
        <f>S98*S99</f>
        <v>0</v>
      </c>
      <c r="T100" s="541">
        <f>T98*T99</f>
        <v>0</v>
      </c>
      <c r="U100" s="537">
        <f>U98*U99</f>
        <v>0</v>
      </c>
      <c r="V100" s="944">
        <f>SUM(S100:U100)</f>
        <v>0</v>
      </c>
      <c r="W100" s="251"/>
      <c r="X100" s="490" t="s">
        <v>296</v>
      </c>
      <c r="Y100" s="541">
        <f>Y98*Y99</f>
        <v>0</v>
      </c>
      <c r="Z100" s="541">
        <f>Z98*Z99</f>
        <v>0</v>
      </c>
      <c r="AA100" s="537">
        <f>AA98*AA99</f>
        <v>0</v>
      </c>
      <c r="AB100" s="944">
        <f>SUM(Y100:AA100)</f>
        <v>0</v>
      </c>
      <c r="AC100" s="251"/>
    </row>
    <row r="101" spans="1:29" x14ac:dyDescent="0.2">
      <c r="A101" s="180"/>
      <c r="B101" s="181"/>
      <c r="C101" s="107"/>
      <c r="D101" s="181"/>
      <c r="E101" s="176"/>
      <c r="F101" s="669"/>
      <c r="G101" s="180"/>
      <c r="H101" s="181"/>
      <c r="I101" s="107"/>
      <c r="J101" s="181"/>
      <c r="K101" s="107"/>
      <c r="L101" s="180"/>
      <c r="M101" s="181"/>
      <c r="N101" s="107"/>
      <c r="O101" s="181"/>
      <c r="P101" s="107"/>
      <c r="Q101" s="251"/>
      <c r="R101" s="180"/>
      <c r="S101" s="181"/>
      <c r="T101" s="107"/>
      <c r="U101" s="181"/>
      <c r="V101" s="107"/>
      <c r="W101" s="251"/>
      <c r="X101" s="180"/>
      <c r="Y101" s="181"/>
      <c r="Z101" s="107"/>
      <c r="AA101" s="181"/>
      <c r="AB101" s="107"/>
      <c r="AC101" s="251"/>
    </row>
    <row r="102" spans="1:29" ht="13.5" thickBot="1" x14ac:dyDescent="0.25">
      <c r="A102" s="180"/>
      <c r="B102" s="181"/>
      <c r="C102" s="107"/>
      <c r="D102" s="181"/>
      <c r="E102" s="176"/>
      <c r="F102" s="669"/>
      <c r="G102" s="180"/>
      <c r="H102" s="181"/>
      <c r="I102" s="107"/>
      <c r="J102" s="181"/>
      <c r="K102" s="107"/>
      <c r="L102" s="180"/>
      <c r="M102" s="181"/>
      <c r="N102" s="107"/>
      <c r="O102" s="181"/>
      <c r="P102" s="107"/>
      <c r="Q102" s="251"/>
      <c r="R102" s="180"/>
      <c r="S102" s="181"/>
      <c r="T102" s="107"/>
      <c r="U102" s="181"/>
      <c r="V102" s="107"/>
      <c r="W102" s="251"/>
      <c r="X102" s="180"/>
      <c r="Y102" s="181"/>
      <c r="Z102" s="107"/>
      <c r="AA102" s="181"/>
      <c r="AB102" s="107"/>
      <c r="AC102" s="251"/>
    </row>
    <row r="103" spans="1:29" ht="13.5" thickBot="1" x14ac:dyDescent="0.25">
      <c r="A103" s="1193" t="s">
        <v>301</v>
      </c>
      <c r="B103" s="1194"/>
      <c r="C103" s="107"/>
      <c r="D103" s="181"/>
      <c r="E103" s="176"/>
      <c r="F103" s="985"/>
      <c r="G103" s="1193" t="s">
        <v>301</v>
      </c>
      <c r="H103" s="1194"/>
      <c r="I103" s="107"/>
      <c r="J103" s="181"/>
      <c r="K103" s="107"/>
      <c r="L103" s="1193" t="s">
        <v>301</v>
      </c>
      <c r="M103" s="1194"/>
      <c r="N103" s="107"/>
      <c r="O103" s="181"/>
      <c r="P103" s="107"/>
      <c r="Q103" s="251"/>
      <c r="R103" s="1193" t="s">
        <v>301</v>
      </c>
      <c r="S103" s="1194"/>
      <c r="T103" s="107"/>
      <c r="U103" s="181"/>
      <c r="V103" s="107"/>
      <c r="W103" s="251"/>
      <c r="X103" s="1193" t="s">
        <v>301</v>
      </c>
      <c r="Y103" s="1194"/>
      <c r="Z103" s="107"/>
      <c r="AA103" s="181"/>
      <c r="AB103" s="107"/>
      <c r="AC103" s="251"/>
    </row>
    <row r="104" spans="1:29" x14ac:dyDescent="0.2">
      <c r="A104" s="568" t="s">
        <v>297</v>
      </c>
      <c r="B104" s="542">
        <f>E100</f>
        <v>0</v>
      </c>
      <c r="C104" s="107"/>
      <c r="D104" s="181"/>
      <c r="E104" s="176"/>
      <c r="F104" s="670"/>
      <c r="G104" s="568" t="s">
        <v>297</v>
      </c>
      <c r="H104" s="542">
        <f>K100</f>
        <v>0</v>
      </c>
      <c r="I104" s="107"/>
      <c r="J104" s="181"/>
      <c r="K104" s="107"/>
      <c r="L104" s="568" t="s">
        <v>297</v>
      </c>
      <c r="M104" s="542">
        <f>P100</f>
        <v>0</v>
      </c>
      <c r="N104" s="107"/>
      <c r="O104" s="181"/>
      <c r="P104" s="107"/>
      <c r="Q104" s="251"/>
      <c r="R104" s="568" t="s">
        <v>297</v>
      </c>
      <c r="S104" s="542">
        <f>V100</f>
        <v>0</v>
      </c>
      <c r="T104" s="107"/>
      <c r="U104" s="181"/>
      <c r="V104" s="107"/>
      <c r="W104" s="251"/>
      <c r="X104" s="568" t="s">
        <v>297</v>
      </c>
      <c r="Y104" s="542">
        <f>AB100</f>
        <v>0</v>
      </c>
      <c r="Z104" s="107"/>
      <c r="AA104" s="181"/>
      <c r="AB104" s="107"/>
      <c r="AC104" s="251"/>
    </row>
    <row r="105" spans="1:29" ht="13.5" thickBot="1" x14ac:dyDescent="0.25">
      <c r="A105" s="569" t="s">
        <v>288</v>
      </c>
      <c r="B105" s="543">
        <f>B15</f>
        <v>6220.83</v>
      </c>
      <c r="C105" s="107"/>
      <c r="D105" s="181"/>
      <c r="E105" s="176"/>
      <c r="F105" s="671"/>
      <c r="G105" s="569" t="s">
        <v>288</v>
      </c>
      <c r="H105" s="543">
        <f>H15</f>
        <v>6220.83</v>
      </c>
      <c r="I105" s="107"/>
      <c r="J105" s="181"/>
      <c r="K105" s="107"/>
      <c r="L105" s="569" t="s">
        <v>288</v>
      </c>
      <c r="M105" s="543">
        <f>M15</f>
        <v>6220.83</v>
      </c>
      <c r="N105" s="107"/>
      <c r="O105" s="181"/>
      <c r="P105" s="107"/>
      <c r="Q105" s="251"/>
      <c r="R105" s="569" t="s">
        <v>288</v>
      </c>
      <c r="S105" s="543">
        <f>S15</f>
        <v>6220.83</v>
      </c>
      <c r="T105" s="107"/>
      <c r="U105" s="181"/>
      <c r="V105" s="107"/>
      <c r="W105" s="251"/>
      <c r="X105" s="569" t="s">
        <v>288</v>
      </c>
      <c r="Y105" s="543">
        <f>Y15</f>
        <v>6220.83</v>
      </c>
      <c r="Z105" s="107"/>
      <c r="AA105" s="181"/>
      <c r="AB105" s="107"/>
      <c r="AC105" s="251"/>
    </row>
    <row r="106" spans="1:29" ht="15.75" thickBot="1" x14ac:dyDescent="0.3">
      <c r="A106" s="537" t="s">
        <v>289</v>
      </c>
      <c r="B106" s="544">
        <f>B104*B105</f>
        <v>0</v>
      </c>
      <c r="C106" s="107"/>
      <c r="D106" s="181"/>
      <c r="E106" s="176"/>
      <c r="F106" s="672"/>
      <c r="G106" s="537" t="s">
        <v>289</v>
      </c>
      <c r="H106" s="544">
        <f>H104*H105</f>
        <v>0</v>
      </c>
      <c r="I106" s="107"/>
      <c r="J106" s="181"/>
      <c r="K106" s="107"/>
      <c r="L106" s="537" t="s">
        <v>289</v>
      </c>
      <c r="M106" s="544">
        <f>M104*M105</f>
        <v>0</v>
      </c>
      <c r="N106" s="107"/>
      <c r="O106" s="181"/>
      <c r="P106" s="107"/>
      <c r="Q106" s="251"/>
      <c r="R106" s="537" t="s">
        <v>289</v>
      </c>
      <c r="S106" s="544">
        <f>S104*S105</f>
        <v>0</v>
      </c>
      <c r="T106" s="107"/>
      <c r="U106" s="181"/>
      <c r="V106" s="107"/>
      <c r="W106" s="251"/>
      <c r="X106" s="537" t="s">
        <v>289</v>
      </c>
      <c r="Y106" s="544">
        <f>Y104*Y105</f>
        <v>0</v>
      </c>
      <c r="Z106" s="107"/>
      <c r="AA106" s="181"/>
      <c r="AB106" s="107"/>
      <c r="AC106" s="251"/>
    </row>
    <row r="107" spans="1:29" ht="15" x14ac:dyDescent="0.25">
      <c r="A107" s="193"/>
      <c r="B107" s="194"/>
      <c r="C107" s="107"/>
      <c r="D107" s="107"/>
      <c r="E107" s="446"/>
      <c r="F107" s="673"/>
      <c r="G107" s="193"/>
      <c r="H107" s="194"/>
      <c r="I107" s="107"/>
      <c r="J107" s="107"/>
      <c r="K107" s="181"/>
      <c r="L107" s="193"/>
      <c r="M107" s="194"/>
      <c r="N107" s="107"/>
      <c r="O107" s="107"/>
      <c r="P107" s="181"/>
      <c r="Q107" s="251"/>
      <c r="R107" s="193"/>
      <c r="S107" s="194"/>
      <c r="T107" s="107"/>
      <c r="U107" s="107"/>
      <c r="V107" s="181"/>
      <c r="W107" s="251"/>
      <c r="X107" s="193"/>
      <c r="Y107" s="194"/>
      <c r="Z107" s="107"/>
      <c r="AA107" s="107"/>
      <c r="AB107" s="181"/>
      <c r="AC107" s="251"/>
    </row>
    <row r="108" spans="1:29" ht="15.75" thickBot="1" x14ac:dyDescent="0.3">
      <c r="A108" s="193"/>
      <c r="B108" s="194"/>
      <c r="C108" s="107"/>
      <c r="D108" s="107"/>
      <c r="E108" s="446"/>
      <c r="F108" s="673"/>
      <c r="G108" s="193"/>
      <c r="H108" s="194"/>
      <c r="I108" s="107"/>
      <c r="J108" s="107"/>
      <c r="K108" s="181"/>
      <c r="L108" s="193"/>
      <c r="M108" s="194"/>
      <c r="N108" s="107"/>
      <c r="O108" s="107"/>
      <c r="P108" s="181"/>
      <c r="Q108" s="251"/>
      <c r="R108" s="193"/>
      <c r="S108" s="194"/>
      <c r="T108" s="107"/>
      <c r="U108" s="107"/>
      <c r="V108" s="181"/>
      <c r="W108" s="251"/>
      <c r="X108" s="193"/>
      <c r="Y108" s="194"/>
      <c r="Z108" s="107"/>
      <c r="AA108" s="107"/>
      <c r="AB108" s="181"/>
      <c r="AC108" s="251"/>
    </row>
    <row r="109" spans="1:29" ht="13.5" thickBot="1" x14ac:dyDescent="0.25">
      <c r="A109" s="1193" t="s">
        <v>302</v>
      </c>
      <c r="B109" s="1194"/>
      <c r="C109" s="107"/>
      <c r="D109" s="107"/>
      <c r="E109" s="446"/>
      <c r="F109" s="985"/>
      <c r="G109" s="1193" t="s">
        <v>302</v>
      </c>
      <c r="H109" s="1194"/>
      <c r="I109" s="107"/>
      <c r="J109" s="107"/>
      <c r="K109" s="181"/>
      <c r="L109" s="1193" t="s">
        <v>302</v>
      </c>
      <c r="M109" s="1194"/>
      <c r="N109" s="107"/>
      <c r="O109" s="107"/>
      <c r="P109" s="181"/>
      <c r="Q109" s="251"/>
      <c r="R109" s="1193" t="s">
        <v>302</v>
      </c>
      <c r="S109" s="1194"/>
      <c r="T109" s="107"/>
      <c r="U109" s="107"/>
      <c r="V109" s="181"/>
      <c r="W109" s="251"/>
      <c r="X109" s="1193" t="s">
        <v>302</v>
      </c>
      <c r="Y109" s="1194"/>
      <c r="Z109" s="107"/>
      <c r="AA109" s="107"/>
      <c r="AB109" s="181"/>
      <c r="AC109" s="251"/>
    </row>
    <row r="110" spans="1:29" x14ac:dyDescent="0.2">
      <c r="A110" s="568" t="s">
        <v>293</v>
      </c>
      <c r="B110" s="542">
        <f>E98</f>
        <v>0</v>
      </c>
      <c r="C110" s="107"/>
      <c r="D110" s="107"/>
      <c r="E110" s="446"/>
      <c r="F110" s="670"/>
      <c r="G110" s="568" t="s">
        <v>293</v>
      </c>
      <c r="H110" s="542">
        <f>K98</f>
        <v>0</v>
      </c>
      <c r="I110" s="107"/>
      <c r="J110" s="107"/>
      <c r="K110" s="181"/>
      <c r="L110" s="568" t="s">
        <v>293</v>
      </c>
      <c r="M110" s="542">
        <f>P98</f>
        <v>0</v>
      </c>
      <c r="N110" s="107"/>
      <c r="O110" s="107"/>
      <c r="P110" s="181"/>
      <c r="Q110" s="251"/>
      <c r="R110" s="568" t="s">
        <v>293</v>
      </c>
      <c r="S110" s="542">
        <f>V98</f>
        <v>0</v>
      </c>
      <c r="T110" s="107"/>
      <c r="U110" s="107"/>
      <c r="V110" s="181"/>
      <c r="W110" s="251"/>
      <c r="X110" s="568" t="s">
        <v>293</v>
      </c>
      <c r="Y110" s="542">
        <f>AB98</f>
        <v>0</v>
      </c>
      <c r="Z110" s="107"/>
      <c r="AA110" s="107"/>
      <c r="AB110" s="181"/>
      <c r="AC110" s="251"/>
    </row>
    <row r="111" spans="1:29" ht="13.5" thickBot="1" x14ac:dyDescent="0.25">
      <c r="A111" s="569" t="s">
        <v>290</v>
      </c>
      <c r="B111" s="543">
        <f>B16</f>
        <v>2447.52</v>
      </c>
      <c r="C111" s="107"/>
      <c r="D111" s="107"/>
      <c r="E111" s="176"/>
      <c r="F111" s="671"/>
      <c r="G111" s="569" t="s">
        <v>290</v>
      </c>
      <c r="H111" s="543">
        <f>H16</f>
        <v>2447.52</v>
      </c>
      <c r="I111" s="107"/>
      <c r="J111" s="107"/>
      <c r="K111" s="107"/>
      <c r="L111" s="569" t="s">
        <v>290</v>
      </c>
      <c r="M111" s="543">
        <f>M16</f>
        <v>2447.52</v>
      </c>
      <c r="N111" s="107"/>
      <c r="O111" s="107"/>
      <c r="P111" s="107"/>
      <c r="Q111" s="251"/>
      <c r="R111" s="569" t="s">
        <v>290</v>
      </c>
      <c r="S111" s="543">
        <f>S16</f>
        <v>2447.52</v>
      </c>
      <c r="T111" s="107"/>
      <c r="U111" s="107"/>
      <c r="V111" s="107"/>
      <c r="W111" s="251"/>
      <c r="X111" s="569" t="s">
        <v>290</v>
      </c>
      <c r="Y111" s="543">
        <f>Y16</f>
        <v>2447.52</v>
      </c>
      <c r="Z111" s="107"/>
      <c r="AA111" s="107"/>
      <c r="AB111" s="107"/>
      <c r="AC111" s="251"/>
    </row>
    <row r="112" spans="1:29" ht="15.75" thickBot="1" x14ac:dyDescent="0.3">
      <c r="A112" s="537" t="s">
        <v>291</v>
      </c>
      <c r="B112" s="544">
        <f>B110*B111</f>
        <v>0</v>
      </c>
      <c r="C112" s="107"/>
      <c r="D112" s="107"/>
      <c r="E112" s="176"/>
      <c r="F112" s="672"/>
      <c r="G112" s="537" t="s">
        <v>291</v>
      </c>
      <c r="H112" s="544">
        <f>H110*H111</f>
        <v>0</v>
      </c>
      <c r="I112" s="107"/>
      <c r="J112" s="107"/>
      <c r="K112" s="107"/>
      <c r="L112" s="537" t="s">
        <v>291</v>
      </c>
      <c r="M112" s="544">
        <f>M110*M111</f>
        <v>0</v>
      </c>
      <c r="N112" s="107"/>
      <c r="O112" s="107"/>
      <c r="P112" s="107"/>
      <c r="Q112" s="251"/>
      <c r="R112" s="537" t="s">
        <v>291</v>
      </c>
      <c r="S112" s="544">
        <f>S110*S111</f>
        <v>0</v>
      </c>
      <c r="T112" s="107"/>
      <c r="U112" s="107"/>
      <c r="V112" s="107"/>
      <c r="W112" s="251"/>
      <c r="X112" s="537" t="s">
        <v>291</v>
      </c>
      <c r="Y112" s="544">
        <f>Y110*Y111</f>
        <v>0</v>
      </c>
      <c r="Z112" s="107"/>
      <c r="AA112" s="107"/>
      <c r="AB112" s="107"/>
      <c r="AC112" s="251"/>
    </row>
    <row r="113" spans="1:29" x14ac:dyDescent="0.2">
      <c r="A113" s="195"/>
      <c r="B113" s="186"/>
      <c r="C113" s="186"/>
      <c r="D113" s="178"/>
      <c r="E113" s="448"/>
      <c r="F113" s="674"/>
      <c r="G113" s="195"/>
      <c r="H113" s="186"/>
      <c r="I113" s="186"/>
      <c r="J113" s="178"/>
      <c r="K113" s="190"/>
      <c r="L113" s="195"/>
      <c r="M113" s="186"/>
      <c r="N113" s="186"/>
      <c r="O113" s="178"/>
      <c r="P113" s="190"/>
      <c r="Q113" s="251"/>
      <c r="R113" s="195"/>
      <c r="S113" s="186"/>
      <c r="T113" s="186"/>
      <c r="U113" s="178"/>
      <c r="V113" s="190"/>
      <c r="W113" s="251"/>
      <c r="X113" s="195"/>
      <c r="Y113" s="186"/>
      <c r="Z113" s="186"/>
      <c r="AA113" s="178"/>
      <c r="AB113" s="190"/>
      <c r="AC113" s="251"/>
    </row>
    <row r="114" spans="1:29" ht="13.5" thickBot="1" x14ac:dyDescent="0.25">
      <c r="A114" s="195"/>
      <c r="B114" s="186"/>
      <c r="C114" s="186"/>
      <c r="D114" s="178"/>
      <c r="E114" s="448"/>
      <c r="F114" s="674"/>
      <c r="G114" s="195"/>
      <c r="H114" s="186"/>
      <c r="I114" s="186"/>
      <c r="J114" s="178"/>
      <c r="K114" s="190"/>
      <c r="L114" s="195"/>
      <c r="M114" s="186"/>
      <c r="N114" s="186"/>
      <c r="O114" s="178"/>
      <c r="P114" s="190"/>
      <c r="Q114" s="251"/>
      <c r="R114" s="195"/>
      <c r="S114" s="186"/>
      <c r="T114" s="186"/>
      <c r="U114" s="178"/>
      <c r="V114" s="190"/>
      <c r="W114" s="251"/>
      <c r="X114" s="195"/>
      <c r="Y114" s="186"/>
      <c r="Z114" s="186"/>
      <c r="AA114" s="178"/>
      <c r="AB114" s="190"/>
      <c r="AC114" s="251"/>
    </row>
    <row r="115" spans="1:29" ht="13.5" thickBot="1" x14ac:dyDescent="0.25">
      <c r="A115" s="1193" t="s">
        <v>292</v>
      </c>
      <c r="B115" s="1194"/>
      <c r="C115" s="186"/>
      <c r="D115" s="178"/>
      <c r="E115" s="448"/>
      <c r="F115" s="985"/>
      <c r="G115" s="1193" t="s">
        <v>292</v>
      </c>
      <c r="H115" s="1194"/>
      <c r="I115" s="186"/>
      <c r="J115" s="178"/>
      <c r="K115" s="190"/>
      <c r="L115" s="1193" t="s">
        <v>292</v>
      </c>
      <c r="M115" s="1194"/>
      <c r="N115" s="186"/>
      <c r="O115" s="178"/>
      <c r="P115" s="190"/>
      <c r="Q115" s="251"/>
      <c r="R115" s="1193" t="s">
        <v>292</v>
      </c>
      <c r="S115" s="1194"/>
      <c r="T115" s="186"/>
      <c r="U115" s="178"/>
      <c r="V115" s="190"/>
      <c r="W115" s="251"/>
      <c r="X115" s="1193" t="s">
        <v>292</v>
      </c>
      <c r="Y115" s="1194"/>
      <c r="Z115" s="186"/>
      <c r="AA115" s="178"/>
      <c r="AB115" s="190"/>
      <c r="AC115" s="251"/>
    </row>
    <row r="116" spans="1:29" x14ac:dyDescent="0.2">
      <c r="A116" s="568" t="s">
        <v>289</v>
      </c>
      <c r="B116" s="546">
        <f>B106</f>
        <v>0</v>
      </c>
      <c r="C116" s="186"/>
      <c r="D116" s="178"/>
      <c r="E116" s="448"/>
      <c r="F116" s="670"/>
      <c r="G116" s="568" t="s">
        <v>289</v>
      </c>
      <c r="H116" s="546">
        <f>H106</f>
        <v>0</v>
      </c>
      <c r="I116" s="186"/>
      <c r="J116" s="178"/>
      <c r="K116" s="190"/>
      <c r="L116" s="568" t="s">
        <v>289</v>
      </c>
      <c r="M116" s="546">
        <f>M106</f>
        <v>0</v>
      </c>
      <c r="N116" s="186"/>
      <c r="O116" s="178"/>
      <c r="P116" s="190"/>
      <c r="Q116" s="251"/>
      <c r="R116" s="568" t="s">
        <v>289</v>
      </c>
      <c r="S116" s="546">
        <f>S106</f>
        <v>0</v>
      </c>
      <c r="T116" s="186"/>
      <c r="U116" s="178"/>
      <c r="V116" s="190"/>
      <c r="W116" s="251"/>
      <c r="X116" s="568" t="s">
        <v>289</v>
      </c>
      <c r="Y116" s="546">
        <f>Y106</f>
        <v>0</v>
      </c>
      <c r="Z116" s="186"/>
      <c r="AA116" s="178"/>
      <c r="AB116" s="190"/>
      <c r="AC116" s="251"/>
    </row>
    <row r="117" spans="1:29" ht="13.5" thickBot="1" x14ac:dyDescent="0.25">
      <c r="A117" s="568" t="s">
        <v>291</v>
      </c>
      <c r="B117" s="547">
        <f>B112</f>
        <v>0</v>
      </c>
      <c r="C117" s="186"/>
      <c r="D117" s="178"/>
      <c r="E117" s="448"/>
      <c r="F117" s="670"/>
      <c r="G117" s="568" t="s">
        <v>291</v>
      </c>
      <c r="H117" s="547">
        <f>H112</f>
        <v>0</v>
      </c>
      <c r="I117" s="186"/>
      <c r="J117" s="178"/>
      <c r="K117" s="190"/>
      <c r="L117" s="568" t="s">
        <v>291</v>
      </c>
      <c r="M117" s="547">
        <f>M112</f>
        <v>0</v>
      </c>
      <c r="N117" s="186"/>
      <c r="O117" s="178"/>
      <c r="P117" s="190"/>
      <c r="Q117" s="251"/>
      <c r="R117" s="568" t="s">
        <v>291</v>
      </c>
      <c r="S117" s="547">
        <f>S112</f>
        <v>0</v>
      </c>
      <c r="T117" s="186"/>
      <c r="U117" s="178"/>
      <c r="V117" s="190"/>
      <c r="W117" s="251"/>
      <c r="X117" s="568" t="s">
        <v>291</v>
      </c>
      <c r="Y117" s="547">
        <f>Y112</f>
        <v>0</v>
      </c>
      <c r="Z117" s="186"/>
      <c r="AA117" s="178"/>
      <c r="AB117" s="190"/>
      <c r="AC117" s="251"/>
    </row>
    <row r="118" spans="1:29" ht="15.75" thickBot="1" x14ac:dyDescent="0.3">
      <c r="A118" s="537" t="s">
        <v>298</v>
      </c>
      <c r="B118" s="544">
        <f>B116+B117</f>
        <v>0</v>
      </c>
      <c r="C118" s="440"/>
      <c r="D118" s="189"/>
      <c r="E118" s="449"/>
      <c r="F118" s="675"/>
      <c r="G118" s="537" t="s">
        <v>298</v>
      </c>
      <c r="H118" s="544">
        <f>H116+H117</f>
        <v>0</v>
      </c>
      <c r="I118" s="186"/>
      <c r="J118" s="178"/>
      <c r="K118" s="190"/>
      <c r="L118" s="537" t="s">
        <v>298</v>
      </c>
      <c r="M118" s="544">
        <f>M116+M117</f>
        <v>0</v>
      </c>
      <c r="N118" s="186"/>
      <c r="O118" s="178"/>
      <c r="P118" s="190"/>
      <c r="Q118" s="251"/>
      <c r="R118" s="537" t="s">
        <v>298</v>
      </c>
      <c r="S118" s="544">
        <f>S116+S117</f>
        <v>0</v>
      </c>
      <c r="T118" s="186"/>
      <c r="U118" s="178"/>
      <c r="V118" s="190"/>
      <c r="W118" s="251"/>
      <c r="X118" s="537" t="s">
        <v>298</v>
      </c>
      <c r="Y118" s="544">
        <f>Y116+Y117</f>
        <v>0</v>
      </c>
      <c r="Z118" s="186"/>
      <c r="AA118" s="178"/>
      <c r="AB118" s="190"/>
      <c r="AC118" s="251"/>
    </row>
    <row r="119" spans="1:29" x14ac:dyDescent="0.2">
      <c r="A119" s="434"/>
      <c r="B119" s="435"/>
      <c r="C119" s="436"/>
      <c r="D119" s="436"/>
      <c r="E119" s="437"/>
      <c r="F119" s="251"/>
      <c r="G119" s="186"/>
      <c r="H119" s="190"/>
      <c r="I119" s="186"/>
      <c r="J119" s="186"/>
      <c r="K119" s="169"/>
      <c r="L119" s="195"/>
      <c r="M119" s="190"/>
      <c r="N119" s="186"/>
      <c r="O119" s="186"/>
      <c r="P119" s="169"/>
      <c r="Q119" s="251"/>
      <c r="R119" s="186"/>
      <c r="S119" s="190"/>
      <c r="T119" s="186"/>
      <c r="U119" s="186"/>
      <c r="V119" s="169"/>
      <c r="W119" s="251"/>
      <c r="X119" s="186"/>
      <c r="Y119" s="190"/>
      <c r="Z119" s="186"/>
      <c r="AA119" s="186"/>
      <c r="AB119" s="169"/>
      <c r="AC119" s="251"/>
    </row>
    <row r="120" spans="1:29" x14ac:dyDescent="0.2">
      <c r="A120" s="195"/>
      <c r="B120" s="190"/>
      <c r="C120" s="186"/>
      <c r="D120" s="186"/>
      <c r="E120" s="438"/>
      <c r="F120" s="251"/>
      <c r="G120" s="186"/>
      <c r="H120" s="190"/>
      <c r="I120" s="186"/>
      <c r="J120" s="186"/>
      <c r="K120" s="169"/>
      <c r="L120" s="195"/>
      <c r="M120" s="190"/>
      <c r="N120" s="186"/>
      <c r="O120" s="186"/>
      <c r="P120" s="169"/>
      <c r="Q120" s="251"/>
      <c r="R120" s="186"/>
      <c r="S120" s="190"/>
      <c r="T120" s="186"/>
      <c r="U120" s="186"/>
      <c r="V120" s="169"/>
      <c r="W120" s="251"/>
      <c r="X120" s="186"/>
      <c r="Y120" s="190"/>
      <c r="Z120" s="186"/>
      <c r="AA120" s="186"/>
      <c r="AB120" s="169"/>
      <c r="AC120" s="251"/>
    </row>
    <row r="121" spans="1:29" x14ac:dyDescent="0.2">
      <c r="A121" s="195"/>
      <c r="B121" s="190"/>
      <c r="C121" s="186"/>
      <c r="D121" s="186"/>
      <c r="E121" s="438"/>
      <c r="F121" s="251"/>
      <c r="G121" s="186"/>
      <c r="H121" s="190"/>
      <c r="I121" s="186"/>
      <c r="J121" s="186"/>
      <c r="K121" s="169"/>
      <c r="L121" s="195"/>
      <c r="M121" s="190"/>
      <c r="N121" s="186"/>
      <c r="O121" s="186"/>
      <c r="P121" s="169"/>
      <c r="Q121" s="251"/>
      <c r="R121" s="186"/>
      <c r="S121" s="190"/>
      <c r="T121" s="186"/>
      <c r="U121" s="186"/>
      <c r="V121" s="169"/>
      <c r="W121" s="251"/>
      <c r="X121" s="186"/>
      <c r="Y121" s="190"/>
      <c r="Z121" s="186"/>
      <c r="AA121" s="186"/>
      <c r="AB121" s="169"/>
      <c r="AC121" s="251"/>
    </row>
    <row r="122" spans="1:29" ht="32.25" customHeight="1" thickBot="1" x14ac:dyDescent="0.25">
      <c r="A122" s="439"/>
      <c r="B122" s="246"/>
      <c r="C122" s="440"/>
      <c r="D122" s="440"/>
      <c r="E122" s="441"/>
      <c r="F122" s="251"/>
      <c r="G122" s="186"/>
      <c r="H122" s="190"/>
      <c r="I122" s="186"/>
      <c r="J122" s="186"/>
      <c r="K122" s="169"/>
      <c r="L122" s="195"/>
      <c r="M122" s="190"/>
      <c r="N122" s="186"/>
      <c r="O122" s="186"/>
      <c r="P122" s="169"/>
      <c r="Q122" s="251"/>
      <c r="R122" s="186"/>
      <c r="S122" s="190"/>
      <c r="T122" s="186"/>
      <c r="U122" s="186"/>
      <c r="V122" s="169"/>
      <c r="W122" s="251"/>
      <c r="X122" s="186"/>
      <c r="Y122" s="190"/>
      <c r="Z122" s="186"/>
      <c r="AA122" s="186"/>
      <c r="AB122" s="169"/>
      <c r="AC122" s="251"/>
    </row>
    <row r="123" spans="1:29" ht="16.5" thickBot="1" x14ac:dyDescent="0.3">
      <c r="A123" s="1191" t="s">
        <v>125</v>
      </c>
      <c r="B123" s="1192"/>
      <c r="C123" s="1192"/>
      <c r="D123" s="1192"/>
      <c r="E123" s="1192"/>
      <c r="F123" s="251"/>
      <c r="G123" s="1192" t="s">
        <v>125</v>
      </c>
      <c r="H123" s="1192"/>
      <c r="I123" s="1192"/>
      <c r="J123" s="1192"/>
      <c r="K123" s="1192"/>
      <c r="L123" s="1191" t="s">
        <v>125</v>
      </c>
      <c r="M123" s="1192"/>
      <c r="N123" s="1192"/>
      <c r="O123" s="1192"/>
      <c r="P123" s="1228"/>
      <c r="Q123" s="251"/>
      <c r="R123" s="1192" t="s">
        <v>125</v>
      </c>
      <c r="S123" s="1192"/>
      <c r="T123" s="1192"/>
      <c r="U123" s="1192"/>
      <c r="V123" s="1192"/>
      <c r="W123" s="251"/>
      <c r="X123" s="1192" t="s">
        <v>125</v>
      </c>
      <c r="Y123" s="1192"/>
      <c r="Z123" s="1192"/>
      <c r="AA123" s="1192"/>
      <c r="AB123" s="1192"/>
      <c r="AC123" s="251"/>
    </row>
    <row r="124" spans="1:29" ht="16.5" thickBot="1" x14ac:dyDescent="0.3">
      <c r="A124" s="196"/>
      <c r="B124" s="197"/>
      <c r="C124" s="197"/>
      <c r="D124" s="197"/>
      <c r="E124" s="197"/>
      <c r="F124" s="251"/>
      <c r="G124" s="197"/>
      <c r="H124" s="197"/>
      <c r="I124" s="197"/>
      <c r="J124" s="197"/>
      <c r="K124" s="197"/>
      <c r="L124" s="196"/>
      <c r="M124" s="197"/>
      <c r="N124" s="197"/>
      <c r="O124" s="197"/>
      <c r="P124" s="197"/>
      <c r="Q124" s="251"/>
      <c r="R124" s="197"/>
      <c r="S124" s="197"/>
      <c r="T124" s="197"/>
      <c r="U124" s="197"/>
      <c r="V124" s="197"/>
      <c r="W124" s="251"/>
      <c r="X124" s="197"/>
      <c r="Y124" s="197"/>
      <c r="Z124" s="197"/>
      <c r="AA124" s="197"/>
      <c r="AB124" s="197"/>
      <c r="AC124" s="251"/>
    </row>
    <row r="125" spans="1:29" ht="26.25" thickBot="1" x14ac:dyDescent="0.25">
      <c r="A125" s="490" t="s">
        <v>95</v>
      </c>
      <c r="B125" s="578" t="s">
        <v>126</v>
      </c>
      <c r="C125" s="579" t="s">
        <v>127</v>
      </c>
      <c r="D125" s="490" t="s">
        <v>97</v>
      </c>
      <c r="E125" s="570" t="s">
        <v>38</v>
      </c>
      <c r="F125" s="251"/>
      <c r="G125" s="567" t="s">
        <v>95</v>
      </c>
      <c r="H125" s="578" t="s">
        <v>126</v>
      </c>
      <c r="I125" s="579" t="s">
        <v>127</v>
      </c>
      <c r="J125" s="490" t="s">
        <v>97</v>
      </c>
      <c r="K125" s="570" t="s">
        <v>38</v>
      </c>
      <c r="L125" s="490" t="s">
        <v>95</v>
      </c>
      <c r="M125" s="1012" t="s">
        <v>126</v>
      </c>
      <c r="N125" s="1015" t="s">
        <v>127</v>
      </c>
      <c r="O125" s="490" t="s">
        <v>97</v>
      </c>
      <c r="P125" s="1013" t="s">
        <v>38</v>
      </c>
      <c r="Q125" s="251"/>
      <c r="R125" s="567" t="s">
        <v>95</v>
      </c>
      <c r="S125" s="578" t="s">
        <v>126</v>
      </c>
      <c r="T125" s="579" t="s">
        <v>127</v>
      </c>
      <c r="U125" s="490" t="s">
        <v>97</v>
      </c>
      <c r="V125" s="570" t="s">
        <v>38</v>
      </c>
      <c r="W125" s="251"/>
      <c r="X125" s="567" t="s">
        <v>95</v>
      </c>
      <c r="Y125" s="578" t="s">
        <v>126</v>
      </c>
      <c r="Z125" s="579" t="s">
        <v>127</v>
      </c>
      <c r="AA125" s="490" t="s">
        <v>97</v>
      </c>
      <c r="AB125" s="570" t="s">
        <v>38</v>
      </c>
      <c r="AC125" s="251"/>
    </row>
    <row r="126" spans="1:29" x14ac:dyDescent="0.2">
      <c r="A126" s="533">
        <v>9</v>
      </c>
      <c r="B126" s="177"/>
      <c r="C126" s="177">
        <v>0</v>
      </c>
      <c r="D126" s="198">
        <v>0</v>
      </c>
      <c r="E126" s="548">
        <f>SUM(B126:D126)</f>
        <v>0</v>
      </c>
      <c r="F126" s="251"/>
      <c r="G126" s="564">
        <v>9</v>
      </c>
      <c r="H126" s="1023"/>
      <c r="I126" s="1023">
        <v>0</v>
      </c>
      <c r="J126" s="1024">
        <v>0</v>
      </c>
      <c r="K126" s="548">
        <f>SUM(H126:J126)</f>
        <v>0</v>
      </c>
      <c r="L126" s="533">
        <v>9</v>
      </c>
      <c r="M126" s="1023">
        <v>0</v>
      </c>
      <c r="N126" s="1023">
        <v>0</v>
      </c>
      <c r="O126" s="1024">
        <v>0</v>
      </c>
      <c r="P126" s="548">
        <f>SUM(M126:O126)</f>
        <v>0</v>
      </c>
      <c r="Q126" s="251"/>
      <c r="R126" s="564">
        <v>9</v>
      </c>
      <c r="S126" s="1023">
        <v>0</v>
      </c>
      <c r="T126" s="1023">
        <v>0</v>
      </c>
      <c r="U126" s="1024">
        <v>0</v>
      </c>
      <c r="V126" s="548">
        <f>SUM(S126:U126)</f>
        <v>0</v>
      </c>
      <c r="W126" s="251"/>
      <c r="X126" s="564">
        <v>9</v>
      </c>
      <c r="Y126" s="1023">
        <v>0</v>
      </c>
      <c r="Z126" s="1023">
        <v>0</v>
      </c>
      <c r="AA126" s="1024">
        <v>0</v>
      </c>
      <c r="AB126" s="548">
        <f>SUM(Y126:AA126)</f>
        <v>0</v>
      </c>
      <c r="AC126" s="251"/>
    </row>
    <row r="127" spans="1:29" x14ac:dyDescent="0.2">
      <c r="A127" s="577">
        <v>10</v>
      </c>
      <c r="B127" s="177"/>
      <c r="C127" s="177"/>
      <c r="D127" s="198"/>
      <c r="E127" s="548">
        <f>SUM(B127:D127)</f>
        <v>0</v>
      </c>
      <c r="F127" s="251"/>
      <c r="G127" s="580">
        <v>10</v>
      </c>
      <c r="H127" s="1023"/>
      <c r="I127" s="1023"/>
      <c r="J127" s="1024"/>
      <c r="K127" s="548">
        <f>SUM(H127:J127)</f>
        <v>0</v>
      </c>
      <c r="L127" s="577">
        <v>10</v>
      </c>
      <c r="M127" s="1023">
        <v>0</v>
      </c>
      <c r="N127" s="1023">
        <v>0</v>
      </c>
      <c r="O127" s="1024">
        <v>0</v>
      </c>
      <c r="P127" s="548">
        <f>SUM(M127:O127)</f>
        <v>0</v>
      </c>
      <c r="Q127" s="251"/>
      <c r="R127" s="580">
        <v>10</v>
      </c>
      <c r="S127" s="1023">
        <v>53</v>
      </c>
      <c r="T127" s="1023">
        <v>1</v>
      </c>
      <c r="U127" s="1024">
        <v>1</v>
      </c>
      <c r="V127" s="548">
        <f>SUM(S127:U127)</f>
        <v>55</v>
      </c>
      <c r="W127" s="251"/>
      <c r="X127" s="580">
        <v>10</v>
      </c>
      <c r="Y127" s="1023">
        <v>53</v>
      </c>
      <c r="Z127" s="1023">
        <v>1</v>
      </c>
      <c r="AA127" s="1024">
        <v>1</v>
      </c>
      <c r="AB127" s="548">
        <f>SUM(Y127:AA127)</f>
        <v>55</v>
      </c>
      <c r="AC127" s="251"/>
    </row>
    <row r="128" spans="1:29" x14ac:dyDescent="0.2">
      <c r="A128" s="577">
        <v>11</v>
      </c>
      <c r="B128" s="177"/>
      <c r="C128" s="177"/>
      <c r="D128" s="198"/>
      <c r="E128" s="548">
        <f>SUM(B128:D128)</f>
        <v>0</v>
      </c>
      <c r="F128" s="251"/>
      <c r="G128" s="580">
        <v>11</v>
      </c>
      <c r="H128" s="1023"/>
      <c r="I128" s="1023"/>
      <c r="J128" s="1024"/>
      <c r="K128" s="548">
        <f>SUM(H128:J128)</f>
        <v>0</v>
      </c>
      <c r="L128" s="577">
        <v>11</v>
      </c>
      <c r="M128" s="1023">
        <v>0</v>
      </c>
      <c r="N128" s="1023">
        <v>0</v>
      </c>
      <c r="O128" s="1024">
        <v>0</v>
      </c>
      <c r="P128" s="548">
        <f>SUM(M128:O128)</f>
        <v>0</v>
      </c>
      <c r="Q128" s="251"/>
      <c r="R128" s="580">
        <v>11</v>
      </c>
      <c r="S128" s="1023">
        <v>53</v>
      </c>
      <c r="T128" s="1023">
        <v>1</v>
      </c>
      <c r="U128" s="1024">
        <v>1</v>
      </c>
      <c r="V128" s="548">
        <f>SUM(S128:U128)</f>
        <v>55</v>
      </c>
      <c r="W128" s="251"/>
      <c r="X128" s="580">
        <v>11</v>
      </c>
      <c r="Y128" s="1023">
        <v>53</v>
      </c>
      <c r="Z128" s="1023">
        <v>1</v>
      </c>
      <c r="AA128" s="1024">
        <v>1</v>
      </c>
      <c r="AB128" s="548">
        <f>SUM(Y128:AA128)</f>
        <v>55</v>
      </c>
      <c r="AC128" s="251"/>
    </row>
    <row r="129" spans="1:29" x14ac:dyDescent="0.2">
      <c r="A129" s="577">
        <v>12</v>
      </c>
      <c r="B129" s="177"/>
      <c r="C129" s="177"/>
      <c r="D129" s="198"/>
      <c r="E129" s="548">
        <f>SUM(B129:D129)</f>
        <v>0</v>
      </c>
      <c r="F129" s="251"/>
      <c r="G129" s="580">
        <v>12</v>
      </c>
      <c r="H129" s="1023"/>
      <c r="I129" s="1023"/>
      <c r="J129" s="1024"/>
      <c r="K129" s="548">
        <f>SUM(H129:J129)</f>
        <v>0</v>
      </c>
      <c r="L129" s="577">
        <v>12</v>
      </c>
      <c r="M129" s="1023">
        <v>0</v>
      </c>
      <c r="N129" s="1023">
        <v>0</v>
      </c>
      <c r="O129" s="1024">
        <v>0</v>
      </c>
      <c r="P129" s="548">
        <f>SUM(M129:O129)</f>
        <v>0</v>
      </c>
      <c r="Q129" s="251"/>
      <c r="R129" s="580">
        <v>12</v>
      </c>
      <c r="S129" s="1023">
        <v>53</v>
      </c>
      <c r="T129" s="1023">
        <v>1</v>
      </c>
      <c r="U129" s="1024">
        <v>1</v>
      </c>
      <c r="V129" s="548">
        <f>SUM(S129:U129)</f>
        <v>55</v>
      </c>
      <c r="W129" s="251"/>
      <c r="X129" s="580">
        <v>12</v>
      </c>
      <c r="Y129" s="1023">
        <v>53</v>
      </c>
      <c r="Z129" s="1023">
        <v>1</v>
      </c>
      <c r="AA129" s="1024">
        <v>1</v>
      </c>
      <c r="AB129" s="548">
        <f>SUM(Y129:AA129)</f>
        <v>55</v>
      </c>
      <c r="AC129" s="251"/>
    </row>
    <row r="130" spans="1:29" x14ac:dyDescent="0.2">
      <c r="A130" s="558" t="s">
        <v>128</v>
      </c>
      <c r="B130" s="538">
        <f>SUM(B126:B129)</f>
        <v>0</v>
      </c>
      <c r="C130" s="538">
        <f>SUM(C126:C129)</f>
        <v>0</v>
      </c>
      <c r="D130" s="538">
        <f>SUM(D126:D129)</f>
        <v>0</v>
      </c>
      <c r="E130" s="539">
        <f>SUM(E126:E129)</f>
        <v>0</v>
      </c>
      <c r="F130" s="251"/>
      <c r="G130" s="565" t="s">
        <v>128</v>
      </c>
      <c r="H130" s="538">
        <f>SUM(H126:H129)</f>
        <v>0</v>
      </c>
      <c r="I130" s="538">
        <f>SUM(I126:I129)</f>
        <v>0</v>
      </c>
      <c r="J130" s="538">
        <f>SUM(J126:J129)</f>
        <v>0</v>
      </c>
      <c r="K130" s="539">
        <f>SUM(K126:K129)</f>
        <v>0</v>
      </c>
      <c r="L130" s="558" t="s">
        <v>128</v>
      </c>
      <c r="M130" s="538">
        <f>SUM(M126:M129)</f>
        <v>0</v>
      </c>
      <c r="N130" s="538">
        <f>SUM(N126:N129)</f>
        <v>0</v>
      </c>
      <c r="O130" s="538">
        <f>SUM(O126:O129)</f>
        <v>0</v>
      </c>
      <c r="P130" s="539">
        <f>SUM(P126:P129)</f>
        <v>0</v>
      </c>
      <c r="Q130" s="251"/>
      <c r="R130" s="565" t="s">
        <v>128</v>
      </c>
      <c r="S130" s="538">
        <f>SUM(S126:S129)</f>
        <v>159</v>
      </c>
      <c r="T130" s="538">
        <f>SUM(T126:T129)</f>
        <v>3</v>
      </c>
      <c r="U130" s="538">
        <f>SUM(U126:U129)</f>
        <v>3</v>
      </c>
      <c r="V130" s="539">
        <f>SUM(V126:V129)</f>
        <v>165</v>
      </c>
      <c r="W130" s="251"/>
      <c r="X130" s="565" t="s">
        <v>128</v>
      </c>
      <c r="Y130" s="538">
        <f>SUM(Y126:Y129)</f>
        <v>159</v>
      </c>
      <c r="Z130" s="538">
        <f>SUM(Z126:Z129)</f>
        <v>3</v>
      </c>
      <c r="AA130" s="538">
        <f>SUM(AA126:AA129)</f>
        <v>3</v>
      </c>
      <c r="AB130" s="539">
        <f>SUM(AB126:AB129)</f>
        <v>165</v>
      </c>
      <c r="AC130" s="251"/>
    </row>
    <row r="131" spans="1:29" ht="13.5" thickBot="1" x14ac:dyDescent="0.25">
      <c r="A131" s="559" t="s">
        <v>101</v>
      </c>
      <c r="B131" s="540">
        <v>1</v>
      </c>
      <c r="C131" s="540">
        <v>0.7</v>
      </c>
      <c r="D131" s="540">
        <v>0.4</v>
      </c>
      <c r="E131" s="97"/>
      <c r="F131" s="251"/>
      <c r="G131" s="566" t="s">
        <v>101</v>
      </c>
      <c r="H131" s="540">
        <v>1</v>
      </c>
      <c r="I131" s="540">
        <v>0.7</v>
      </c>
      <c r="J131" s="540">
        <v>0.4</v>
      </c>
      <c r="K131" s="97"/>
      <c r="L131" s="559" t="s">
        <v>101</v>
      </c>
      <c r="M131" s="540">
        <v>1</v>
      </c>
      <c r="N131" s="540">
        <v>0.7</v>
      </c>
      <c r="O131" s="540">
        <v>0.4</v>
      </c>
      <c r="P131" s="97"/>
      <c r="Q131" s="251"/>
      <c r="R131" s="566" t="s">
        <v>101</v>
      </c>
      <c r="S131" s="540">
        <v>1</v>
      </c>
      <c r="T131" s="540">
        <v>0.7</v>
      </c>
      <c r="U131" s="540">
        <v>0.4</v>
      </c>
      <c r="V131" s="97"/>
      <c r="W131" s="251"/>
      <c r="X131" s="566" t="s">
        <v>101</v>
      </c>
      <c r="Y131" s="540">
        <v>1</v>
      </c>
      <c r="Z131" s="540">
        <v>0.7</v>
      </c>
      <c r="AA131" s="540">
        <v>0.4</v>
      </c>
      <c r="AB131" s="164"/>
      <c r="AC131" s="251"/>
    </row>
    <row r="132" spans="1:29" ht="13.5" thickBot="1" x14ac:dyDescent="0.25">
      <c r="A132" s="490" t="s">
        <v>129</v>
      </c>
      <c r="B132" s="541">
        <f>B130*B131</f>
        <v>0</v>
      </c>
      <c r="C132" s="541">
        <f>C130*C131</f>
        <v>0</v>
      </c>
      <c r="D132" s="541">
        <f>D130*D131</f>
        <v>0</v>
      </c>
      <c r="E132" s="549">
        <f>SUM(B132:D132)</f>
        <v>0</v>
      </c>
      <c r="F132" s="251"/>
      <c r="G132" s="567" t="s">
        <v>129</v>
      </c>
      <c r="H132" s="541">
        <f>H130*H131</f>
        <v>0</v>
      </c>
      <c r="I132" s="541">
        <f>I130*I131</f>
        <v>0</v>
      </c>
      <c r="J132" s="541">
        <f>J130*J131</f>
        <v>0</v>
      </c>
      <c r="K132" s="549">
        <f>SUM(H132:J132)</f>
        <v>0</v>
      </c>
      <c r="L132" s="490" t="s">
        <v>129</v>
      </c>
      <c r="M132" s="541">
        <f>M130*M131</f>
        <v>0</v>
      </c>
      <c r="N132" s="541">
        <f>N130*N131</f>
        <v>0</v>
      </c>
      <c r="O132" s="541">
        <f>O130*O131</f>
        <v>0</v>
      </c>
      <c r="P132" s="549">
        <f>SUM(M132:O132)</f>
        <v>0</v>
      </c>
      <c r="Q132" s="251"/>
      <c r="R132" s="567" t="s">
        <v>129</v>
      </c>
      <c r="S132" s="541">
        <f>S130*S131</f>
        <v>159</v>
      </c>
      <c r="T132" s="541">
        <f>T130*T131</f>
        <v>2.0999999999999996</v>
      </c>
      <c r="U132" s="541">
        <f>U130*U131</f>
        <v>1.2000000000000002</v>
      </c>
      <c r="V132" s="549">
        <f>SUM(S132:U132)</f>
        <v>162.29999999999998</v>
      </c>
      <c r="W132" s="251"/>
      <c r="X132" s="567" t="s">
        <v>129</v>
      </c>
      <c r="Y132" s="541">
        <f>Y130*Y131</f>
        <v>159</v>
      </c>
      <c r="Z132" s="541">
        <f>Z130*Z131</f>
        <v>2.0999999999999996</v>
      </c>
      <c r="AA132" s="541">
        <f>AA130*AA131</f>
        <v>1.2000000000000002</v>
      </c>
      <c r="AB132" s="549">
        <f>SUM(Y132:AA132)</f>
        <v>162.29999999999998</v>
      </c>
      <c r="AC132" s="251"/>
    </row>
    <row r="133" spans="1:29" x14ac:dyDescent="0.2">
      <c r="A133" s="180"/>
      <c r="B133" s="181"/>
      <c r="C133" s="107"/>
      <c r="D133" s="181"/>
      <c r="E133" s="107"/>
      <c r="F133" s="251"/>
      <c r="G133" s="181"/>
      <c r="H133" s="181"/>
      <c r="I133" s="107"/>
      <c r="J133" s="181"/>
      <c r="K133" s="107"/>
      <c r="L133" s="180"/>
      <c r="M133" s="181"/>
      <c r="N133" s="107"/>
      <c r="O133" s="181"/>
      <c r="P133" s="107"/>
      <c r="Q133" s="251"/>
      <c r="R133" s="181"/>
      <c r="S133" s="181"/>
      <c r="T133" s="107"/>
      <c r="U133" s="181"/>
      <c r="V133" s="107"/>
      <c r="W133" s="251"/>
      <c r="X133" s="181"/>
      <c r="Y133" s="181"/>
      <c r="Z133" s="107"/>
      <c r="AA133" s="181"/>
      <c r="AB133" s="107"/>
      <c r="AC133" s="251"/>
    </row>
    <row r="134" spans="1:29" ht="13.5" thickBot="1" x14ac:dyDescent="0.25">
      <c r="A134" s="180"/>
      <c r="B134" s="181"/>
      <c r="C134" s="107"/>
      <c r="D134" s="181"/>
      <c r="E134" s="107"/>
      <c r="F134" s="251"/>
      <c r="G134" s="181"/>
      <c r="H134" s="181"/>
      <c r="I134" s="107"/>
      <c r="J134" s="181"/>
      <c r="K134" s="107"/>
      <c r="L134" s="180"/>
      <c r="M134" s="181"/>
      <c r="N134" s="107"/>
      <c r="O134" s="181"/>
      <c r="P134" s="107"/>
      <c r="Q134" s="251"/>
      <c r="R134" s="181"/>
      <c r="S134" s="181"/>
      <c r="T134" s="107"/>
      <c r="U134" s="181"/>
      <c r="V134" s="107"/>
      <c r="W134" s="251"/>
      <c r="X134" s="181"/>
      <c r="Y134" s="181"/>
      <c r="Z134" s="107"/>
      <c r="AA134" s="181"/>
      <c r="AB134" s="107"/>
      <c r="AC134" s="251"/>
    </row>
    <row r="135" spans="1:29" ht="13.5" thickBot="1" x14ac:dyDescent="0.25">
      <c r="A135" s="1193" t="s">
        <v>130</v>
      </c>
      <c r="B135" s="1194"/>
      <c r="C135" s="97"/>
      <c r="D135" s="199"/>
      <c r="E135" s="97"/>
      <c r="F135" s="251"/>
      <c r="G135" s="1200" t="s">
        <v>130</v>
      </c>
      <c r="H135" s="1194"/>
      <c r="I135" s="97"/>
      <c r="J135" s="199"/>
      <c r="K135" s="97"/>
      <c r="L135" s="1193" t="s">
        <v>130</v>
      </c>
      <c r="M135" s="1194"/>
      <c r="N135" s="97"/>
      <c r="O135" s="199"/>
      <c r="P135" s="97"/>
      <c r="Q135" s="251"/>
      <c r="R135" s="1200" t="s">
        <v>130</v>
      </c>
      <c r="S135" s="1194"/>
      <c r="T135" s="97"/>
      <c r="U135" s="199"/>
      <c r="V135" s="97"/>
      <c r="W135" s="251"/>
      <c r="X135" s="1200" t="s">
        <v>130</v>
      </c>
      <c r="Y135" s="1194"/>
      <c r="Z135" s="97"/>
      <c r="AA135" s="199"/>
      <c r="AB135" s="97"/>
      <c r="AC135" s="251"/>
    </row>
    <row r="136" spans="1:29" x14ac:dyDescent="0.2">
      <c r="A136" s="568" t="s">
        <v>299</v>
      </c>
      <c r="B136" s="542">
        <f>E132</f>
        <v>0</v>
      </c>
      <c r="C136" s="97"/>
      <c r="D136" s="199"/>
      <c r="E136" s="97"/>
      <c r="F136" s="251"/>
      <c r="G136" s="572" t="s">
        <v>299</v>
      </c>
      <c r="H136" s="542">
        <f>K132</f>
        <v>0</v>
      </c>
      <c r="I136" s="97"/>
      <c r="J136" s="199"/>
      <c r="K136" s="97"/>
      <c r="L136" s="568" t="s">
        <v>131</v>
      </c>
      <c r="M136" s="542">
        <f>P132</f>
        <v>0</v>
      </c>
      <c r="N136" s="97"/>
      <c r="O136" s="199"/>
      <c r="P136" s="97"/>
      <c r="Q136" s="251"/>
      <c r="R136" s="572" t="s">
        <v>299</v>
      </c>
      <c r="S136" s="542">
        <f>V132</f>
        <v>162.29999999999998</v>
      </c>
      <c r="T136" s="97"/>
      <c r="U136" s="199"/>
      <c r="V136" s="97"/>
      <c r="W136" s="251"/>
      <c r="X136" s="572" t="s">
        <v>299</v>
      </c>
      <c r="Y136" s="542">
        <f>AB132</f>
        <v>162.29999999999998</v>
      </c>
      <c r="Z136" s="97"/>
      <c r="AA136" s="199"/>
      <c r="AB136" s="97"/>
      <c r="AC136" s="251"/>
    </row>
    <row r="137" spans="1:29" ht="13.5" thickBot="1" x14ac:dyDescent="0.25">
      <c r="A137" s="569" t="s">
        <v>58</v>
      </c>
      <c r="B137" s="543">
        <f>B15</f>
        <v>6220.83</v>
      </c>
      <c r="C137" s="97"/>
      <c r="D137" s="199"/>
      <c r="E137" s="97"/>
      <c r="F137" s="251"/>
      <c r="G137" s="573" t="s">
        <v>58</v>
      </c>
      <c r="H137" s="543">
        <f>H15</f>
        <v>6220.83</v>
      </c>
      <c r="I137" s="97"/>
      <c r="J137" s="199"/>
      <c r="K137" s="97"/>
      <c r="L137" s="569" t="s">
        <v>58</v>
      </c>
      <c r="M137" s="543">
        <f>M15</f>
        <v>6220.83</v>
      </c>
      <c r="N137" s="97"/>
      <c r="O137" s="199"/>
      <c r="P137" s="97"/>
      <c r="Q137" s="251"/>
      <c r="R137" s="573" t="s">
        <v>58</v>
      </c>
      <c r="S137" s="543">
        <f>S15</f>
        <v>6220.83</v>
      </c>
      <c r="T137" s="97"/>
      <c r="U137" s="199"/>
      <c r="V137" s="97"/>
      <c r="W137" s="251"/>
      <c r="X137" s="573" t="s">
        <v>58</v>
      </c>
      <c r="Y137" s="543">
        <f>Y15</f>
        <v>6220.83</v>
      </c>
      <c r="Z137" s="97"/>
      <c r="AA137" s="199"/>
      <c r="AB137" s="97"/>
      <c r="AC137" s="251"/>
    </row>
    <row r="138" spans="1:29" ht="15.75" thickBot="1" x14ac:dyDescent="0.3">
      <c r="A138" s="537" t="s">
        <v>132</v>
      </c>
      <c r="B138" s="544">
        <f>B136*B137</f>
        <v>0</v>
      </c>
      <c r="C138" s="97"/>
      <c r="D138" s="199"/>
      <c r="E138" s="97"/>
      <c r="F138" s="251"/>
      <c r="G138" s="574" t="s">
        <v>132</v>
      </c>
      <c r="H138" s="544">
        <f>H136*H137</f>
        <v>0</v>
      </c>
      <c r="I138" s="97"/>
      <c r="J138" s="199"/>
      <c r="K138" s="97"/>
      <c r="L138" s="537" t="s">
        <v>132</v>
      </c>
      <c r="M138" s="544">
        <f>M136*M137</f>
        <v>0</v>
      </c>
      <c r="N138" s="97"/>
      <c r="O138" s="199"/>
      <c r="P138" s="97"/>
      <c r="Q138" s="251"/>
      <c r="R138" s="574" t="s">
        <v>132</v>
      </c>
      <c r="S138" s="544">
        <f>S136*S137</f>
        <v>1009640.7089999999</v>
      </c>
      <c r="T138" s="97"/>
      <c r="U138" s="199"/>
      <c r="V138" s="97"/>
      <c r="W138" s="251"/>
      <c r="X138" s="574" t="s">
        <v>132</v>
      </c>
      <c r="Y138" s="544">
        <f>Y136*Y137</f>
        <v>1009640.7089999999</v>
      </c>
      <c r="Z138" s="97"/>
      <c r="AA138" s="199"/>
      <c r="AB138" s="97"/>
      <c r="AC138" s="251"/>
    </row>
    <row r="139" spans="1:29" ht="15" x14ac:dyDescent="0.25">
      <c r="A139" s="193"/>
      <c r="B139" s="194"/>
      <c r="C139" s="107"/>
      <c r="D139" s="107"/>
      <c r="E139" s="181"/>
      <c r="F139" s="251"/>
      <c r="G139" s="241"/>
      <c r="H139" s="194"/>
      <c r="I139" s="107"/>
      <c r="J139" s="107"/>
      <c r="K139" s="181"/>
      <c r="L139" s="193"/>
      <c r="M139" s="194"/>
      <c r="N139" s="107"/>
      <c r="O139" s="107"/>
      <c r="P139" s="181"/>
      <c r="Q139" s="251"/>
      <c r="R139" s="241"/>
      <c r="S139" s="194"/>
      <c r="T139" s="107"/>
      <c r="U139" s="107"/>
      <c r="V139" s="181"/>
      <c r="W139" s="251"/>
      <c r="X139" s="241"/>
      <c r="Y139" s="194"/>
      <c r="Z139" s="107"/>
      <c r="AA139" s="107"/>
      <c r="AB139" s="181"/>
      <c r="AC139" s="251"/>
    </row>
    <row r="140" spans="1:29" ht="15.75" thickBot="1" x14ac:dyDescent="0.3">
      <c r="A140" s="193"/>
      <c r="B140" s="194"/>
      <c r="C140" s="107"/>
      <c r="D140" s="107"/>
      <c r="E140" s="181"/>
      <c r="F140" s="251"/>
      <c r="G140" s="241"/>
      <c r="H140" s="194"/>
      <c r="I140" s="107"/>
      <c r="J140" s="107"/>
      <c r="K140" s="181"/>
      <c r="L140" s="193"/>
      <c r="M140" s="194"/>
      <c r="N140" s="107"/>
      <c r="O140" s="107"/>
      <c r="P140" s="181"/>
      <c r="Q140" s="251"/>
      <c r="R140" s="241"/>
      <c r="S140" s="194"/>
      <c r="T140" s="107"/>
      <c r="U140" s="107"/>
      <c r="V140" s="181"/>
      <c r="W140" s="251"/>
      <c r="X140" s="241"/>
      <c r="Y140" s="194"/>
      <c r="Z140" s="107"/>
      <c r="AA140" s="107"/>
      <c r="AB140" s="181"/>
      <c r="AC140" s="251"/>
    </row>
    <row r="141" spans="1:29" ht="13.5" thickBot="1" x14ac:dyDescent="0.25">
      <c r="A141" s="1193" t="s">
        <v>133</v>
      </c>
      <c r="B141" s="1194"/>
      <c r="C141" s="164"/>
      <c r="D141" s="164"/>
      <c r="E141" s="163"/>
      <c r="F141" s="251"/>
      <c r="G141" s="1200" t="s">
        <v>133</v>
      </c>
      <c r="H141" s="1194"/>
      <c r="I141" s="164"/>
      <c r="J141" s="164"/>
      <c r="K141" s="163"/>
      <c r="L141" s="1193" t="s">
        <v>133</v>
      </c>
      <c r="M141" s="1194"/>
      <c r="N141" s="164"/>
      <c r="O141" s="164"/>
      <c r="P141" s="163"/>
      <c r="Q141" s="251"/>
      <c r="R141" s="1200" t="s">
        <v>133</v>
      </c>
      <c r="S141" s="1194"/>
      <c r="T141" s="164"/>
      <c r="U141" s="164"/>
      <c r="V141" s="163"/>
      <c r="W141" s="251"/>
      <c r="X141" s="1200" t="s">
        <v>133</v>
      </c>
      <c r="Y141" s="1194"/>
      <c r="Z141" s="164"/>
      <c r="AA141" s="164"/>
      <c r="AB141" s="163"/>
      <c r="AC141" s="251"/>
    </row>
    <row r="142" spans="1:29" x14ac:dyDescent="0.2">
      <c r="A142" s="568" t="s">
        <v>134</v>
      </c>
      <c r="B142" s="542">
        <f>E130</f>
        <v>0</v>
      </c>
      <c r="C142" s="164"/>
      <c r="D142" s="164"/>
      <c r="E142" s="163"/>
      <c r="F142" s="251"/>
      <c r="G142" s="572" t="s">
        <v>134</v>
      </c>
      <c r="H142" s="542">
        <f>K130</f>
        <v>0</v>
      </c>
      <c r="I142" s="164"/>
      <c r="J142" s="164"/>
      <c r="K142" s="163"/>
      <c r="L142" s="568" t="s">
        <v>134</v>
      </c>
      <c r="M142" s="542">
        <f>P130</f>
        <v>0</v>
      </c>
      <c r="N142" s="164"/>
      <c r="O142" s="164"/>
      <c r="P142" s="163"/>
      <c r="Q142" s="251"/>
      <c r="R142" s="572" t="s">
        <v>134</v>
      </c>
      <c r="S142" s="542">
        <f>V130</f>
        <v>165</v>
      </c>
      <c r="T142" s="164"/>
      <c r="U142" s="164"/>
      <c r="V142" s="163"/>
      <c r="W142" s="251"/>
      <c r="X142" s="572" t="s">
        <v>134</v>
      </c>
      <c r="Y142" s="542">
        <f>AB130</f>
        <v>165</v>
      </c>
      <c r="Z142" s="164"/>
      <c r="AA142" s="164"/>
      <c r="AB142" s="163"/>
      <c r="AC142" s="251"/>
    </row>
    <row r="143" spans="1:29" ht="16.5" thickBot="1" x14ac:dyDescent="0.3">
      <c r="A143" s="569" t="s">
        <v>135</v>
      </c>
      <c r="B143" s="543">
        <f>B16</f>
        <v>2447.52</v>
      </c>
      <c r="C143" s="164"/>
      <c r="D143" s="164"/>
      <c r="E143" s="164"/>
      <c r="F143" s="253"/>
      <c r="G143" s="573" t="s">
        <v>135</v>
      </c>
      <c r="H143" s="543">
        <f>H16</f>
        <v>2447.52</v>
      </c>
      <c r="I143" s="164"/>
      <c r="J143" s="164"/>
      <c r="K143" s="164"/>
      <c r="L143" s="569" t="s">
        <v>135</v>
      </c>
      <c r="M143" s="543">
        <f>M16</f>
        <v>2447.52</v>
      </c>
      <c r="N143" s="164"/>
      <c r="O143" s="164"/>
      <c r="P143" s="164"/>
      <c r="Q143" s="253"/>
      <c r="R143" s="573" t="s">
        <v>135</v>
      </c>
      <c r="S143" s="543">
        <f>S16</f>
        <v>2447.52</v>
      </c>
      <c r="T143" s="164"/>
      <c r="U143" s="164"/>
      <c r="V143" s="164"/>
      <c r="W143" s="253"/>
      <c r="X143" s="573" t="s">
        <v>135</v>
      </c>
      <c r="Y143" s="543">
        <f>Y16</f>
        <v>2447.52</v>
      </c>
      <c r="Z143" s="164"/>
      <c r="AA143" s="164"/>
      <c r="AB143" s="164"/>
      <c r="AC143" s="253"/>
    </row>
    <row r="144" spans="1:29" ht="16.5" thickBot="1" x14ac:dyDescent="0.3">
      <c r="A144" s="537" t="s">
        <v>136</v>
      </c>
      <c r="B144" s="544">
        <f>B142*B143</f>
        <v>0</v>
      </c>
      <c r="C144" s="164"/>
      <c r="D144" s="164"/>
      <c r="E144" s="164"/>
      <c r="F144" s="253"/>
      <c r="G144" s="574" t="s">
        <v>136</v>
      </c>
      <c r="H144" s="544">
        <f>H142*H143</f>
        <v>0</v>
      </c>
      <c r="I144" s="164"/>
      <c r="J144" s="164"/>
      <c r="K144" s="164"/>
      <c r="L144" s="537" t="s">
        <v>136</v>
      </c>
      <c r="M144" s="544">
        <f>M142*M143</f>
        <v>0</v>
      </c>
      <c r="N144" s="164"/>
      <c r="O144" s="164"/>
      <c r="P144" s="164"/>
      <c r="Q144" s="253"/>
      <c r="R144" s="574" t="s">
        <v>136</v>
      </c>
      <c r="S144" s="544">
        <f>S142*S143</f>
        <v>403840.8</v>
      </c>
      <c r="T144" s="164"/>
      <c r="U144" s="164"/>
      <c r="V144" s="164"/>
      <c r="W144" s="253"/>
      <c r="X144" s="574" t="s">
        <v>136</v>
      </c>
      <c r="Y144" s="544">
        <f>Y142*Y143</f>
        <v>403840.8</v>
      </c>
      <c r="Z144" s="164"/>
      <c r="AA144" s="164"/>
      <c r="AB144" s="164"/>
      <c r="AC144" s="253"/>
    </row>
    <row r="145" spans="1:29" ht="15.75" x14ac:dyDescent="0.25">
      <c r="A145" s="195"/>
      <c r="B145" s="186"/>
      <c r="C145" s="186"/>
      <c r="D145" s="178"/>
      <c r="E145" s="190"/>
      <c r="F145" s="254"/>
      <c r="G145" s="186"/>
      <c r="H145" s="186"/>
      <c r="I145" s="186"/>
      <c r="J145" s="178"/>
      <c r="K145" s="190"/>
      <c r="L145" s="195"/>
      <c r="M145" s="186"/>
      <c r="N145" s="186"/>
      <c r="O145" s="178"/>
      <c r="P145" s="190"/>
      <c r="Q145" s="254"/>
      <c r="R145" s="186"/>
      <c r="S145" s="186"/>
      <c r="T145" s="186"/>
      <c r="U145" s="178"/>
      <c r="V145" s="190"/>
      <c r="W145" s="254"/>
      <c r="X145" s="186"/>
      <c r="Y145" s="186"/>
      <c r="Z145" s="186"/>
      <c r="AA145" s="178"/>
      <c r="AB145" s="190"/>
      <c r="AC145" s="254"/>
    </row>
    <row r="146" spans="1:29" ht="16.5" thickBot="1" x14ac:dyDescent="0.3">
      <c r="A146" s="195"/>
      <c r="B146" s="186"/>
      <c r="C146" s="186"/>
      <c r="D146" s="178"/>
      <c r="E146" s="190"/>
      <c r="F146" s="254"/>
      <c r="G146" s="186"/>
      <c r="H146" s="186"/>
      <c r="I146" s="186"/>
      <c r="J146" s="178"/>
      <c r="K146" s="190"/>
      <c r="L146" s="195"/>
      <c r="M146" s="186"/>
      <c r="N146" s="186"/>
      <c r="O146" s="178"/>
      <c r="P146" s="190"/>
      <c r="Q146" s="254"/>
      <c r="R146" s="186"/>
      <c r="S146" s="186"/>
      <c r="T146" s="186"/>
      <c r="U146" s="178"/>
      <c r="V146" s="190"/>
      <c r="W146" s="254"/>
      <c r="X146" s="186"/>
      <c r="Y146" s="186"/>
      <c r="Z146" s="186"/>
      <c r="AA146" s="178"/>
      <c r="AB146" s="190"/>
      <c r="AC146" s="254"/>
    </row>
    <row r="147" spans="1:29" ht="13.5" thickBot="1" x14ac:dyDescent="0.25">
      <c r="A147" s="1193" t="s">
        <v>137</v>
      </c>
      <c r="B147" s="1194"/>
      <c r="C147" s="185"/>
      <c r="D147" s="200"/>
      <c r="E147" s="201"/>
      <c r="F147" s="255"/>
      <c r="G147" s="1200" t="s">
        <v>137</v>
      </c>
      <c r="H147" s="1194"/>
      <c r="I147" s="185"/>
      <c r="J147" s="200"/>
      <c r="K147" s="201"/>
      <c r="L147" s="1193" t="s">
        <v>137</v>
      </c>
      <c r="M147" s="1194"/>
      <c r="N147" s="185"/>
      <c r="O147" s="200"/>
      <c r="P147" s="201"/>
      <c r="Q147" s="255"/>
      <c r="R147" s="1200" t="s">
        <v>137</v>
      </c>
      <c r="S147" s="1194"/>
      <c r="T147" s="185"/>
      <c r="U147" s="200"/>
      <c r="V147" s="201"/>
      <c r="W147" s="255"/>
      <c r="X147" s="1200" t="s">
        <v>137</v>
      </c>
      <c r="Y147" s="1194"/>
      <c r="Z147" s="185"/>
      <c r="AA147" s="200"/>
      <c r="AB147" s="201"/>
      <c r="AC147" s="255"/>
    </row>
    <row r="148" spans="1:29" x14ac:dyDescent="0.2">
      <c r="A148" s="568" t="s">
        <v>132</v>
      </c>
      <c r="B148" s="545">
        <f>B138</f>
        <v>0</v>
      </c>
      <c r="C148" s="185"/>
      <c r="D148" s="200"/>
      <c r="E148" s="201"/>
      <c r="F148" s="255"/>
      <c r="G148" s="572" t="s">
        <v>132</v>
      </c>
      <c r="H148" s="545">
        <f>H138</f>
        <v>0</v>
      </c>
      <c r="I148" s="185"/>
      <c r="J148" s="200"/>
      <c r="K148" s="201"/>
      <c r="L148" s="568" t="s">
        <v>132</v>
      </c>
      <c r="M148" s="545">
        <f>M138</f>
        <v>0</v>
      </c>
      <c r="N148" s="185"/>
      <c r="O148" s="200"/>
      <c r="P148" s="201"/>
      <c r="Q148" s="255"/>
      <c r="R148" s="572" t="s">
        <v>132</v>
      </c>
      <c r="S148" s="545">
        <f>S138</f>
        <v>1009640.7089999999</v>
      </c>
      <c r="T148" s="185"/>
      <c r="U148" s="200"/>
      <c r="V148" s="201"/>
      <c r="W148" s="255"/>
      <c r="X148" s="572" t="s">
        <v>132</v>
      </c>
      <c r="Y148" s="545">
        <f>Y138</f>
        <v>1009640.7089999999</v>
      </c>
      <c r="Z148" s="185"/>
      <c r="AA148" s="200"/>
      <c r="AB148" s="201"/>
      <c r="AC148" s="255"/>
    </row>
    <row r="149" spans="1:29" ht="12.75" customHeight="1" thickBot="1" x14ac:dyDescent="0.25">
      <c r="A149" s="568" t="s">
        <v>136</v>
      </c>
      <c r="B149" s="543">
        <f>B144</f>
        <v>0</v>
      </c>
      <c r="C149" s="185"/>
      <c r="D149" s="200"/>
      <c r="E149" s="201"/>
      <c r="F149" s="255"/>
      <c r="G149" s="572" t="s">
        <v>136</v>
      </c>
      <c r="H149" s="543">
        <f>H144</f>
        <v>0</v>
      </c>
      <c r="I149" s="185"/>
      <c r="J149" s="200"/>
      <c r="K149" s="201"/>
      <c r="L149" s="568" t="s">
        <v>136</v>
      </c>
      <c r="M149" s="543">
        <f>M144</f>
        <v>0</v>
      </c>
      <c r="N149" s="185"/>
      <c r="O149" s="200"/>
      <c r="P149" s="201"/>
      <c r="Q149" s="255"/>
      <c r="R149" s="572" t="s">
        <v>136</v>
      </c>
      <c r="S149" s="543">
        <f>S144</f>
        <v>403840.8</v>
      </c>
      <c r="T149" s="185"/>
      <c r="U149" s="200"/>
      <c r="V149" s="586"/>
      <c r="W149" s="255"/>
      <c r="X149" s="572" t="s">
        <v>136</v>
      </c>
      <c r="Y149" s="543">
        <f>Y144</f>
        <v>403840.8</v>
      </c>
      <c r="Z149" s="185"/>
      <c r="AA149" s="200"/>
      <c r="AB149" s="201"/>
      <c r="AC149" s="255"/>
    </row>
    <row r="150" spans="1:29" ht="15.75" thickBot="1" x14ac:dyDescent="0.3">
      <c r="A150" s="537" t="s">
        <v>138</v>
      </c>
      <c r="B150" s="544">
        <f>B148+B149</f>
        <v>0</v>
      </c>
      <c r="C150" s="185"/>
      <c r="D150" s="200"/>
      <c r="E150" s="201"/>
      <c r="F150" s="256"/>
      <c r="G150" s="574" t="s">
        <v>138</v>
      </c>
      <c r="H150" s="544">
        <f>H148+H149</f>
        <v>0</v>
      </c>
      <c r="I150" s="185"/>
      <c r="J150" s="200"/>
      <c r="K150" s="201"/>
      <c r="L150" s="537" t="s">
        <v>138</v>
      </c>
      <c r="M150" s="544">
        <f>M148+M149</f>
        <v>0</v>
      </c>
      <c r="N150" s="185"/>
      <c r="O150" s="200"/>
      <c r="P150" s="201"/>
      <c r="Q150" s="256"/>
      <c r="R150" s="574" t="s">
        <v>138</v>
      </c>
      <c r="S150" s="544">
        <f>S148+S149</f>
        <v>1413481.5089999998</v>
      </c>
      <c r="T150" s="185"/>
      <c r="U150" s="200"/>
      <c r="V150" s="586"/>
      <c r="W150" s="256"/>
      <c r="X150" s="574" t="s">
        <v>138</v>
      </c>
      <c r="Y150" s="544">
        <f>Y148+Y149</f>
        <v>1413481.5089999998</v>
      </c>
      <c r="Z150" s="185"/>
      <c r="AA150" s="200"/>
      <c r="AB150" s="201"/>
      <c r="AC150" s="256"/>
    </row>
    <row r="151" spans="1:29" ht="15" x14ac:dyDescent="0.25">
      <c r="A151" s="182"/>
      <c r="B151" s="183"/>
      <c r="C151" s="185"/>
      <c r="D151" s="200"/>
      <c r="E151" s="201"/>
      <c r="F151" s="256"/>
      <c r="G151" s="182"/>
      <c r="H151" s="183"/>
      <c r="I151" s="185"/>
      <c r="J151" s="200"/>
      <c r="K151" s="201"/>
      <c r="L151" s="182"/>
      <c r="M151" s="183"/>
      <c r="N151" s="185"/>
      <c r="O151" s="200"/>
      <c r="P151" s="201"/>
      <c r="Q151" s="256"/>
      <c r="R151" s="7"/>
      <c r="S151" s="183"/>
      <c r="T151" s="185"/>
      <c r="U151" s="200"/>
      <c r="V151" s="586"/>
      <c r="W151" s="256"/>
      <c r="X151" s="7"/>
      <c r="Y151" s="183"/>
      <c r="Z151" s="185"/>
      <c r="AA151" s="200"/>
      <c r="AB151" s="201"/>
      <c r="AC151" s="256"/>
    </row>
    <row r="152" spans="1:29" ht="15" hidden="1" x14ac:dyDescent="0.25">
      <c r="A152" s="182"/>
      <c r="B152" s="183"/>
      <c r="C152" s="185"/>
      <c r="D152" s="200"/>
      <c r="E152" s="201"/>
      <c r="F152" s="256"/>
      <c r="G152" s="182"/>
      <c r="H152" s="183"/>
      <c r="I152" s="185"/>
      <c r="J152" s="200"/>
      <c r="K152" s="201"/>
      <c r="L152" s="182"/>
      <c r="M152" s="183"/>
      <c r="N152" s="185"/>
      <c r="O152" s="200"/>
      <c r="P152" s="201"/>
      <c r="Q152" s="256"/>
      <c r="R152" s="7"/>
      <c r="S152" s="183"/>
      <c r="T152" s="185"/>
      <c r="U152" s="200"/>
      <c r="V152" s="586"/>
      <c r="W152" s="256"/>
      <c r="X152" s="7"/>
      <c r="Y152" s="183"/>
      <c r="Z152" s="185"/>
      <c r="AA152" s="200"/>
      <c r="AB152" s="201"/>
      <c r="AC152" s="256"/>
    </row>
    <row r="153" spans="1:29" ht="15.75" hidden="1" thickBot="1" x14ac:dyDescent="0.3">
      <c r="A153" s="182"/>
      <c r="B153" s="183"/>
      <c r="C153" s="185"/>
      <c r="D153" s="200"/>
      <c r="E153" s="201"/>
      <c r="F153" s="256"/>
      <c r="G153" s="450"/>
      <c r="H153" s="264"/>
      <c r="I153" s="265"/>
      <c r="J153" s="188"/>
      <c r="K153" s="266"/>
      <c r="L153" s="450"/>
      <c r="M153" s="264"/>
      <c r="N153" s="265"/>
      <c r="O153" s="188"/>
      <c r="P153" s="584"/>
      <c r="Q153" s="256"/>
      <c r="R153" s="239"/>
      <c r="S153" s="264"/>
      <c r="T153" s="265"/>
      <c r="U153" s="188"/>
      <c r="V153" s="584"/>
      <c r="W153" s="256"/>
      <c r="X153" s="239"/>
      <c r="Y153" s="264"/>
      <c r="Z153" s="265"/>
      <c r="AA153" s="188"/>
      <c r="AB153" s="266"/>
      <c r="AC153" s="256"/>
    </row>
    <row r="154" spans="1:29" ht="16.5" hidden="1" customHeight="1" thickBot="1" x14ac:dyDescent="0.25">
      <c r="A154" s="1195" t="s">
        <v>139</v>
      </c>
      <c r="B154" s="1196"/>
      <c r="C154" s="1196"/>
      <c r="D154" s="1196"/>
      <c r="E154" s="1197"/>
      <c r="F154" s="676"/>
      <c r="G154" s="1195" t="s">
        <v>139</v>
      </c>
      <c r="H154" s="1196"/>
      <c r="I154" s="1196"/>
      <c r="J154" s="1196"/>
      <c r="K154" s="1196"/>
      <c r="L154" s="1195" t="s">
        <v>139</v>
      </c>
      <c r="M154" s="1196"/>
      <c r="N154" s="1196"/>
      <c r="O154" s="1196"/>
      <c r="P154" s="1197"/>
      <c r="Q154" s="683"/>
      <c r="R154" s="1195" t="s">
        <v>139</v>
      </c>
      <c r="S154" s="1196"/>
      <c r="T154" s="1196"/>
      <c r="U154" s="1196"/>
      <c r="V154" s="1197"/>
      <c r="W154" s="684"/>
      <c r="X154" s="1195" t="s">
        <v>139</v>
      </c>
      <c r="Y154" s="1196"/>
      <c r="Z154" s="1196"/>
      <c r="AA154" s="1196"/>
      <c r="AB154" s="1197"/>
      <c r="AC154" s="685"/>
    </row>
    <row r="155" spans="1:29" hidden="1" x14ac:dyDescent="0.2">
      <c r="A155" s="195"/>
      <c r="B155" s="186"/>
      <c r="C155" s="186"/>
      <c r="D155" s="178"/>
      <c r="E155" s="448"/>
      <c r="F155" s="677"/>
      <c r="G155" s="195"/>
      <c r="H155" s="186"/>
      <c r="I155" s="186"/>
      <c r="J155" s="178"/>
      <c r="K155" s="190"/>
      <c r="L155" s="195"/>
      <c r="M155" s="186"/>
      <c r="N155" s="186"/>
      <c r="O155" s="178"/>
      <c r="P155" s="448"/>
      <c r="Q155" s="587"/>
      <c r="R155" s="186"/>
      <c r="S155" s="186"/>
      <c r="T155" s="186"/>
      <c r="U155" s="178"/>
      <c r="V155" s="448"/>
      <c r="W155" s="587"/>
      <c r="X155" s="186"/>
      <c r="Y155" s="186"/>
      <c r="Z155" s="186"/>
      <c r="AA155" s="178"/>
      <c r="AB155" s="190"/>
      <c r="AC155" s="587"/>
    </row>
    <row r="156" spans="1:29" ht="15.75" hidden="1" thickBot="1" x14ac:dyDescent="0.3">
      <c r="A156" s="550" t="s">
        <v>140</v>
      </c>
      <c r="B156" s="550">
        <f>D30+D66+E130+E98</f>
        <v>0</v>
      </c>
      <c r="C156" s="164"/>
      <c r="D156" s="164"/>
      <c r="E156" s="585"/>
      <c r="F156" s="678"/>
      <c r="G156" s="550" t="s">
        <v>140</v>
      </c>
      <c r="H156" s="550">
        <f>J30+J66+K130+K98</f>
        <v>0</v>
      </c>
      <c r="I156" s="164"/>
      <c r="J156" s="164"/>
      <c r="K156" s="163"/>
      <c r="L156" s="550" t="s">
        <v>140</v>
      </c>
      <c r="M156" s="550">
        <f>O30+O66+P130</f>
        <v>0</v>
      </c>
      <c r="N156" s="164"/>
      <c r="O156" s="164"/>
      <c r="P156" s="585"/>
      <c r="Q156" s="251"/>
      <c r="R156" s="583" t="s">
        <v>140</v>
      </c>
      <c r="S156" s="550">
        <f>U30+U66+V130</f>
        <v>165</v>
      </c>
      <c r="T156" s="164"/>
      <c r="U156" s="164"/>
      <c r="V156" s="585"/>
      <c r="W156" s="251"/>
      <c r="X156" s="583" t="s">
        <v>140</v>
      </c>
      <c r="Y156" s="550">
        <f>AA30+AA66+AB130</f>
        <v>165</v>
      </c>
      <c r="Z156" s="164"/>
      <c r="AA156" s="164"/>
      <c r="AB156" s="163"/>
      <c r="AC156" s="251"/>
    </row>
    <row r="157" spans="1:29" hidden="1" x14ac:dyDescent="0.2">
      <c r="A157" s="203"/>
      <c r="B157" s="107"/>
      <c r="C157" s="170"/>
      <c r="D157" s="170"/>
      <c r="E157" s="438"/>
      <c r="F157" s="678"/>
      <c r="G157" s="203"/>
      <c r="H157" s="107"/>
      <c r="I157" s="170"/>
      <c r="J157" s="170"/>
      <c r="K157" s="169"/>
      <c r="L157" s="203"/>
      <c r="M157" s="107"/>
      <c r="N157" s="170"/>
      <c r="O157" s="170"/>
      <c r="P157" s="169"/>
      <c r="Q157" s="251"/>
      <c r="R157" s="107"/>
      <c r="S157" s="107"/>
      <c r="T157" s="170"/>
      <c r="U157" s="170"/>
      <c r="V157" s="169"/>
      <c r="W157" s="251"/>
      <c r="X157" s="107"/>
      <c r="Y157" s="107"/>
      <c r="Z157" s="170"/>
      <c r="AA157" s="170"/>
      <c r="AB157" s="169"/>
      <c r="AC157" s="251"/>
    </row>
    <row r="158" spans="1:29" ht="13.5" hidden="1" customHeight="1" thickBot="1" x14ac:dyDescent="0.25">
      <c r="A158" s="1223" t="s">
        <v>337</v>
      </c>
      <c r="B158" s="1224"/>
      <c r="C158" s="1224"/>
      <c r="D158" s="1224"/>
      <c r="E158" s="1225"/>
      <c r="F158" s="678"/>
      <c r="G158" s="1223" t="s">
        <v>338</v>
      </c>
      <c r="H158" s="1224"/>
      <c r="I158" s="1224"/>
      <c r="J158" s="1224"/>
      <c r="K158" s="1224"/>
      <c r="L158" s="1223" t="s">
        <v>339</v>
      </c>
      <c r="M158" s="1224"/>
      <c r="N158" s="1224"/>
      <c r="O158" s="1224"/>
      <c r="P158" s="1225"/>
      <c r="Q158" s="251"/>
      <c r="R158" s="1223" t="s">
        <v>340</v>
      </c>
      <c r="S158" s="1224"/>
      <c r="T158" s="1224"/>
      <c r="U158" s="1224"/>
      <c r="V158" s="1225"/>
      <c r="W158" s="251"/>
      <c r="X158" s="1223" t="s">
        <v>341</v>
      </c>
      <c r="Y158" s="1224"/>
      <c r="Z158" s="1224"/>
      <c r="AA158" s="1224"/>
      <c r="AB158" s="1225"/>
      <c r="AC158" s="251"/>
    </row>
    <row r="159" spans="1:29" ht="13.5" hidden="1" thickBot="1" x14ac:dyDescent="0.25">
      <c r="A159" s="537" t="s">
        <v>141</v>
      </c>
      <c r="B159" s="204"/>
      <c r="C159" s="107"/>
      <c r="D159" s="107"/>
      <c r="E159" s="446"/>
      <c r="F159" s="678"/>
      <c r="G159" s="537" t="s">
        <v>141</v>
      </c>
      <c r="H159" s="204"/>
      <c r="I159" s="107"/>
      <c r="J159" s="107"/>
      <c r="K159" s="181"/>
      <c r="L159" s="537" t="s">
        <v>141</v>
      </c>
      <c r="M159" s="204"/>
      <c r="N159" s="107"/>
      <c r="O159" s="107"/>
      <c r="P159" s="181"/>
      <c r="Q159" s="251"/>
      <c r="R159" s="574" t="s">
        <v>141</v>
      </c>
      <c r="S159" s="204"/>
      <c r="T159" s="107"/>
      <c r="U159" s="107"/>
      <c r="V159" s="181"/>
      <c r="W159" s="251"/>
      <c r="X159" s="574" t="s">
        <v>141</v>
      </c>
      <c r="Y159" s="204"/>
      <c r="Z159" s="107"/>
      <c r="AA159" s="107"/>
      <c r="AB159" s="181"/>
      <c r="AC159" s="251"/>
    </row>
    <row r="160" spans="1:29" ht="13.5" hidden="1" thickBot="1" x14ac:dyDescent="0.25">
      <c r="A160" s="537" t="s">
        <v>142</v>
      </c>
      <c r="B160" s="204">
        <v>100</v>
      </c>
      <c r="C160" s="107"/>
      <c r="D160" s="107"/>
      <c r="E160" s="446"/>
      <c r="F160" s="678"/>
      <c r="G160" s="537" t="s">
        <v>142</v>
      </c>
      <c r="H160" s="204">
        <v>200</v>
      </c>
      <c r="I160" s="107"/>
      <c r="J160" s="107"/>
      <c r="K160" s="181"/>
      <c r="L160" s="537" t="s">
        <v>142</v>
      </c>
      <c r="M160" s="204">
        <v>300</v>
      </c>
      <c r="N160" s="107"/>
      <c r="O160" s="107"/>
      <c r="P160" s="181"/>
      <c r="Q160" s="251"/>
      <c r="R160" s="574" t="s">
        <v>142</v>
      </c>
      <c r="S160" s="204">
        <v>400</v>
      </c>
      <c r="T160" s="107"/>
      <c r="U160" s="107"/>
      <c r="V160" s="181"/>
      <c r="W160" s="251"/>
      <c r="X160" s="574" t="s">
        <v>142</v>
      </c>
      <c r="Y160" s="204">
        <v>500</v>
      </c>
      <c r="Z160" s="107"/>
      <c r="AA160" s="107"/>
      <c r="AB160" s="181"/>
      <c r="AC160" s="251"/>
    </row>
    <row r="161" spans="1:29" ht="13.5" hidden="1" thickBot="1" x14ac:dyDescent="0.25">
      <c r="A161" s="537" t="s">
        <v>332</v>
      </c>
      <c r="B161" s="551">
        <f>B159+B160</f>
        <v>100</v>
      </c>
      <c r="C161" s="107"/>
      <c r="D161" s="107"/>
      <c r="E161" s="446"/>
      <c r="F161" s="678"/>
      <c r="G161" s="574" t="s">
        <v>333</v>
      </c>
      <c r="H161" s="551">
        <f>H159+H160</f>
        <v>200</v>
      </c>
      <c r="I161" s="107"/>
      <c r="J161" s="107"/>
      <c r="K161" s="181"/>
      <c r="L161" s="537" t="s">
        <v>334</v>
      </c>
      <c r="M161" s="551">
        <f>M159+M160</f>
        <v>300</v>
      </c>
      <c r="N161" s="107"/>
      <c r="O161" s="107"/>
      <c r="P161" s="181"/>
      <c r="Q161" s="251"/>
      <c r="R161" s="574" t="s">
        <v>335</v>
      </c>
      <c r="S161" s="551">
        <f>S159+S160</f>
        <v>400</v>
      </c>
      <c r="T161" s="107"/>
      <c r="U161" s="107"/>
      <c r="V161" s="181"/>
      <c r="W161" s="251"/>
      <c r="X161" s="574" t="s">
        <v>336</v>
      </c>
      <c r="Y161" s="205">
        <f>Y159+Y160</f>
        <v>500</v>
      </c>
      <c r="Z161" s="107"/>
      <c r="AA161" s="107"/>
      <c r="AB161" s="181"/>
      <c r="AC161" s="251"/>
    </row>
    <row r="162" spans="1:29" hidden="1" x14ac:dyDescent="0.2">
      <c r="A162" s="203"/>
      <c r="B162" s="107"/>
      <c r="C162" s="107"/>
      <c r="D162" s="107"/>
      <c r="E162" s="446"/>
      <c r="F162" s="678"/>
      <c r="G162" s="107"/>
      <c r="H162" s="107"/>
      <c r="I162" s="107"/>
      <c r="J162" s="107"/>
      <c r="K162" s="181"/>
      <c r="L162" s="203"/>
      <c r="M162" s="107"/>
      <c r="N162" s="107"/>
      <c r="O162" s="107"/>
      <c r="P162" s="181"/>
      <c r="Q162" s="251"/>
      <c r="R162" s="107"/>
      <c r="S162" s="107"/>
      <c r="T162" s="107"/>
      <c r="U162" s="107"/>
      <c r="V162" s="181"/>
      <c r="W162" s="251"/>
      <c r="X162" s="107"/>
      <c r="Y162" s="107"/>
      <c r="Z162" s="107"/>
      <c r="AA162" s="107"/>
      <c r="AB162" s="181"/>
      <c r="AC162" s="251"/>
    </row>
    <row r="163" spans="1:29" ht="13.5" thickBot="1" x14ac:dyDescent="0.25">
      <c r="A163" s="217"/>
      <c r="B163" s="218"/>
      <c r="C163" s="218"/>
      <c r="D163" s="218"/>
      <c r="E163" s="588"/>
      <c r="F163" s="678"/>
      <c r="G163" s="107"/>
      <c r="H163" s="107"/>
      <c r="I163" s="107"/>
      <c r="J163" s="107"/>
      <c r="K163" s="181"/>
      <c r="L163" s="203"/>
      <c r="M163" s="107"/>
      <c r="N163" s="107"/>
      <c r="O163" s="107"/>
      <c r="P163" s="181"/>
      <c r="Q163" s="251"/>
      <c r="R163" s="107"/>
      <c r="S163" s="107"/>
      <c r="T163" s="107"/>
      <c r="U163" s="107"/>
      <c r="V163" s="181"/>
      <c r="W163" s="251"/>
      <c r="X163" s="107"/>
      <c r="Y163" s="107"/>
      <c r="Z163" s="107"/>
      <c r="AA163" s="107"/>
      <c r="AB163" s="181"/>
      <c r="AC163" s="251"/>
    </row>
    <row r="164" spans="1:29" ht="15.75" x14ac:dyDescent="0.25">
      <c r="A164" s="1201" t="s">
        <v>143</v>
      </c>
      <c r="B164" s="1202"/>
      <c r="C164" s="1202"/>
      <c r="D164" s="1202"/>
      <c r="E164" s="1219"/>
      <c r="F164" s="679"/>
      <c r="G164" s="1201" t="s">
        <v>143</v>
      </c>
      <c r="H164" s="1202"/>
      <c r="I164" s="1202"/>
      <c r="J164" s="1202"/>
      <c r="K164" s="1202"/>
      <c r="L164" s="1201" t="s">
        <v>143</v>
      </c>
      <c r="M164" s="1202"/>
      <c r="N164" s="1202"/>
      <c r="O164" s="1202"/>
      <c r="P164" s="1219"/>
      <c r="Q164" s="253"/>
      <c r="R164" s="1201" t="s">
        <v>143</v>
      </c>
      <c r="S164" s="1202"/>
      <c r="T164" s="1202"/>
      <c r="U164" s="1202"/>
      <c r="V164" s="1219"/>
      <c r="W164" s="253"/>
      <c r="X164" s="1201" t="s">
        <v>143</v>
      </c>
      <c r="Y164" s="1202"/>
      <c r="Z164" s="1202"/>
      <c r="AA164" s="1202"/>
      <c r="AB164" s="1219"/>
      <c r="AC164" s="253"/>
    </row>
    <row r="165" spans="1:29" ht="16.5" thickBot="1" x14ac:dyDescent="0.3">
      <c r="A165" s="1203"/>
      <c r="B165" s="1204"/>
      <c r="C165" s="1204"/>
      <c r="D165" s="1204"/>
      <c r="E165" s="1220"/>
      <c r="F165" s="679"/>
      <c r="G165" s="1203"/>
      <c r="H165" s="1204"/>
      <c r="I165" s="1204"/>
      <c r="J165" s="1204"/>
      <c r="K165" s="1204"/>
      <c r="L165" s="1203"/>
      <c r="M165" s="1204"/>
      <c r="N165" s="1204"/>
      <c r="O165" s="1204"/>
      <c r="P165" s="1220"/>
      <c r="Q165" s="253"/>
      <c r="R165" s="1203"/>
      <c r="S165" s="1204"/>
      <c r="T165" s="1204"/>
      <c r="U165" s="1204"/>
      <c r="V165" s="1220"/>
      <c r="W165" s="253"/>
      <c r="X165" s="1203"/>
      <c r="Y165" s="1204"/>
      <c r="Z165" s="1204"/>
      <c r="AA165" s="1204"/>
      <c r="AB165" s="1220"/>
      <c r="AC165" s="253"/>
    </row>
    <row r="166" spans="1:29" ht="16.5" hidden="1" thickBot="1" x14ac:dyDescent="0.3">
      <c r="A166" s="589" t="s">
        <v>144</v>
      </c>
      <c r="B166" s="474"/>
      <c r="C166" s="474"/>
      <c r="D166" s="474"/>
      <c r="E166" s="475"/>
      <c r="F166" s="680"/>
      <c r="G166" s="590" t="s">
        <v>144</v>
      </c>
      <c r="H166" s="474"/>
      <c r="I166" s="474"/>
      <c r="J166" s="474"/>
      <c r="K166" s="474"/>
      <c r="L166" s="589" t="s">
        <v>144</v>
      </c>
      <c r="M166" s="1014"/>
      <c r="N166" s="1014"/>
      <c r="O166" s="1014"/>
      <c r="P166" s="1014"/>
      <c r="Q166" s="250"/>
      <c r="R166" s="590" t="s">
        <v>144</v>
      </c>
      <c r="S166" s="474"/>
      <c r="T166" s="474"/>
      <c r="U166" s="474"/>
      <c r="V166" s="474"/>
      <c r="W166" s="250"/>
      <c r="X166" s="590" t="s">
        <v>144</v>
      </c>
      <c r="Y166" s="474"/>
      <c r="Z166" s="474"/>
      <c r="AA166" s="474"/>
      <c r="AB166" s="474"/>
      <c r="AC166" s="250"/>
    </row>
    <row r="167" spans="1:29" hidden="1" x14ac:dyDescent="0.2">
      <c r="A167" s="206"/>
      <c r="B167" s="97"/>
      <c r="C167" s="207"/>
      <c r="D167" s="207"/>
      <c r="E167" s="208"/>
      <c r="F167" s="678"/>
      <c r="G167" s="97"/>
      <c r="H167" s="97"/>
      <c r="I167" s="207"/>
      <c r="J167" s="207"/>
      <c r="K167" s="267"/>
      <c r="L167" s="206"/>
      <c r="M167" s="97"/>
      <c r="N167" s="207"/>
      <c r="O167" s="207"/>
      <c r="P167" s="267"/>
      <c r="Q167" s="251"/>
      <c r="R167" s="97"/>
      <c r="S167" s="97"/>
      <c r="T167" s="207"/>
      <c r="U167" s="207"/>
      <c r="V167" s="267"/>
      <c r="W167" s="251"/>
      <c r="X167" s="97"/>
      <c r="Y167" s="97"/>
      <c r="Z167" s="207"/>
      <c r="AA167" s="207"/>
      <c r="AB167" s="267"/>
      <c r="AC167" s="251"/>
    </row>
    <row r="168" spans="1:29" x14ac:dyDescent="0.2">
      <c r="A168" s="591" t="s">
        <v>38</v>
      </c>
      <c r="B168" s="552">
        <f>D30+D66+E98+E130</f>
        <v>0</v>
      </c>
      <c r="C168" s="209"/>
      <c r="D168" s="209"/>
      <c r="E168" s="210"/>
      <c r="F168" s="678"/>
      <c r="G168" s="593" t="s">
        <v>38</v>
      </c>
      <c r="H168" s="552">
        <f>J30+J66+K98+K130</f>
        <v>0</v>
      </c>
      <c r="I168" s="209"/>
      <c r="J168" s="209"/>
      <c r="K168" s="268"/>
      <c r="L168" s="591" t="s">
        <v>38</v>
      </c>
      <c r="M168" s="552">
        <f>O30+O66+P98+P130</f>
        <v>0</v>
      </c>
      <c r="N168" s="209"/>
      <c r="O168" s="209"/>
      <c r="P168" s="268"/>
      <c r="Q168" s="251"/>
      <c r="R168" s="593" t="s">
        <v>38</v>
      </c>
      <c r="S168" s="552">
        <f>U30+U66+V98+V130</f>
        <v>165</v>
      </c>
      <c r="T168" s="209"/>
      <c r="U168" s="209"/>
      <c r="V168" s="268"/>
      <c r="W168" s="251"/>
      <c r="X168" s="593" t="s">
        <v>38</v>
      </c>
      <c r="Y168" s="552">
        <f>AA30+AA66+AB98+AB130</f>
        <v>165</v>
      </c>
      <c r="Z168" s="209"/>
      <c r="AA168" s="209"/>
      <c r="AB168" s="268"/>
      <c r="AC168" s="251"/>
    </row>
    <row r="169" spans="1:29" ht="13.5" thickBot="1" x14ac:dyDescent="0.25">
      <c r="A169" s="592" t="s">
        <v>145</v>
      </c>
      <c r="B169" s="553">
        <v>750</v>
      </c>
      <c r="C169" s="209"/>
      <c r="D169" s="209"/>
      <c r="E169" s="211"/>
      <c r="F169" s="678"/>
      <c r="G169" s="594" t="s">
        <v>145</v>
      </c>
      <c r="H169" s="553">
        <v>750</v>
      </c>
      <c r="I169" s="209"/>
      <c r="J169" s="209"/>
      <c r="K169" s="269"/>
      <c r="L169" s="592" t="s">
        <v>145</v>
      </c>
      <c r="M169" s="553">
        <v>750</v>
      </c>
      <c r="N169" s="209"/>
      <c r="O169" s="209"/>
      <c r="P169" s="269"/>
      <c r="Q169" s="251"/>
      <c r="R169" s="594" t="s">
        <v>145</v>
      </c>
      <c r="S169" s="553">
        <v>750</v>
      </c>
      <c r="T169" s="209"/>
      <c r="U169" s="209"/>
      <c r="V169" s="269"/>
      <c r="W169" s="251"/>
      <c r="X169" s="594" t="s">
        <v>145</v>
      </c>
      <c r="Y169" s="553">
        <v>750</v>
      </c>
      <c r="Z169" s="209"/>
      <c r="AA169" s="209"/>
      <c r="AB169" s="269"/>
      <c r="AC169" s="251"/>
    </row>
    <row r="170" spans="1:29" ht="13.5" thickBot="1" x14ac:dyDescent="0.25">
      <c r="A170" s="549" t="s">
        <v>40</v>
      </c>
      <c r="B170" s="554">
        <f>B168*B169</f>
        <v>0</v>
      </c>
      <c r="C170" s="6"/>
      <c r="D170" s="6"/>
      <c r="E170" s="212"/>
      <c r="F170" s="678"/>
      <c r="G170" s="595" t="s">
        <v>40</v>
      </c>
      <c r="H170" s="554">
        <f>H168*H169</f>
        <v>0</v>
      </c>
      <c r="I170" s="6"/>
      <c r="J170" s="6"/>
      <c r="K170" s="270"/>
      <c r="L170" s="549" t="s">
        <v>40</v>
      </c>
      <c r="M170" s="554">
        <f>M168*M169</f>
        <v>0</v>
      </c>
      <c r="N170" s="6"/>
      <c r="O170" s="6"/>
      <c r="P170" s="270"/>
      <c r="Q170" s="251"/>
      <c r="R170" s="595" t="s">
        <v>40</v>
      </c>
      <c r="S170" s="554">
        <f>S168*S169</f>
        <v>123750</v>
      </c>
      <c r="T170" s="6"/>
      <c r="U170" s="6"/>
      <c r="V170" s="270"/>
      <c r="W170" s="251"/>
      <c r="X170" s="595" t="s">
        <v>40</v>
      </c>
      <c r="Y170" s="554">
        <f>Y168*Y169</f>
        <v>123750</v>
      </c>
      <c r="Z170" s="6"/>
      <c r="AA170" s="6"/>
      <c r="AB170" s="270"/>
      <c r="AC170" s="251"/>
    </row>
    <row r="171" spans="1:29" ht="13.5" hidden="1" thickBot="1" x14ac:dyDescent="0.25">
      <c r="A171" s="213"/>
      <c r="B171" s="214"/>
      <c r="C171" s="215"/>
      <c r="D171" s="215"/>
      <c r="E171" s="216"/>
      <c r="F171" s="678"/>
      <c r="G171" s="214"/>
      <c r="H171" s="214"/>
      <c r="I171" s="215"/>
      <c r="J171" s="215"/>
      <c r="K171" s="271"/>
      <c r="L171" s="213"/>
      <c r="M171" s="214"/>
      <c r="N171" s="215"/>
      <c r="O171" s="215"/>
      <c r="P171" s="271"/>
      <c r="Q171" s="251"/>
      <c r="R171" s="214"/>
      <c r="S171" s="214"/>
      <c r="T171" s="215"/>
      <c r="U171" s="215"/>
      <c r="V171" s="271"/>
      <c r="W171" s="251"/>
      <c r="X171" s="214"/>
      <c r="Y171" s="214"/>
      <c r="Z171" s="215"/>
      <c r="AA171" s="215"/>
      <c r="AB171" s="271"/>
      <c r="AC171" s="251"/>
    </row>
    <row r="172" spans="1:29" ht="13.5" hidden="1" thickBot="1" x14ac:dyDescent="0.25">
      <c r="A172" s="217"/>
      <c r="B172" s="218"/>
      <c r="C172" s="218"/>
      <c r="D172" s="218"/>
      <c r="E172" s="588"/>
      <c r="F172" s="681"/>
      <c r="G172" s="218"/>
      <c r="H172" s="218"/>
      <c r="I172" s="218"/>
      <c r="J172" s="218"/>
      <c r="K172" s="219"/>
      <c r="L172" s="217"/>
      <c r="M172" s="218"/>
      <c r="N172" s="218"/>
      <c r="O172" s="218"/>
      <c r="P172" s="219"/>
      <c r="Q172" s="272"/>
      <c r="R172" s="218"/>
      <c r="S172" s="218"/>
      <c r="T172" s="218"/>
      <c r="U172" s="218"/>
      <c r="V172" s="219"/>
      <c r="W172" s="272"/>
      <c r="X172" s="218"/>
      <c r="Y172" s="218"/>
      <c r="Z172" s="218"/>
      <c r="AA172" s="218"/>
      <c r="AB172" s="219"/>
      <c r="AC172" s="272"/>
    </row>
    <row r="173" spans="1:29" hidden="1" x14ac:dyDescent="0.2">
      <c r="A173" s="203"/>
      <c r="B173" s="107"/>
      <c r="C173" s="107"/>
      <c r="D173" s="107"/>
      <c r="E173" s="446"/>
      <c r="F173" s="202"/>
      <c r="G173" s="4"/>
      <c r="H173" s="4"/>
      <c r="I173" s="4"/>
      <c r="J173" s="4"/>
      <c r="K173" s="220"/>
      <c r="L173" s="203"/>
      <c r="M173" s="107"/>
      <c r="N173" s="107"/>
      <c r="O173" s="107"/>
      <c r="P173" s="181"/>
      <c r="Q173" s="251"/>
      <c r="R173" s="4"/>
      <c r="S173" s="4"/>
      <c r="T173" s="4"/>
      <c r="U173" s="4"/>
      <c r="V173" s="220"/>
      <c r="W173" s="251"/>
      <c r="X173" s="4"/>
      <c r="Y173" s="4"/>
      <c r="Z173" s="4"/>
      <c r="AA173" s="4"/>
      <c r="AB173" s="220"/>
      <c r="AC173" s="251"/>
    </row>
    <row r="174" spans="1:29" hidden="1" x14ac:dyDescent="0.2">
      <c r="A174" s="203"/>
      <c r="B174" s="107"/>
      <c r="C174" s="107"/>
      <c r="D174" s="107"/>
      <c r="E174" s="446"/>
      <c r="F174" s="202"/>
      <c r="G174" s="4"/>
      <c r="H174" s="4"/>
      <c r="I174" s="4"/>
      <c r="J174" s="4"/>
      <c r="K174" s="220"/>
      <c r="L174" s="203"/>
      <c r="M174" s="107"/>
      <c r="N174" s="107"/>
      <c r="O174" s="107"/>
      <c r="P174" s="181"/>
      <c r="Q174" s="251"/>
      <c r="R174" s="4"/>
      <c r="S174" s="4"/>
      <c r="T174" s="4"/>
      <c r="U174" s="4"/>
      <c r="V174" s="220"/>
      <c r="W174" s="251"/>
      <c r="X174" s="4"/>
      <c r="Y174" s="4"/>
      <c r="Z174" s="4"/>
      <c r="AA174" s="4"/>
      <c r="AB174" s="220"/>
      <c r="AC174" s="251"/>
    </row>
    <row r="175" spans="1:29" hidden="1" x14ac:dyDescent="0.2">
      <c r="A175" s="203"/>
      <c r="B175" s="107"/>
      <c r="C175" s="107"/>
      <c r="D175" s="107"/>
      <c r="E175" s="446"/>
      <c r="F175" s="202"/>
      <c r="G175" s="4"/>
      <c r="H175" s="4"/>
      <c r="I175" s="4"/>
      <c r="J175" s="4"/>
      <c r="K175" s="220"/>
      <c r="L175" s="203"/>
      <c r="M175" s="107"/>
      <c r="N175" s="107"/>
      <c r="O175" s="107"/>
      <c r="P175" s="181"/>
      <c r="Q175" s="251"/>
      <c r="R175" s="4"/>
      <c r="S175" s="4"/>
      <c r="T175" s="4"/>
      <c r="U175" s="4"/>
      <c r="V175" s="220"/>
      <c r="W175" s="251"/>
      <c r="X175" s="4"/>
      <c r="Y175" s="4"/>
      <c r="Z175" s="4"/>
      <c r="AA175" s="4"/>
      <c r="AB175" s="220"/>
      <c r="AC175" s="251"/>
    </row>
    <row r="176" spans="1:29" hidden="1" x14ac:dyDescent="0.2">
      <c r="A176" s="203"/>
      <c r="B176" s="107"/>
      <c r="C176" s="107"/>
      <c r="D176" s="107"/>
      <c r="E176" s="446"/>
      <c r="F176" s="202"/>
      <c r="G176" s="4"/>
      <c r="H176" s="4"/>
      <c r="I176" s="4"/>
      <c r="J176" s="4"/>
      <c r="K176" s="220"/>
      <c r="L176" s="203"/>
      <c r="M176" s="107"/>
      <c r="N176" s="107"/>
      <c r="O176" s="107"/>
      <c r="P176" s="181"/>
      <c r="Q176" s="251"/>
      <c r="R176" s="4"/>
      <c r="S176" s="4"/>
      <c r="T176" s="4"/>
      <c r="U176" s="4"/>
      <c r="V176" s="220"/>
      <c r="W176" s="251"/>
      <c r="X176" s="4"/>
      <c r="Y176" s="4"/>
      <c r="Z176" s="4"/>
      <c r="AA176" s="4"/>
      <c r="AB176" s="220"/>
      <c r="AC176" s="251"/>
    </row>
    <row r="177" spans="1:29" x14ac:dyDescent="0.2">
      <c r="A177" s="203"/>
      <c r="B177" s="107"/>
      <c r="C177" s="107"/>
      <c r="D177" s="107"/>
      <c r="E177" s="446"/>
      <c r="F177" s="202"/>
      <c r="G177" s="4"/>
      <c r="H177" s="4"/>
      <c r="I177" s="4"/>
      <c r="J177" s="4"/>
      <c r="K177" s="220"/>
      <c r="L177" s="203"/>
      <c r="M177" s="107"/>
      <c r="N177" s="107"/>
      <c r="O177" s="107"/>
      <c r="P177" s="181"/>
      <c r="Q177" s="251"/>
      <c r="R177" s="4"/>
      <c r="S177" s="4"/>
      <c r="T177" s="4"/>
      <c r="U177" s="4"/>
      <c r="V177" s="220"/>
      <c r="W177" s="251"/>
      <c r="X177" s="4"/>
      <c r="Y177" s="4"/>
      <c r="Z177" s="4"/>
      <c r="AA177" s="4"/>
      <c r="AB177" s="220"/>
      <c r="AC177" s="251"/>
    </row>
    <row r="178" spans="1:29" ht="13.5" thickBot="1" x14ac:dyDescent="0.25">
      <c r="A178" s="849"/>
      <c r="B178" s="107"/>
      <c r="C178" s="107"/>
      <c r="D178" s="107"/>
      <c r="E178" s="588"/>
      <c r="F178" s="202"/>
      <c r="G178" s="4"/>
      <c r="H178" s="4"/>
      <c r="I178" s="4"/>
      <c r="J178" s="4"/>
      <c r="K178" s="220"/>
      <c r="L178" s="203"/>
      <c r="M178" s="107"/>
      <c r="N178" s="107"/>
      <c r="O178" s="107"/>
      <c r="P178" s="181"/>
      <c r="Q178" s="272"/>
      <c r="R178" s="4"/>
      <c r="S178" s="4"/>
      <c r="T178" s="4"/>
      <c r="U178" s="4"/>
      <c r="V178" s="220"/>
      <c r="W178" s="272"/>
      <c r="X178" s="4"/>
      <c r="Y178" s="4"/>
      <c r="Z178" s="4"/>
      <c r="AA178" s="4"/>
      <c r="AB178" s="220"/>
      <c r="AC178" s="272"/>
    </row>
    <row r="179" spans="1:29" ht="12.75" customHeight="1" x14ac:dyDescent="0.2">
      <c r="A179" s="1201" t="s">
        <v>12</v>
      </c>
      <c r="B179" s="1202"/>
      <c r="C179" s="1202"/>
      <c r="D179" s="1202"/>
      <c r="E179" s="1202"/>
      <c r="F179" s="1219"/>
      <c r="G179" s="1202" t="s">
        <v>12</v>
      </c>
      <c r="H179" s="1202"/>
      <c r="I179" s="1202"/>
      <c r="J179" s="1202"/>
      <c r="K179" s="1202"/>
      <c r="L179" s="1201" t="s">
        <v>12</v>
      </c>
      <c r="M179" s="1202"/>
      <c r="N179" s="1202"/>
      <c r="O179" s="1202"/>
      <c r="P179" s="1202"/>
      <c r="Q179" s="1219"/>
      <c r="R179" s="1202" t="s">
        <v>12</v>
      </c>
      <c r="S179" s="1202"/>
      <c r="T179" s="1202"/>
      <c r="U179" s="1202"/>
      <c r="V179" s="1202"/>
      <c r="W179" s="1219"/>
      <c r="X179" s="1202" t="s">
        <v>12</v>
      </c>
      <c r="Y179" s="1202"/>
      <c r="Z179" s="1202"/>
      <c r="AA179" s="1202"/>
      <c r="AB179" s="1202"/>
      <c r="AC179" s="1219"/>
    </row>
    <row r="180" spans="1:29" ht="13.5" customHeight="1" thickBot="1" x14ac:dyDescent="0.25">
      <c r="A180" s="1203"/>
      <c r="B180" s="1204"/>
      <c r="C180" s="1204"/>
      <c r="D180" s="1204"/>
      <c r="E180" s="1204"/>
      <c r="F180" s="1220"/>
      <c r="G180" s="1204"/>
      <c r="H180" s="1204"/>
      <c r="I180" s="1204"/>
      <c r="J180" s="1204"/>
      <c r="K180" s="1204"/>
      <c r="L180" s="1203"/>
      <c r="M180" s="1204"/>
      <c r="N180" s="1204"/>
      <c r="O180" s="1204"/>
      <c r="P180" s="1204"/>
      <c r="Q180" s="1220"/>
      <c r="R180" s="1204"/>
      <c r="S180" s="1204"/>
      <c r="T180" s="1204"/>
      <c r="U180" s="1204"/>
      <c r="V180" s="1204"/>
      <c r="W180" s="1220"/>
      <c r="X180" s="1204"/>
      <c r="Y180" s="1204"/>
      <c r="Z180" s="1204"/>
      <c r="AA180" s="1204"/>
      <c r="AB180" s="1204"/>
      <c r="AC180" s="1220"/>
    </row>
    <row r="181" spans="1:29" ht="12.75" customHeight="1" x14ac:dyDescent="0.2">
      <c r="A181" s="1213" t="s">
        <v>146</v>
      </c>
      <c r="B181" s="1214"/>
      <c r="C181" s="1214"/>
      <c r="D181" s="1214"/>
      <c r="E181" s="1214"/>
      <c r="F181" s="1215"/>
      <c r="G181" s="1213" t="s">
        <v>146</v>
      </c>
      <c r="H181" s="1214"/>
      <c r="I181" s="1214"/>
      <c r="J181" s="1214"/>
      <c r="K181" s="1214"/>
      <c r="L181" s="1213" t="s">
        <v>146</v>
      </c>
      <c r="M181" s="1214"/>
      <c r="N181" s="1214"/>
      <c r="O181" s="1214"/>
      <c r="P181" s="1214"/>
      <c r="Q181" s="1215"/>
      <c r="R181" s="1213" t="s">
        <v>146</v>
      </c>
      <c r="S181" s="1214"/>
      <c r="T181" s="1214"/>
      <c r="U181" s="1214"/>
      <c r="V181" s="1214"/>
      <c r="W181" s="1215"/>
      <c r="X181" s="1213" t="s">
        <v>146</v>
      </c>
      <c r="Y181" s="1214"/>
      <c r="Z181" s="1214"/>
      <c r="AA181" s="1214"/>
      <c r="AB181" s="1214"/>
      <c r="AC181" s="1215"/>
    </row>
    <row r="182" spans="1:29" ht="20.25" customHeight="1" thickBot="1" x14ac:dyDescent="0.25">
      <c r="A182" s="1216"/>
      <c r="B182" s="1217"/>
      <c r="C182" s="1217"/>
      <c r="D182" s="1217"/>
      <c r="E182" s="1217"/>
      <c r="F182" s="1218"/>
      <c r="G182" s="1216"/>
      <c r="H182" s="1217"/>
      <c r="I182" s="1217"/>
      <c r="J182" s="1217"/>
      <c r="K182" s="1217"/>
      <c r="L182" s="1216"/>
      <c r="M182" s="1217"/>
      <c r="N182" s="1217"/>
      <c r="O182" s="1217"/>
      <c r="P182" s="1217"/>
      <c r="Q182" s="1218"/>
      <c r="R182" s="1216"/>
      <c r="S182" s="1217"/>
      <c r="T182" s="1217"/>
      <c r="U182" s="1217"/>
      <c r="V182" s="1217"/>
      <c r="W182" s="1218"/>
      <c r="X182" s="1216"/>
      <c r="Y182" s="1217"/>
      <c r="Z182" s="1217"/>
      <c r="AA182" s="1217"/>
      <c r="AB182" s="1217"/>
      <c r="AC182" s="1218"/>
    </row>
    <row r="183" spans="1:29" ht="13.5" thickBot="1" x14ac:dyDescent="0.25">
      <c r="A183" s="206"/>
      <c r="B183" s="97"/>
      <c r="C183" s="97"/>
      <c r="D183" s="97"/>
      <c r="E183" s="199"/>
      <c r="F183" s="192"/>
      <c r="K183" s="221"/>
      <c r="L183" s="206"/>
      <c r="M183" s="97"/>
      <c r="N183" s="97"/>
      <c r="O183" s="97"/>
      <c r="P183" s="199"/>
      <c r="Q183" s="97"/>
      <c r="V183" s="221"/>
      <c r="W183" s="682"/>
      <c r="AB183" s="221"/>
    </row>
    <row r="184" spans="1:29" ht="22.5" customHeight="1" thickBot="1" x14ac:dyDescent="0.3">
      <c r="A184" s="1230" t="s">
        <v>538</v>
      </c>
      <c r="B184" s="1231"/>
      <c r="C184" s="555">
        <v>0.23</v>
      </c>
      <c r="D184" s="222"/>
      <c r="E184" s="223"/>
      <c r="F184" s="224"/>
      <c r="G184" s="1230" t="s">
        <v>539</v>
      </c>
      <c r="H184" s="1231"/>
      <c r="I184" s="1027">
        <v>0.23</v>
      </c>
      <c r="J184" s="222"/>
      <c r="K184" s="223"/>
      <c r="L184" s="1242" t="s">
        <v>540</v>
      </c>
      <c r="M184" s="1243"/>
      <c r="N184" s="1027">
        <v>0.23</v>
      </c>
      <c r="O184" s="222"/>
      <c r="P184" s="223"/>
      <c r="Q184" s="224"/>
      <c r="R184" s="1230" t="s">
        <v>541</v>
      </c>
      <c r="S184" s="1231"/>
      <c r="T184" s="1027">
        <v>0.23</v>
      </c>
      <c r="U184" s="222"/>
      <c r="V184" s="223"/>
      <c r="W184" s="224"/>
      <c r="X184" s="1230" t="s">
        <v>542</v>
      </c>
      <c r="Y184" s="1231"/>
      <c r="Z184" s="1027">
        <v>0.23</v>
      </c>
      <c r="AA184" s="222"/>
      <c r="AB184" s="223"/>
      <c r="AC184" s="224"/>
    </row>
    <row r="185" spans="1:29" ht="48.75" customHeight="1" thickBot="1" x14ac:dyDescent="0.25">
      <c r="A185" s="1223" t="s">
        <v>314</v>
      </c>
      <c r="B185" s="1224"/>
      <c r="C185" s="1224"/>
      <c r="D185" s="1224"/>
      <c r="E185" s="1224"/>
      <c r="F185" s="1225"/>
      <c r="G185" s="1223" t="s">
        <v>314</v>
      </c>
      <c r="H185" s="1224"/>
      <c r="I185" s="1224"/>
      <c r="J185" s="1224"/>
      <c r="K185" s="1224"/>
      <c r="L185" s="1223" t="s">
        <v>314</v>
      </c>
      <c r="M185" s="1224"/>
      <c r="N185" s="1224"/>
      <c r="O185" s="1224"/>
      <c r="P185" s="1224"/>
      <c r="Q185" s="1225"/>
      <c r="R185" s="1223" t="s">
        <v>314</v>
      </c>
      <c r="S185" s="1224"/>
      <c r="T185" s="1224"/>
      <c r="U185" s="1224"/>
      <c r="V185" s="1224"/>
      <c r="W185" s="1225"/>
      <c r="X185" s="1223" t="s">
        <v>314</v>
      </c>
      <c r="Y185" s="1224"/>
      <c r="Z185" s="1224"/>
      <c r="AA185" s="1224"/>
      <c r="AB185" s="1224"/>
      <c r="AC185" s="1225"/>
    </row>
    <row r="186" spans="1:29" x14ac:dyDescent="0.2">
      <c r="A186" s="1205" t="s">
        <v>465</v>
      </c>
      <c r="B186" s="1206"/>
      <c r="C186" s="1206"/>
      <c r="D186" s="1206"/>
      <c r="E186" s="1206"/>
      <c r="F186" s="1221"/>
      <c r="G186" s="1206" t="s">
        <v>147</v>
      </c>
      <c r="H186" s="1206"/>
      <c r="I186" s="1206"/>
      <c r="J186" s="1206"/>
      <c r="K186" s="1206"/>
      <c r="L186" s="1205" t="s">
        <v>147</v>
      </c>
      <c r="M186" s="1206"/>
      <c r="N186" s="1206"/>
      <c r="O186" s="1206"/>
      <c r="P186" s="1206"/>
      <c r="Q186" s="1221"/>
      <c r="R186" s="1206" t="s">
        <v>147</v>
      </c>
      <c r="S186" s="1206"/>
      <c r="T186" s="1206"/>
      <c r="U186" s="1206"/>
      <c r="V186" s="1206"/>
      <c r="W186" s="1221"/>
      <c r="X186" s="1206" t="s">
        <v>147</v>
      </c>
      <c r="Y186" s="1206"/>
      <c r="Z186" s="1206"/>
      <c r="AA186" s="1206"/>
      <c r="AB186" s="1206"/>
      <c r="AC186" s="1221"/>
    </row>
    <row r="187" spans="1:29" ht="13.5" thickBot="1" x14ac:dyDescent="0.25">
      <c r="A187" s="1207"/>
      <c r="B187" s="1208"/>
      <c r="C187" s="1208"/>
      <c r="D187" s="1208"/>
      <c r="E187" s="1208"/>
      <c r="F187" s="1222"/>
      <c r="G187" s="1208"/>
      <c r="H187" s="1208"/>
      <c r="I187" s="1208"/>
      <c r="J187" s="1208"/>
      <c r="K187" s="1208"/>
      <c r="L187" s="1207"/>
      <c r="M187" s="1208"/>
      <c r="N187" s="1208"/>
      <c r="O187" s="1208"/>
      <c r="P187" s="1208"/>
      <c r="Q187" s="1222"/>
      <c r="R187" s="1208"/>
      <c r="S187" s="1208"/>
      <c r="T187" s="1208"/>
      <c r="U187" s="1208"/>
      <c r="V187" s="1208"/>
      <c r="W187" s="1222"/>
      <c r="X187" s="1208"/>
      <c r="Y187" s="1208"/>
      <c r="Z187" s="1208"/>
      <c r="AA187" s="1208"/>
      <c r="AB187" s="1208"/>
      <c r="AC187" s="1222"/>
    </row>
    <row r="188" spans="1:29" ht="39" thickBot="1" x14ac:dyDescent="0.25">
      <c r="A188" s="596" t="s">
        <v>148</v>
      </c>
      <c r="B188" s="597" t="s">
        <v>561</v>
      </c>
      <c r="C188" s="597" t="s">
        <v>248</v>
      </c>
      <c r="D188" s="490" t="s">
        <v>150</v>
      </c>
      <c r="E188" s="597" t="s">
        <v>151</v>
      </c>
      <c r="F188" s="225"/>
      <c r="G188" s="609" t="s">
        <v>148</v>
      </c>
      <c r="H188" s="597" t="str">
        <f>$B$188</f>
        <v>Number of FTE's (from Personnel Worksheet)</v>
      </c>
      <c r="I188" s="597" t="s">
        <v>149</v>
      </c>
      <c r="J188" s="490" t="s">
        <v>150</v>
      </c>
      <c r="K188" s="1016" t="s">
        <v>151</v>
      </c>
      <c r="L188" s="596" t="s">
        <v>148</v>
      </c>
      <c r="M188" s="597" t="str">
        <f>$B$188</f>
        <v>Number of FTE's (from Personnel Worksheet)</v>
      </c>
      <c r="N188" s="597" t="s">
        <v>149</v>
      </c>
      <c r="O188" s="490" t="s">
        <v>150</v>
      </c>
      <c r="P188" s="597" t="s">
        <v>151</v>
      </c>
      <c r="Q188" s="225"/>
      <c r="R188" s="609" t="s">
        <v>148</v>
      </c>
      <c r="S188" s="597" t="str">
        <f>$B$188</f>
        <v>Number of FTE's (from Personnel Worksheet)</v>
      </c>
      <c r="T188" s="597" t="s">
        <v>149</v>
      </c>
      <c r="U188" s="490" t="s">
        <v>150</v>
      </c>
      <c r="V188" s="597" t="s">
        <v>151</v>
      </c>
      <c r="W188" s="225"/>
      <c r="X188" s="609" t="s">
        <v>148</v>
      </c>
      <c r="Y188" s="597" t="str">
        <f>$B$188</f>
        <v>Number of FTE's (from Personnel Worksheet)</v>
      </c>
      <c r="Z188" s="597" t="s">
        <v>149</v>
      </c>
      <c r="AA188" s="490" t="s">
        <v>150</v>
      </c>
      <c r="AB188" s="597" t="s">
        <v>151</v>
      </c>
      <c r="AC188" s="225"/>
    </row>
    <row r="189" spans="1:29" x14ac:dyDescent="0.2">
      <c r="A189" s="598" t="s">
        <v>467</v>
      </c>
      <c r="B189" s="970">
        <f>Personnel!G8</f>
        <v>0</v>
      </c>
      <c r="C189" s="600">
        <f>Personnel!G120</f>
        <v>0</v>
      </c>
      <c r="D189" s="605">
        <f>100%+$C$184</f>
        <v>1.23</v>
      </c>
      <c r="E189" s="607">
        <f>C189*D189</f>
        <v>0</v>
      </c>
      <c r="F189" s="226"/>
      <c r="G189" s="610" t="str">
        <f>A189</f>
        <v>SPED Teachers in the CTPF (from Personnel Worksheet)</v>
      </c>
      <c r="H189" s="970">
        <f>Personnel!I8</f>
        <v>0</v>
      </c>
      <c r="I189" s="600">
        <f>Personnel!I120</f>
        <v>0</v>
      </c>
      <c r="J189" s="605">
        <f>100%+$I$184</f>
        <v>1.23</v>
      </c>
      <c r="K189" s="1017">
        <f>I189*J189</f>
        <v>0</v>
      </c>
      <c r="L189" s="598" t="str">
        <f>A189</f>
        <v>SPED Teachers in the CTPF (from Personnel Worksheet)</v>
      </c>
      <c r="M189" s="599">
        <f>Personnel!K8</f>
        <v>0</v>
      </c>
      <c r="N189" s="600">
        <f>Personnel!K120</f>
        <v>0</v>
      </c>
      <c r="O189" s="605">
        <f>100%+$N$184</f>
        <v>1.23</v>
      </c>
      <c r="P189" s="607">
        <f>N189*O189</f>
        <v>0</v>
      </c>
      <c r="Q189" s="226"/>
      <c r="R189" s="610" t="str">
        <f>A189</f>
        <v>SPED Teachers in the CTPF (from Personnel Worksheet)</v>
      </c>
      <c r="S189" s="970">
        <f>Personnel!M8</f>
        <v>2</v>
      </c>
      <c r="T189" s="600">
        <f>Personnel!M120</f>
        <v>110000</v>
      </c>
      <c r="U189" s="605">
        <f>100%+$T$184</f>
        <v>1.23</v>
      </c>
      <c r="V189" s="607">
        <f>T189*U189</f>
        <v>135300</v>
      </c>
      <c r="W189" s="226"/>
      <c r="X189" s="610" t="str">
        <f>A189</f>
        <v>SPED Teachers in the CTPF (from Personnel Worksheet)</v>
      </c>
      <c r="Y189" s="970">
        <f>Personnel!O8</f>
        <v>2</v>
      </c>
      <c r="Z189" s="600">
        <f>Personnel!O120</f>
        <v>112200</v>
      </c>
      <c r="AA189" s="605">
        <f>100%+$Z$184</f>
        <v>1.23</v>
      </c>
      <c r="AB189" s="607">
        <f>Z189*AA189</f>
        <v>138006</v>
      </c>
      <c r="AC189" s="226"/>
    </row>
    <row r="190" spans="1:29" ht="13.5" thickBot="1" x14ac:dyDescent="0.25">
      <c r="A190" s="601" t="s">
        <v>468</v>
      </c>
      <c r="B190" s="970">
        <f>Personnel!G32</f>
        <v>0</v>
      </c>
      <c r="C190" s="600">
        <f>Personnel!G151</f>
        <v>0</v>
      </c>
      <c r="D190" s="605">
        <f>100%+$C$184</f>
        <v>1.23</v>
      </c>
      <c r="E190" s="607">
        <f>C190*D190</f>
        <v>0</v>
      </c>
      <c r="F190" s="226"/>
      <c r="G190" s="610" t="str">
        <f>A190</f>
        <v>SPED Teachers Not in the CTPF (from Personnel Worksheet)</v>
      </c>
      <c r="H190" s="970">
        <f>Personnel!I32</f>
        <v>0</v>
      </c>
      <c r="I190" s="600">
        <f>Personnel!I151</f>
        <v>0</v>
      </c>
      <c r="J190" s="605">
        <f>100%+$I$184</f>
        <v>1.23</v>
      </c>
      <c r="K190" s="1017">
        <f>I190*J190</f>
        <v>0</v>
      </c>
      <c r="L190" s="598" t="str">
        <f>A190</f>
        <v>SPED Teachers Not in the CTPF (from Personnel Worksheet)</v>
      </c>
      <c r="M190" s="599">
        <f>Personnel!K32</f>
        <v>0</v>
      </c>
      <c r="N190" s="600">
        <f>Personnel!K151</f>
        <v>0</v>
      </c>
      <c r="O190" s="605">
        <f>100%+$N$184</f>
        <v>1.23</v>
      </c>
      <c r="P190" s="607">
        <f>N190*O190</f>
        <v>0</v>
      </c>
      <c r="Q190" s="226"/>
      <c r="R190" s="610" t="str">
        <f>A190</f>
        <v>SPED Teachers Not in the CTPF (from Personnel Worksheet)</v>
      </c>
      <c r="S190" s="970">
        <f>Personnel!M32</f>
        <v>0</v>
      </c>
      <c r="T190" s="600">
        <f>Personnel!M151</f>
        <v>0</v>
      </c>
      <c r="U190" s="605">
        <f>100%+$T$184</f>
        <v>1.23</v>
      </c>
      <c r="V190" s="607">
        <f>T190*U190</f>
        <v>0</v>
      </c>
      <c r="W190" s="226"/>
      <c r="X190" s="610" t="str">
        <f>A190</f>
        <v>SPED Teachers Not in the CTPF (from Personnel Worksheet)</v>
      </c>
      <c r="Y190" s="970">
        <f>Personnel!O32</f>
        <v>0</v>
      </c>
      <c r="Z190" s="600">
        <f>Personnel!O151</f>
        <v>0</v>
      </c>
      <c r="AA190" s="605">
        <f>100%+$Z$184</f>
        <v>1.23</v>
      </c>
      <c r="AB190" s="607">
        <f>Z190*AA190</f>
        <v>0</v>
      </c>
      <c r="AC190" s="226"/>
    </row>
    <row r="191" spans="1:29" ht="13.5" thickBot="1" x14ac:dyDescent="0.25">
      <c r="A191" s="602" t="s">
        <v>152</v>
      </c>
      <c r="B191" s="972">
        <f>SUM(B189:B190)</f>
        <v>0</v>
      </c>
      <c r="C191" s="604">
        <f>SUM(C189:C190)</f>
        <v>0</v>
      </c>
      <c r="D191" s="97"/>
      <c r="E191" s="608">
        <f>SUM(E189:E190)</f>
        <v>0</v>
      </c>
      <c r="F191" s="226"/>
      <c r="G191" s="611" t="s">
        <v>152</v>
      </c>
      <c r="H191" s="972">
        <f>SUM(H189:H190)</f>
        <v>0</v>
      </c>
      <c r="I191" s="604">
        <f>SUM(I189:I190)</f>
        <v>0</v>
      </c>
      <c r="J191" s="97"/>
      <c r="K191" s="1018">
        <f>SUM(K189:K190)</f>
        <v>0</v>
      </c>
      <c r="L191" s="602" t="s">
        <v>152</v>
      </c>
      <c r="M191" s="603">
        <f>SUM(M189:M190)</f>
        <v>0</v>
      </c>
      <c r="N191" s="604">
        <f>SUM(N189:N190)</f>
        <v>0</v>
      </c>
      <c r="O191" s="97"/>
      <c r="P191" s="608">
        <f>SUM(P189:P190)</f>
        <v>0</v>
      </c>
      <c r="Q191" s="226"/>
      <c r="R191" s="611" t="s">
        <v>152</v>
      </c>
      <c r="S191" s="972">
        <f>SUM(S189:S190)</f>
        <v>2</v>
      </c>
      <c r="T191" s="604">
        <f>SUM(T189:T190)</f>
        <v>110000</v>
      </c>
      <c r="U191" s="97"/>
      <c r="V191" s="608">
        <f>SUM(V189:V190)</f>
        <v>135300</v>
      </c>
      <c r="W191" s="226"/>
      <c r="X191" s="611" t="s">
        <v>152</v>
      </c>
      <c r="Y191" s="972">
        <f>SUM(Y189:Y190)</f>
        <v>2</v>
      </c>
      <c r="Z191" s="604">
        <f>SUM(Z189:Z190)</f>
        <v>112200</v>
      </c>
      <c r="AA191" s="97"/>
      <c r="AB191" s="608">
        <f>SUM(AB189:AB190)</f>
        <v>138006</v>
      </c>
      <c r="AC191" s="226"/>
    </row>
    <row r="192" spans="1:29" x14ac:dyDescent="0.2">
      <c r="A192" s="206"/>
      <c r="B192" s="97"/>
      <c r="C192" s="97"/>
      <c r="D192" s="97"/>
      <c r="E192" s="199"/>
      <c r="F192" s="192"/>
      <c r="G192" s="97"/>
      <c r="H192" s="97"/>
      <c r="I192" s="97"/>
      <c r="J192" s="97"/>
      <c r="K192" s="199"/>
      <c r="L192" s="206"/>
      <c r="M192" s="97"/>
      <c r="N192" s="97"/>
      <c r="O192" s="97"/>
      <c r="P192" s="199"/>
      <c r="Q192" s="192"/>
      <c r="R192" s="97"/>
      <c r="S192" s="97"/>
      <c r="T192" s="97"/>
      <c r="U192" s="97"/>
      <c r="V192" s="199"/>
      <c r="W192" s="192"/>
      <c r="X192" s="97"/>
      <c r="Y192" s="97"/>
      <c r="Z192" s="97"/>
      <c r="AA192" s="97"/>
      <c r="AB192" s="199"/>
      <c r="AC192" s="192"/>
    </row>
    <row r="193" spans="1:29" x14ac:dyDescent="0.2">
      <c r="A193" s="206"/>
      <c r="B193" s="97"/>
      <c r="C193" s="97"/>
      <c r="D193" s="97"/>
      <c r="E193" s="199"/>
      <c r="F193" s="192"/>
      <c r="G193" s="97"/>
      <c r="H193" s="97"/>
      <c r="I193" s="97"/>
      <c r="J193" s="97"/>
      <c r="K193" s="199"/>
      <c r="L193" s="206"/>
      <c r="M193" s="97"/>
      <c r="N193" s="97"/>
      <c r="O193" s="97"/>
      <c r="P193" s="199"/>
      <c r="Q193" s="192"/>
      <c r="R193" s="97"/>
      <c r="S193" s="97"/>
      <c r="T193" s="97"/>
      <c r="U193" s="97"/>
      <c r="V193" s="199"/>
      <c r="W193" s="192"/>
      <c r="X193" s="97"/>
      <c r="Y193" s="97"/>
      <c r="Z193" s="97"/>
      <c r="AA193" s="97"/>
      <c r="AB193" s="199"/>
      <c r="AC193" s="192"/>
    </row>
    <row r="194" spans="1:29" x14ac:dyDescent="0.2">
      <c r="A194" s="206"/>
      <c r="B194" s="97"/>
      <c r="C194" s="97"/>
      <c r="D194" s="97"/>
      <c r="E194" s="199"/>
      <c r="F194" s="192"/>
      <c r="G194" s="97"/>
      <c r="H194" s="97"/>
      <c r="I194" s="97"/>
      <c r="J194" s="97"/>
      <c r="K194" s="199"/>
      <c r="L194" s="206"/>
      <c r="M194" s="97"/>
      <c r="N194" s="97"/>
      <c r="O194" s="97"/>
      <c r="P194" s="199"/>
      <c r="Q194" s="192"/>
      <c r="R194" s="97"/>
      <c r="S194" s="97"/>
      <c r="T194" s="97"/>
      <c r="U194" s="97"/>
      <c r="V194" s="199"/>
      <c r="W194" s="192"/>
      <c r="X194" s="97"/>
      <c r="Y194" s="97"/>
      <c r="Z194" s="97"/>
      <c r="AA194" s="97"/>
      <c r="AB194" s="199"/>
      <c r="AC194" s="192"/>
    </row>
    <row r="195" spans="1:29" ht="15.75" thickBot="1" x14ac:dyDescent="0.3">
      <c r="A195" s="227"/>
      <c r="B195" s="228"/>
      <c r="C195" s="96"/>
      <c r="D195" s="96"/>
      <c r="E195" s="199"/>
      <c r="F195" s="229"/>
      <c r="G195" s="242"/>
      <c r="H195" s="228"/>
      <c r="I195" s="96"/>
      <c r="J195" s="96"/>
      <c r="K195" s="199"/>
      <c r="L195" s="227"/>
      <c r="M195" s="228"/>
      <c r="N195" s="96"/>
      <c r="O195" s="96"/>
      <c r="P195" s="199"/>
      <c r="Q195" s="229"/>
      <c r="R195" s="242"/>
      <c r="S195" s="228"/>
      <c r="T195" s="96"/>
      <c r="U195" s="96"/>
      <c r="V195" s="199"/>
      <c r="W195" s="229"/>
      <c r="X195" s="242"/>
      <c r="Y195" s="228"/>
      <c r="Z195" s="96"/>
      <c r="AA195" s="96"/>
      <c r="AB195" s="199"/>
      <c r="AC195" s="229"/>
    </row>
    <row r="196" spans="1:29" ht="39" thickBot="1" x14ac:dyDescent="0.25">
      <c r="A196" s="537" t="s">
        <v>89</v>
      </c>
      <c r="B196" s="490" t="s">
        <v>153</v>
      </c>
      <c r="C196" s="97"/>
      <c r="D196" s="597" t="s">
        <v>154</v>
      </c>
      <c r="E196" s="597" t="s">
        <v>155</v>
      </c>
      <c r="F196" s="192"/>
      <c r="G196" s="574" t="s">
        <v>89</v>
      </c>
      <c r="H196" s="490" t="s">
        <v>153</v>
      </c>
      <c r="I196" s="97"/>
      <c r="J196" s="597" t="s">
        <v>154</v>
      </c>
      <c r="K196" s="1016" t="s">
        <v>155</v>
      </c>
      <c r="L196" s="537" t="s">
        <v>89</v>
      </c>
      <c r="M196" s="490" t="s">
        <v>153</v>
      </c>
      <c r="N196" s="97"/>
      <c r="O196" s="597" t="s">
        <v>154</v>
      </c>
      <c r="P196" s="597" t="s">
        <v>155</v>
      </c>
      <c r="Q196" s="192"/>
      <c r="R196" s="574" t="s">
        <v>89</v>
      </c>
      <c r="S196" s="490" t="s">
        <v>153</v>
      </c>
      <c r="T196" s="97"/>
      <c r="U196" s="597" t="s">
        <v>154</v>
      </c>
      <c r="V196" s="597" t="s">
        <v>155</v>
      </c>
      <c r="W196" s="192"/>
      <c r="X196" s="574" t="s">
        <v>89</v>
      </c>
      <c r="Y196" s="490" t="s">
        <v>153</v>
      </c>
      <c r="Z196" s="97"/>
      <c r="AA196" s="597" t="s">
        <v>154</v>
      </c>
      <c r="AB196" s="597" t="s">
        <v>155</v>
      </c>
      <c r="AC196" s="192"/>
    </row>
    <row r="197" spans="1:29" ht="15.75" thickBot="1" x14ac:dyDescent="0.3">
      <c r="A197" s="612" t="s">
        <v>156</v>
      </c>
      <c r="B197" s="613">
        <f>E191/(B191+0.000000001)</f>
        <v>0</v>
      </c>
      <c r="C197" s="97"/>
      <c r="D197" s="615">
        <v>0</v>
      </c>
      <c r="E197" s="615">
        <f>E191</f>
        <v>0</v>
      </c>
      <c r="F197" s="192"/>
      <c r="G197" s="616" t="s">
        <v>156</v>
      </c>
      <c r="H197" s="613">
        <f>K191/(H191+0.000000001)</f>
        <v>0</v>
      </c>
      <c r="I197" s="97"/>
      <c r="J197" s="615">
        <v>0</v>
      </c>
      <c r="K197" s="1019">
        <f>K191</f>
        <v>0</v>
      </c>
      <c r="L197" s="612" t="s">
        <v>156</v>
      </c>
      <c r="M197" s="613">
        <f>P191/(M191+0.000000001)</f>
        <v>0</v>
      </c>
      <c r="N197" s="97"/>
      <c r="O197" s="615">
        <v>0</v>
      </c>
      <c r="P197" s="615">
        <f>P191</f>
        <v>0</v>
      </c>
      <c r="Q197" s="192"/>
      <c r="R197" s="616" t="s">
        <v>156</v>
      </c>
      <c r="S197" s="613">
        <f>V191/(S191+0.000000001)</f>
        <v>67649.999966175004</v>
      </c>
      <c r="T197" s="97"/>
      <c r="U197" s="615">
        <v>0</v>
      </c>
      <c r="V197" s="615">
        <f>V191</f>
        <v>135300</v>
      </c>
      <c r="W197" s="192"/>
      <c r="X197" s="616" t="s">
        <v>156</v>
      </c>
      <c r="Y197" s="613">
        <f>AB191/(Y191+0.000000001)</f>
        <v>69002.9999654985</v>
      </c>
      <c r="Z197" s="97"/>
      <c r="AA197" s="615">
        <v>0</v>
      </c>
      <c r="AB197" s="615">
        <f>AB191</f>
        <v>138006</v>
      </c>
      <c r="AC197" s="192"/>
    </row>
    <row r="198" spans="1:29" ht="15.75" thickBot="1" x14ac:dyDescent="0.3">
      <c r="A198" s="612" t="s">
        <v>157</v>
      </c>
      <c r="B198" s="614">
        <f>VLOOKUP(B197,D197:E198,2,TRUE)</f>
        <v>0</v>
      </c>
      <c r="C198" s="97"/>
      <c r="D198" s="615">
        <v>90000</v>
      </c>
      <c r="E198" s="615">
        <f>B191*D198</f>
        <v>0</v>
      </c>
      <c r="F198" s="192"/>
      <c r="G198" s="616" t="s">
        <v>157</v>
      </c>
      <c r="H198" s="614">
        <f>VLOOKUP(H197,J197:K198,2,TRUE)</f>
        <v>0</v>
      </c>
      <c r="I198" s="97"/>
      <c r="J198" s="615">
        <v>90000</v>
      </c>
      <c r="K198" s="1019">
        <f>H191*J198</f>
        <v>0</v>
      </c>
      <c r="L198" s="612" t="s">
        <v>157</v>
      </c>
      <c r="M198" s="614">
        <f>VLOOKUP(M197,O197:P198,2,TRUE)</f>
        <v>0</v>
      </c>
      <c r="N198" s="97"/>
      <c r="O198" s="615">
        <v>90000</v>
      </c>
      <c r="P198" s="615">
        <f>M191*O198</f>
        <v>0</v>
      </c>
      <c r="Q198" s="192"/>
      <c r="R198" s="616" t="s">
        <v>157</v>
      </c>
      <c r="S198" s="614">
        <f>VLOOKUP(S197,U197:V198,2,TRUE)</f>
        <v>135300</v>
      </c>
      <c r="T198" s="97"/>
      <c r="U198" s="615">
        <v>90000</v>
      </c>
      <c r="V198" s="615">
        <f>S191*U198</f>
        <v>180000</v>
      </c>
      <c r="W198" s="192"/>
      <c r="X198" s="616" t="s">
        <v>157</v>
      </c>
      <c r="Y198" s="614">
        <f>VLOOKUP(Y197,AA197:AB198,2,TRUE)</f>
        <v>138006</v>
      </c>
      <c r="Z198" s="97"/>
      <c r="AA198" s="615">
        <v>90000</v>
      </c>
      <c r="AB198" s="615">
        <f>Y191*AA198</f>
        <v>180000</v>
      </c>
      <c r="AC198" s="192"/>
    </row>
    <row r="199" spans="1:29" ht="15.75" thickBot="1" x14ac:dyDescent="0.3">
      <c r="A199" s="230"/>
      <c r="B199" s="231"/>
      <c r="C199" s="232"/>
      <c r="D199" s="232"/>
      <c r="E199" s="233"/>
      <c r="F199" s="234"/>
      <c r="G199" s="243"/>
      <c r="H199" s="231"/>
      <c r="I199" s="232"/>
      <c r="J199" s="232"/>
      <c r="K199" s="233"/>
      <c r="L199" s="230"/>
      <c r="M199" s="231"/>
      <c r="N199" s="232"/>
      <c r="O199" s="232"/>
      <c r="P199" s="233"/>
      <c r="Q199" s="234"/>
      <c r="R199" s="243"/>
      <c r="S199" s="231"/>
      <c r="T199" s="232"/>
      <c r="U199" s="232"/>
      <c r="V199" s="233"/>
      <c r="W199" s="234"/>
      <c r="X199" s="243"/>
      <c r="Y199" s="231"/>
      <c r="Z199" s="232"/>
      <c r="AA199" s="232"/>
      <c r="AB199" s="233"/>
      <c r="AC199" s="234"/>
    </row>
    <row r="200" spans="1:29" ht="15.75" thickBot="1" x14ac:dyDescent="0.3">
      <c r="A200" s="227"/>
      <c r="B200" s="235"/>
      <c r="C200" s="236"/>
      <c r="D200" s="236"/>
      <c r="E200" s="199"/>
      <c r="F200" s="192"/>
      <c r="G200" s="242"/>
      <c r="H200" s="235"/>
      <c r="I200" s="236"/>
      <c r="J200" s="236"/>
      <c r="K200" s="199"/>
      <c r="L200" s="227"/>
      <c r="M200" s="235"/>
      <c r="N200" s="236"/>
      <c r="O200" s="236"/>
      <c r="P200" s="199"/>
      <c r="Q200" s="237"/>
      <c r="R200" s="242"/>
      <c r="S200" s="235"/>
      <c r="T200" s="236"/>
      <c r="U200" s="236"/>
      <c r="V200" s="199"/>
      <c r="W200" s="237"/>
      <c r="X200" s="242"/>
      <c r="Y200" s="235"/>
      <c r="Z200" s="236"/>
      <c r="AA200" s="236"/>
      <c r="AB200" s="199"/>
      <c r="AC200" s="97"/>
    </row>
    <row r="201" spans="1:29" x14ac:dyDescent="0.2">
      <c r="A201" s="1205" t="s">
        <v>466</v>
      </c>
      <c r="B201" s="1206"/>
      <c r="C201" s="1206"/>
      <c r="D201" s="1206"/>
      <c r="E201" s="1206"/>
      <c r="F201" s="1221"/>
      <c r="G201" s="1205" t="s">
        <v>466</v>
      </c>
      <c r="H201" s="1206"/>
      <c r="I201" s="1206"/>
      <c r="J201" s="1206"/>
      <c r="K201" s="1206"/>
      <c r="L201" s="1205" t="s">
        <v>466</v>
      </c>
      <c r="M201" s="1206"/>
      <c r="N201" s="1206"/>
      <c r="O201" s="1206"/>
      <c r="P201" s="1206"/>
      <c r="Q201" s="1221"/>
      <c r="R201" s="1205" t="s">
        <v>466</v>
      </c>
      <c r="S201" s="1206"/>
      <c r="T201" s="1206"/>
      <c r="U201" s="1206"/>
      <c r="V201" s="1206"/>
      <c r="W201" s="1221"/>
      <c r="X201" s="1205" t="s">
        <v>466</v>
      </c>
      <c r="Y201" s="1206"/>
      <c r="Z201" s="1206"/>
      <c r="AA201" s="1206"/>
      <c r="AB201" s="1206"/>
      <c r="AC201" s="1221"/>
    </row>
    <row r="202" spans="1:29" ht="13.5" thickBot="1" x14ac:dyDescent="0.25">
      <c r="A202" s="1207"/>
      <c r="B202" s="1208"/>
      <c r="C202" s="1208"/>
      <c r="D202" s="1208"/>
      <c r="E202" s="1208"/>
      <c r="F202" s="1222"/>
      <c r="G202" s="1207"/>
      <c r="H202" s="1208"/>
      <c r="I202" s="1208"/>
      <c r="J202" s="1208"/>
      <c r="K202" s="1208"/>
      <c r="L202" s="1207"/>
      <c r="M202" s="1208"/>
      <c r="N202" s="1208"/>
      <c r="O202" s="1208"/>
      <c r="P202" s="1208"/>
      <c r="Q202" s="1222"/>
      <c r="R202" s="1207"/>
      <c r="S202" s="1208"/>
      <c r="T202" s="1208"/>
      <c r="U202" s="1208"/>
      <c r="V202" s="1208"/>
      <c r="W202" s="1222"/>
      <c r="X202" s="1207"/>
      <c r="Y202" s="1208"/>
      <c r="Z202" s="1208"/>
      <c r="AA202" s="1208"/>
      <c r="AB202" s="1208"/>
      <c r="AC202" s="1222"/>
    </row>
    <row r="203" spans="1:29" ht="64.5" thickBot="1" x14ac:dyDescent="0.25">
      <c r="A203" s="596" t="s">
        <v>148</v>
      </c>
      <c r="B203" s="597" t="s">
        <v>560</v>
      </c>
      <c r="C203" s="597" t="s">
        <v>559</v>
      </c>
      <c r="D203" s="490" t="s">
        <v>150</v>
      </c>
      <c r="E203" s="597" t="s">
        <v>151</v>
      </c>
      <c r="F203" s="225"/>
      <c r="G203" s="596" t="s">
        <v>148</v>
      </c>
      <c r="H203" s="597" t="str">
        <f>$B$203</f>
        <v>Number of FTE's (from Personnel &amp; Contractual Clinicians Worksheets)</v>
      </c>
      <c r="I203" s="597" t="str">
        <f>$C$203</f>
        <v>Salary (from Personnel &amp; Contractual Clinicians Worksheets)</v>
      </c>
      <c r="J203" s="490" t="s">
        <v>150</v>
      </c>
      <c r="K203" s="1016" t="s">
        <v>151</v>
      </c>
      <c r="L203" s="596" t="s">
        <v>148</v>
      </c>
      <c r="M203" s="597" t="str">
        <f>$B$203</f>
        <v>Number of FTE's (from Personnel &amp; Contractual Clinicians Worksheets)</v>
      </c>
      <c r="N203" s="597" t="str">
        <f>$C$203</f>
        <v>Salary (from Personnel &amp; Contractual Clinicians Worksheets)</v>
      </c>
      <c r="O203" s="490" t="s">
        <v>150</v>
      </c>
      <c r="P203" s="597" t="s">
        <v>151</v>
      </c>
      <c r="Q203" s="225"/>
      <c r="R203" s="596" t="s">
        <v>148</v>
      </c>
      <c r="S203" s="597" t="str">
        <f>$B$203</f>
        <v>Number of FTE's (from Personnel &amp; Contractual Clinicians Worksheets)</v>
      </c>
      <c r="T203" s="597" t="str">
        <f>$C$203</f>
        <v>Salary (from Personnel &amp; Contractual Clinicians Worksheets)</v>
      </c>
      <c r="U203" s="490" t="s">
        <v>150</v>
      </c>
      <c r="V203" s="597" t="s">
        <v>151</v>
      </c>
      <c r="W203" s="225"/>
      <c r="X203" s="596" t="s">
        <v>148</v>
      </c>
      <c r="Y203" s="597" t="str">
        <f>$B$203</f>
        <v>Number of FTE's (from Personnel &amp; Contractual Clinicians Worksheets)</v>
      </c>
      <c r="Z203" s="597" t="str">
        <f>$C$203</f>
        <v>Salary (from Personnel &amp; Contractual Clinicians Worksheets)</v>
      </c>
      <c r="AA203" s="490" t="s">
        <v>150</v>
      </c>
      <c r="AB203" s="597" t="s">
        <v>151</v>
      </c>
      <c r="AC203" s="225"/>
    </row>
    <row r="204" spans="1:29" x14ac:dyDescent="0.2">
      <c r="A204" s="601" t="s">
        <v>469</v>
      </c>
      <c r="B204" s="970">
        <f>SUM(Personnel!G10:G15)</f>
        <v>0</v>
      </c>
      <c r="C204" s="600">
        <f>SUM(Personnel!G122:G127)</f>
        <v>0</v>
      </c>
      <c r="D204" s="605">
        <f>100%+$C$184</f>
        <v>1.23</v>
      </c>
      <c r="E204" s="607">
        <f>C204*D204</f>
        <v>0</v>
      </c>
      <c r="F204" s="226"/>
      <c r="G204" s="601" t="str">
        <f>A204</f>
        <v>Clinicians in the CTPF (from Personnel Worksheet)</v>
      </c>
      <c r="H204" s="970">
        <f>SUM(Personnel!I10:I15)</f>
        <v>0</v>
      </c>
      <c r="I204" s="600">
        <f>SUM(Personnel!I122:I127)</f>
        <v>0</v>
      </c>
      <c r="J204" s="605">
        <f>100%+$C$184</f>
        <v>1.23</v>
      </c>
      <c r="K204" s="1017">
        <f>I204*J204</f>
        <v>0</v>
      </c>
      <c r="L204" s="601" t="str">
        <f>A204</f>
        <v>Clinicians in the CTPF (from Personnel Worksheet)</v>
      </c>
      <c r="M204" s="970">
        <f>SUM(Personnel!K10:K15)</f>
        <v>0</v>
      </c>
      <c r="N204" s="600">
        <f>SUM(Personnel!K122:K127)</f>
        <v>0</v>
      </c>
      <c r="O204" s="605">
        <f>100%+$C$184</f>
        <v>1.23</v>
      </c>
      <c r="P204" s="607">
        <f>N204*O204</f>
        <v>0</v>
      </c>
      <c r="Q204" s="226"/>
      <c r="R204" s="601" t="str">
        <f>A204</f>
        <v>Clinicians in the CTPF (from Personnel Worksheet)</v>
      </c>
      <c r="S204" s="970">
        <f>SUM(Personnel!M10:M15)</f>
        <v>0.4</v>
      </c>
      <c r="T204" s="600">
        <f>SUM(Personnel!M122:M127)</f>
        <v>22750</v>
      </c>
      <c r="U204" s="605">
        <f>100%+$C$184</f>
        <v>1.23</v>
      </c>
      <c r="V204" s="607">
        <f>T204*U204</f>
        <v>27982.5</v>
      </c>
      <c r="W204" s="226"/>
      <c r="X204" s="601" t="str">
        <f>A204</f>
        <v>Clinicians in the CTPF (from Personnel Worksheet)</v>
      </c>
      <c r="Y204" s="970">
        <f>SUM(Personnel!O10:O15)</f>
        <v>0.4</v>
      </c>
      <c r="Z204" s="600">
        <f>SUM(Personnel!O122:O127)</f>
        <v>23205</v>
      </c>
      <c r="AA204" s="605">
        <f>100%+$C$184</f>
        <v>1.23</v>
      </c>
      <c r="AB204" s="607">
        <f>Z204*AA204</f>
        <v>28542.149999999998</v>
      </c>
      <c r="AC204" s="226"/>
    </row>
    <row r="205" spans="1:29" x14ac:dyDescent="0.2">
      <c r="A205" s="569" t="s">
        <v>470</v>
      </c>
      <c r="B205" s="970">
        <f>SUM(Personnel!G34:G39)</f>
        <v>0</v>
      </c>
      <c r="C205" s="600">
        <f>SUM(Personnel!G153:G158)</f>
        <v>0</v>
      </c>
      <c r="D205" s="605">
        <f>100%+$C$184</f>
        <v>1.23</v>
      </c>
      <c r="E205" s="607">
        <f>C205*D205</f>
        <v>0</v>
      </c>
      <c r="F205" s="226"/>
      <c r="G205" s="601" t="str">
        <f>A205</f>
        <v>Clinicians Not in the CTPF (from Personnel Worksheet)</v>
      </c>
      <c r="H205" s="970">
        <f>SUM(Personnel!I34:I39)</f>
        <v>0</v>
      </c>
      <c r="I205" s="600">
        <f>SUM(Personnel!I153:I158)</f>
        <v>0</v>
      </c>
      <c r="J205" s="605">
        <f>100%+$C$184</f>
        <v>1.23</v>
      </c>
      <c r="K205" s="1017">
        <f>I205*J205</f>
        <v>0</v>
      </c>
      <c r="L205" s="601" t="str">
        <f>A205</f>
        <v>Clinicians Not in the CTPF (from Personnel Worksheet)</v>
      </c>
      <c r="M205" s="970">
        <f>SUM(Personnel!K34:K39)</f>
        <v>0</v>
      </c>
      <c r="N205" s="600">
        <f>SUM(Personnel!K153:K158)</f>
        <v>0</v>
      </c>
      <c r="O205" s="605">
        <f>100%+$C$184</f>
        <v>1.23</v>
      </c>
      <c r="P205" s="607">
        <f>N205*O205</f>
        <v>0</v>
      </c>
      <c r="Q205" s="226"/>
      <c r="R205" s="601" t="str">
        <f>A205</f>
        <v>Clinicians Not in the CTPF (from Personnel Worksheet)</v>
      </c>
      <c r="S205" s="970">
        <f>SUM(Personnel!M34:M39)</f>
        <v>0</v>
      </c>
      <c r="T205" s="600">
        <f>SUM(Personnel!M153:M158)</f>
        <v>0</v>
      </c>
      <c r="U205" s="605">
        <f>100%+$C$184</f>
        <v>1.23</v>
      </c>
      <c r="V205" s="607">
        <f>T205*U205</f>
        <v>0</v>
      </c>
      <c r="W205" s="226"/>
      <c r="X205" s="601" t="str">
        <f>A205</f>
        <v>Clinicians Not in the CTPF (from Personnel Worksheet)</v>
      </c>
      <c r="Y205" s="970">
        <f>SUM(Personnel!O34:O39)</f>
        <v>0</v>
      </c>
      <c r="Z205" s="600">
        <f>SUM(Personnel!O153:O158)</f>
        <v>0</v>
      </c>
      <c r="AA205" s="605">
        <f>100%+$C$184</f>
        <v>1.23</v>
      </c>
      <c r="AB205" s="607">
        <f>Z205*AA205</f>
        <v>0</v>
      </c>
      <c r="AC205" s="226"/>
    </row>
    <row r="206" spans="1:29" ht="13.5" thickBot="1" x14ac:dyDescent="0.25">
      <c r="A206" s="601" t="s">
        <v>471</v>
      </c>
      <c r="B206" s="970">
        <f>'Contractual Clinicians'!C14</f>
        <v>0</v>
      </c>
      <c r="C206" s="600">
        <f>'Contractual Clinicians'!C31</f>
        <v>0</v>
      </c>
      <c r="D206" s="969" t="s">
        <v>207</v>
      </c>
      <c r="E206" s="607">
        <f>C206</f>
        <v>0</v>
      </c>
      <c r="F206" s="226"/>
      <c r="G206" s="601" t="str">
        <f>A206</f>
        <v>Contractual Clinicians (from Contractual Clinicians Worksheet)</v>
      </c>
      <c r="H206" s="970">
        <f>'Contractual Clinicians'!D14</f>
        <v>0</v>
      </c>
      <c r="I206" s="600">
        <f>'Contractual Clinicians'!D31</f>
        <v>0</v>
      </c>
      <c r="J206" s="969" t="s">
        <v>207</v>
      </c>
      <c r="K206" s="1017">
        <f>I206</f>
        <v>0</v>
      </c>
      <c r="L206" s="601" t="str">
        <f>A206</f>
        <v>Contractual Clinicians (from Contractual Clinicians Worksheet)</v>
      </c>
      <c r="M206" s="970">
        <f>'Contractual Clinicians'!E14</f>
        <v>0</v>
      </c>
      <c r="N206" s="600">
        <f>'Contractual Clinicians'!E31</f>
        <v>0</v>
      </c>
      <c r="O206" s="969" t="s">
        <v>207</v>
      </c>
      <c r="P206" s="607">
        <f>N206</f>
        <v>0</v>
      </c>
      <c r="Q206" s="226"/>
      <c r="R206" s="601" t="str">
        <f>A206</f>
        <v>Contractual Clinicians (from Contractual Clinicians Worksheet)</v>
      </c>
      <c r="S206" s="970">
        <f>'Contractual Clinicians'!F14</f>
        <v>0</v>
      </c>
      <c r="T206" s="600">
        <f>'Contractual Clinicians'!F31</f>
        <v>0</v>
      </c>
      <c r="U206" s="969" t="s">
        <v>207</v>
      </c>
      <c r="V206" s="607">
        <f>T206</f>
        <v>0</v>
      </c>
      <c r="W206" s="226"/>
      <c r="X206" s="601" t="str">
        <f>A206</f>
        <v>Contractual Clinicians (from Contractual Clinicians Worksheet)</v>
      </c>
      <c r="Y206" s="970">
        <f>'Contractual Clinicians'!G14</f>
        <v>0</v>
      </c>
      <c r="Z206" s="600">
        <f>'Contractual Clinicians'!G31</f>
        <v>0</v>
      </c>
      <c r="AA206" s="969" t="s">
        <v>207</v>
      </c>
      <c r="AB206" s="607">
        <f>Z206</f>
        <v>0</v>
      </c>
      <c r="AC206" s="226"/>
    </row>
    <row r="207" spans="1:29" ht="13.5" thickBot="1" x14ac:dyDescent="0.25">
      <c r="A207" s="602" t="s">
        <v>152</v>
      </c>
      <c r="B207" s="972">
        <f>SUM(B204:B206)</f>
        <v>0</v>
      </c>
      <c r="C207" s="604">
        <f>SUM(C204:C206)</f>
        <v>0</v>
      </c>
      <c r="D207" s="97"/>
      <c r="E207" s="608">
        <f>SUM(E204:E206)</f>
        <v>0</v>
      </c>
      <c r="F207" s="226"/>
      <c r="G207" s="602" t="s">
        <v>152</v>
      </c>
      <c r="H207" s="972">
        <f>SUM(H204:H206)</f>
        <v>0</v>
      </c>
      <c r="I207" s="604">
        <f>SUM(I204:I206)</f>
        <v>0</v>
      </c>
      <c r="J207" s="97"/>
      <c r="K207" s="1018">
        <f>SUM(K204:K206)</f>
        <v>0</v>
      </c>
      <c r="L207" s="602" t="s">
        <v>152</v>
      </c>
      <c r="M207" s="972">
        <f>SUM(M204:M206)</f>
        <v>0</v>
      </c>
      <c r="N207" s="604">
        <f>SUM(N204:N206)</f>
        <v>0</v>
      </c>
      <c r="O207" s="97"/>
      <c r="P207" s="608">
        <f>SUM(P204:P206)</f>
        <v>0</v>
      </c>
      <c r="Q207" s="226"/>
      <c r="R207" s="602" t="s">
        <v>152</v>
      </c>
      <c r="S207" s="972">
        <f>SUM(S204:S206)</f>
        <v>0.4</v>
      </c>
      <c r="T207" s="604">
        <f>SUM(T204:T206)</f>
        <v>22750</v>
      </c>
      <c r="U207" s="97"/>
      <c r="V207" s="608">
        <f>SUM(V204:V206)</f>
        <v>27982.5</v>
      </c>
      <c r="W207" s="226"/>
      <c r="X207" s="602" t="s">
        <v>152</v>
      </c>
      <c r="Y207" s="972">
        <f>SUM(Y204:Y206)</f>
        <v>0.4</v>
      </c>
      <c r="Z207" s="604">
        <f>SUM(Z204:Z206)</f>
        <v>23205</v>
      </c>
      <c r="AA207" s="97"/>
      <c r="AB207" s="608">
        <f>SUM(AB204:AB206)</f>
        <v>28542.149999999998</v>
      </c>
      <c r="AC207" s="226"/>
    </row>
    <row r="208" spans="1:29" x14ac:dyDescent="0.2">
      <c r="A208" s="206"/>
      <c r="B208" s="97"/>
      <c r="C208" s="97"/>
      <c r="D208" s="97"/>
      <c r="E208" s="199"/>
      <c r="F208" s="192"/>
      <c r="G208" s="206"/>
      <c r="H208" s="97"/>
      <c r="I208" s="97"/>
      <c r="J208" s="97"/>
      <c r="K208" s="199"/>
      <c r="L208" s="206"/>
      <c r="M208" s="97"/>
      <c r="N208" s="97"/>
      <c r="O208" s="97"/>
      <c r="P208" s="199"/>
      <c r="Q208" s="192"/>
      <c r="R208" s="206"/>
      <c r="S208" s="97"/>
      <c r="T208" s="97"/>
      <c r="U208" s="97"/>
      <c r="V208" s="199"/>
      <c r="W208" s="192"/>
      <c r="X208" s="206"/>
      <c r="Y208" s="97"/>
      <c r="Z208" s="97"/>
      <c r="AA208" s="97"/>
      <c r="AB208" s="199"/>
      <c r="AC208" s="192"/>
    </row>
    <row r="209" spans="1:29" x14ac:dyDescent="0.2">
      <c r="A209" s="206"/>
      <c r="B209" s="97"/>
      <c r="C209" s="97"/>
      <c r="D209" s="97"/>
      <c r="E209" s="199"/>
      <c r="F209" s="192"/>
      <c r="G209" s="206"/>
      <c r="H209" s="97"/>
      <c r="I209" s="97"/>
      <c r="J209" s="97"/>
      <c r="K209" s="199"/>
      <c r="L209" s="206"/>
      <c r="M209" s="97"/>
      <c r="N209" s="97"/>
      <c r="O209" s="97"/>
      <c r="P209" s="199"/>
      <c r="Q209" s="192"/>
      <c r="R209" s="206"/>
      <c r="S209" s="97"/>
      <c r="T209" s="97"/>
      <c r="U209" s="97"/>
      <c r="V209" s="199"/>
      <c r="W209" s="192"/>
      <c r="X209" s="206"/>
      <c r="Y209" s="97"/>
      <c r="Z209" s="97"/>
      <c r="AA209" s="97"/>
      <c r="AB209" s="199"/>
      <c r="AC209" s="192"/>
    </row>
    <row r="210" spans="1:29" x14ac:dyDescent="0.2">
      <c r="A210" s="206"/>
      <c r="B210" s="97"/>
      <c r="C210" s="97"/>
      <c r="D210" s="97"/>
      <c r="E210" s="199"/>
      <c r="F210" s="192"/>
      <c r="G210" s="206"/>
      <c r="H210" s="97"/>
      <c r="I210" s="97"/>
      <c r="J210" s="97"/>
      <c r="K210" s="199"/>
      <c r="L210" s="206"/>
      <c r="M210" s="97"/>
      <c r="N210" s="97"/>
      <c r="O210" s="97"/>
      <c r="P210" s="199"/>
      <c r="Q210" s="192"/>
      <c r="R210" s="206"/>
      <c r="S210" s="97"/>
      <c r="T210" s="97"/>
      <c r="U210" s="97"/>
      <c r="V210" s="199"/>
      <c r="W210" s="192"/>
      <c r="X210" s="206"/>
      <c r="Y210" s="97"/>
      <c r="Z210" s="97"/>
      <c r="AA210" s="97"/>
      <c r="AB210" s="199"/>
      <c r="AC210" s="192"/>
    </row>
    <row r="211" spans="1:29" ht="15.75" thickBot="1" x14ac:dyDescent="0.3">
      <c r="A211" s="227"/>
      <c r="B211" s="228"/>
      <c r="C211" s="96"/>
      <c r="D211" s="96"/>
      <c r="E211" s="199"/>
      <c r="F211" s="229"/>
      <c r="G211" s="227"/>
      <c r="H211" s="228"/>
      <c r="I211" s="96"/>
      <c r="J211" s="96"/>
      <c r="K211" s="199"/>
      <c r="L211" s="227"/>
      <c r="M211" s="228"/>
      <c r="N211" s="96"/>
      <c r="O211" s="96"/>
      <c r="P211" s="199"/>
      <c r="Q211" s="229"/>
      <c r="R211" s="227"/>
      <c r="S211" s="228"/>
      <c r="T211" s="96"/>
      <c r="U211" s="96"/>
      <c r="V211" s="199"/>
      <c r="W211" s="229"/>
      <c r="X211" s="227"/>
      <c r="Y211" s="228"/>
      <c r="Z211" s="96"/>
      <c r="AA211" s="96"/>
      <c r="AB211" s="199"/>
      <c r="AC211" s="229"/>
    </row>
    <row r="212" spans="1:29" ht="39" thickBot="1" x14ac:dyDescent="0.25">
      <c r="A212" s="537" t="s">
        <v>89</v>
      </c>
      <c r="B212" s="490" t="s">
        <v>153</v>
      </c>
      <c r="C212" s="97"/>
      <c r="D212" s="597" t="s">
        <v>154</v>
      </c>
      <c r="E212" s="597" t="s">
        <v>155</v>
      </c>
      <c r="F212" s="192"/>
      <c r="G212" s="537" t="s">
        <v>89</v>
      </c>
      <c r="H212" s="490" t="s">
        <v>153</v>
      </c>
      <c r="I212" s="97"/>
      <c r="J212" s="597" t="s">
        <v>154</v>
      </c>
      <c r="K212" s="1016" t="s">
        <v>155</v>
      </c>
      <c r="L212" s="537" t="s">
        <v>89</v>
      </c>
      <c r="M212" s="490" t="s">
        <v>153</v>
      </c>
      <c r="N212" s="97"/>
      <c r="O212" s="597" t="s">
        <v>154</v>
      </c>
      <c r="P212" s="597" t="s">
        <v>155</v>
      </c>
      <c r="Q212" s="192"/>
      <c r="R212" s="537" t="s">
        <v>89</v>
      </c>
      <c r="S212" s="490" t="s">
        <v>153</v>
      </c>
      <c r="T212" s="97"/>
      <c r="U212" s="597" t="s">
        <v>154</v>
      </c>
      <c r="V212" s="597" t="s">
        <v>155</v>
      </c>
      <c r="W212" s="192"/>
      <c r="X212" s="537" t="s">
        <v>89</v>
      </c>
      <c r="Y212" s="490" t="s">
        <v>153</v>
      </c>
      <c r="Z212" s="97"/>
      <c r="AA212" s="597" t="s">
        <v>154</v>
      </c>
      <c r="AB212" s="597" t="s">
        <v>155</v>
      </c>
      <c r="AC212" s="192"/>
    </row>
    <row r="213" spans="1:29" ht="15.75" thickBot="1" x14ac:dyDescent="0.3">
      <c r="A213" s="612" t="s">
        <v>156</v>
      </c>
      <c r="B213" s="613">
        <f>E207/(B207+0.000000001)</f>
        <v>0</v>
      </c>
      <c r="C213" s="97"/>
      <c r="D213" s="615">
        <v>0</v>
      </c>
      <c r="E213" s="615">
        <f>E207</f>
        <v>0</v>
      </c>
      <c r="F213" s="192"/>
      <c r="G213" s="612" t="s">
        <v>156</v>
      </c>
      <c r="H213" s="613">
        <f>K207/(H207+0.000000001)</f>
        <v>0</v>
      </c>
      <c r="I213" s="97"/>
      <c r="J213" s="615">
        <v>0</v>
      </c>
      <c r="K213" s="1019">
        <f>K207</f>
        <v>0</v>
      </c>
      <c r="L213" s="612" t="s">
        <v>156</v>
      </c>
      <c r="M213" s="613">
        <f>P207/(M207+0.000000001)</f>
        <v>0</v>
      </c>
      <c r="N213" s="97"/>
      <c r="O213" s="615">
        <v>0</v>
      </c>
      <c r="P213" s="615">
        <f>P207</f>
        <v>0</v>
      </c>
      <c r="Q213" s="192"/>
      <c r="R213" s="612" t="s">
        <v>156</v>
      </c>
      <c r="S213" s="613">
        <f>V207/(S207+0.000000001)</f>
        <v>69956.249825109364</v>
      </c>
      <c r="T213" s="97"/>
      <c r="U213" s="615">
        <v>0</v>
      </c>
      <c r="V213" s="615">
        <f>V207</f>
        <v>27982.5</v>
      </c>
      <c r="W213" s="192"/>
      <c r="X213" s="612" t="s">
        <v>156</v>
      </c>
      <c r="Y213" s="613">
        <f>AB207/(Y207+0.000000001)</f>
        <v>71355.374821611549</v>
      </c>
      <c r="Z213" s="97"/>
      <c r="AA213" s="615">
        <v>0</v>
      </c>
      <c r="AB213" s="615">
        <f>AB207</f>
        <v>28542.149999999998</v>
      </c>
      <c r="AC213" s="192"/>
    </row>
    <row r="214" spans="1:29" ht="15.75" thickBot="1" x14ac:dyDescent="0.3">
      <c r="A214" s="612" t="s">
        <v>157</v>
      </c>
      <c r="B214" s="614">
        <f>VLOOKUP(B213,D213:E214,2,TRUE)</f>
        <v>0</v>
      </c>
      <c r="C214" s="97"/>
      <c r="D214" s="615">
        <v>90000</v>
      </c>
      <c r="E214" s="615">
        <f>B207*D214</f>
        <v>0</v>
      </c>
      <c r="F214" s="192"/>
      <c r="G214" s="612" t="s">
        <v>157</v>
      </c>
      <c r="H214" s="614">
        <f>VLOOKUP(H213,J213:K214,2,TRUE)</f>
        <v>0</v>
      </c>
      <c r="I214" s="97"/>
      <c r="J214" s="615">
        <v>90000</v>
      </c>
      <c r="K214" s="1019">
        <f>H207*J214</f>
        <v>0</v>
      </c>
      <c r="L214" s="612" t="s">
        <v>157</v>
      </c>
      <c r="M214" s="614">
        <f>VLOOKUP(M213,O213:P214,2,TRUE)</f>
        <v>0</v>
      </c>
      <c r="N214" s="97"/>
      <c r="O214" s="615">
        <v>90000</v>
      </c>
      <c r="P214" s="615">
        <f>M207*O214</f>
        <v>0</v>
      </c>
      <c r="Q214" s="192"/>
      <c r="R214" s="612" t="s">
        <v>157</v>
      </c>
      <c r="S214" s="614">
        <f>VLOOKUP(S213,U213:V214,2,TRUE)</f>
        <v>27982.5</v>
      </c>
      <c r="T214" s="97"/>
      <c r="U214" s="615">
        <v>90000</v>
      </c>
      <c r="V214" s="615">
        <f>S207*U214</f>
        <v>36000</v>
      </c>
      <c r="W214" s="192"/>
      <c r="X214" s="612" t="s">
        <v>157</v>
      </c>
      <c r="Y214" s="614">
        <f>VLOOKUP(Y213,AA213:AB214,2,TRUE)</f>
        <v>28542.149999999998</v>
      </c>
      <c r="Z214" s="97"/>
      <c r="AA214" s="615">
        <v>90000</v>
      </c>
      <c r="AB214" s="615">
        <f>Y207*AA214</f>
        <v>36000</v>
      </c>
      <c r="AC214" s="192"/>
    </row>
    <row r="215" spans="1:29" ht="15" x14ac:dyDescent="0.25">
      <c r="A215" s="227"/>
      <c r="B215" s="235"/>
      <c r="C215" s="236"/>
      <c r="D215" s="236"/>
      <c r="E215" s="199"/>
      <c r="F215" s="192"/>
      <c r="G215" s="242"/>
      <c r="H215" s="235"/>
      <c r="I215" s="236"/>
      <c r="J215" s="236"/>
      <c r="K215" s="199"/>
      <c r="L215" s="227"/>
      <c r="M215" s="235"/>
      <c r="N215" s="236"/>
      <c r="O215" s="236"/>
      <c r="P215" s="199"/>
      <c r="Q215" s="192"/>
      <c r="R215" s="242"/>
      <c r="S215" s="235"/>
      <c r="T215" s="236"/>
      <c r="U215" s="236"/>
      <c r="V215" s="199"/>
      <c r="W215" s="192"/>
      <c r="X215" s="242"/>
      <c r="Y215" s="235"/>
      <c r="Z215" s="236"/>
      <c r="AA215" s="236"/>
      <c r="AB215" s="199"/>
      <c r="AC215" s="192"/>
    </row>
    <row r="216" spans="1:29" ht="15.75" thickBot="1" x14ac:dyDescent="0.3">
      <c r="A216" s="227"/>
      <c r="B216" s="235"/>
      <c r="C216" s="236"/>
      <c r="D216" s="236"/>
      <c r="E216" s="199"/>
      <c r="F216" s="192"/>
      <c r="G216" s="242"/>
      <c r="H216" s="235"/>
      <c r="I216" s="236"/>
      <c r="J216" s="236"/>
      <c r="K216" s="221"/>
      <c r="L216" s="227"/>
      <c r="M216" s="235"/>
      <c r="N216" s="236"/>
      <c r="O216" s="236"/>
      <c r="P216" s="199"/>
      <c r="Q216" s="234"/>
      <c r="R216" s="242"/>
      <c r="S216" s="235"/>
      <c r="T216" s="236"/>
      <c r="U216" s="236"/>
      <c r="V216" s="221"/>
      <c r="W216" s="234"/>
      <c r="X216" s="242"/>
      <c r="Y216" s="235"/>
      <c r="Z216" s="236"/>
      <c r="AA216" s="236"/>
      <c r="AB216" s="221"/>
      <c r="AC216" s="234"/>
    </row>
    <row r="217" spans="1:29" x14ac:dyDescent="0.2">
      <c r="A217" s="1205" t="s">
        <v>479</v>
      </c>
      <c r="B217" s="1206"/>
      <c r="C217" s="1206"/>
      <c r="D217" s="1206"/>
      <c r="E217" s="1206"/>
      <c r="F217" s="1221"/>
      <c r="G217" s="1206" t="s">
        <v>158</v>
      </c>
      <c r="H217" s="1206"/>
      <c r="I217" s="1206"/>
      <c r="J217" s="1206"/>
      <c r="K217" s="1206"/>
      <c r="L217" s="1205" t="s">
        <v>158</v>
      </c>
      <c r="M217" s="1206"/>
      <c r="N217" s="1206"/>
      <c r="O217" s="1206"/>
      <c r="P217" s="1206"/>
      <c r="Q217" s="1221"/>
      <c r="R217" s="1206" t="s">
        <v>158</v>
      </c>
      <c r="S217" s="1206"/>
      <c r="T217" s="1206"/>
      <c r="U217" s="1206"/>
      <c r="V217" s="1206"/>
      <c r="W217" s="1221"/>
      <c r="X217" s="1206" t="s">
        <v>158</v>
      </c>
      <c r="Y217" s="1206"/>
      <c r="Z217" s="1206"/>
      <c r="AA217" s="1206"/>
      <c r="AB217" s="1206"/>
      <c r="AC217" s="1221"/>
    </row>
    <row r="218" spans="1:29" ht="13.5" thickBot="1" x14ac:dyDescent="0.25">
      <c r="A218" s="1207"/>
      <c r="B218" s="1208"/>
      <c r="C218" s="1208"/>
      <c r="D218" s="1208"/>
      <c r="E218" s="1208"/>
      <c r="F218" s="1222"/>
      <c r="G218" s="1208"/>
      <c r="H218" s="1208"/>
      <c r="I218" s="1208"/>
      <c r="J218" s="1208"/>
      <c r="K218" s="1208"/>
      <c r="L218" s="1207"/>
      <c r="M218" s="1208"/>
      <c r="N218" s="1208"/>
      <c r="O218" s="1208"/>
      <c r="P218" s="1208"/>
      <c r="Q218" s="1222"/>
      <c r="R218" s="1208"/>
      <c r="S218" s="1208"/>
      <c r="T218" s="1208"/>
      <c r="U218" s="1208"/>
      <c r="V218" s="1208"/>
      <c r="W218" s="1222"/>
      <c r="X218" s="1208"/>
      <c r="Y218" s="1208"/>
      <c r="Z218" s="1208"/>
      <c r="AA218" s="1208"/>
      <c r="AB218" s="1208"/>
      <c r="AC218" s="1222"/>
    </row>
    <row r="219" spans="1:29" ht="12.75" customHeight="1" x14ac:dyDescent="0.2">
      <c r="A219" s="1226" t="s">
        <v>89</v>
      </c>
      <c r="B219" s="1211" t="s">
        <v>561</v>
      </c>
      <c r="C219" s="1211" t="s">
        <v>149</v>
      </c>
      <c r="D219" s="1226" t="s">
        <v>150</v>
      </c>
      <c r="E219" s="1211" t="s">
        <v>151</v>
      </c>
      <c r="F219" s="237"/>
      <c r="G219" s="1240" t="s">
        <v>89</v>
      </c>
      <c r="H219" s="1211" t="str">
        <f>$B$219</f>
        <v>Number of FTE's (from Personnel Worksheet)</v>
      </c>
      <c r="I219" s="1211" t="s">
        <v>149</v>
      </c>
      <c r="J219" s="1226" t="s">
        <v>150</v>
      </c>
      <c r="K219" s="1245" t="s">
        <v>151</v>
      </c>
      <c r="L219" s="1226" t="s">
        <v>89</v>
      </c>
      <c r="M219" s="1211" t="str">
        <f>$B$219</f>
        <v>Number of FTE's (from Personnel Worksheet)</v>
      </c>
      <c r="N219" s="1211" t="s">
        <v>149</v>
      </c>
      <c r="O219" s="1226" t="s">
        <v>150</v>
      </c>
      <c r="P219" s="1211" t="s">
        <v>151</v>
      </c>
      <c r="Q219" s="237"/>
      <c r="R219" s="1240" t="s">
        <v>89</v>
      </c>
      <c r="S219" s="1211" t="str">
        <f>$B$219</f>
        <v>Number of FTE's (from Personnel Worksheet)</v>
      </c>
      <c r="T219" s="1211" t="s">
        <v>149</v>
      </c>
      <c r="U219" s="1226" t="s">
        <v>150</v>
      </c>
      <c r="V219" s="1211" t="s">
        <v>151</v>
      </c>
      <c r="W219" s="237"/>
      <c r="X219" s="1240" t="s">
        <v>89</v>
      </c>
      <c r="Y219" s="1211" t="str">
        <f>$B$219</f>
        <v>Number of FTE's (from Personnel Worksheet)</v>
      </c>
      <c r="Z219" s="1211" t="s">
        <v>149</v>
      </c>
      <c r="AA219" s="1226" t="s">
        <v>150</v>
      </c>
      <c r="AB219" s="1211" t="s">
        <v>151</v>
      </c>
      <c r="AC219" s="237"/>
    </row>
    <row r="220" spans="1:29" ht="30.75" customHeight="1" thickBot="1" x14ac:dyDescent="0.25">
      <c r="A220" s="1227"/>
      <c r="B220" s="1212"/>
      <c r="C220" s="1212"/>
      <c r="D220" s="1227"/>
      <c r="E220" s="1212"/>
      <c r="F220" s="192"/>
      <c r="G220" s="1241"/>
      <c r="H220" s="1212"/>
      <c r="I220" s="1212"/>
      <c r="J220" s="1227"/>
      <c r="K220" s="1246"/>
      <c r="L220" s="1227"/>
      <c r="M220" s="1212"/>
      <c r="N220" s="1212"/>
      <c r="O220" s="1227"/>
      <c r="P220" s="1212"/>
      <c r="Q220" s="192"/>
      <c r="R220" s="1241"/>
      <c r="S220" s="1212"/>
      <c r="T220" s="1212"/>
      <c r="U220" s="1227"/>
      <c r="V220" s="1212"/>
      <c r="W220" s="192"/>
      <c r="X220" s="1241"/>
      <c r="Y220" s="1212"/>
      <c r="Z220" s="1212"/>
      <c r="AA220" s="1227"/>
      <c r="AB220" s="1212"/>
      <c r="AC220" s="192"/>
    </row>
    <row r="221" spans="1:29" x14ac:dyDescent="0.2">
      <c r="A221" s="617" t="s">
        <v>472</v>
      </c>
      <c r="B221" s="970">
        <f>Personnel!G9</f>
        <v>0</v>
      </c>
      <c r="C221" s="600">
        <f>Personnel!G121</f>
        <v>0</v>
      </c>
      <c r="D221" s="605">
        <f>100%+$C$184</f>
        <v>1.23</v>
      </c>
      <c r="E221" s="621">
        <f>C221*D221</f>
        <v>0</v>
      </c>
      <c r="F221" s="192"/>
      <c r="G221" s="622" t="str">
        <f>A221</f>
        <v>SPED Teacher Aides in the CTPF (from Personnel Worksheet)</v>
      </c>
      <c r="H221" s="970">
        <f>Personnel!I9</f>
        <v>0</v>
      </c>
      <c r="I221" s="600">
        <f>Personnel!I121</f>
        <v>0</v>
      </c>
      <c r="J221" s="605">
        <f>100%+$I$184</f>
        <v>1.23</v>
      </c>
      <c r="K221" s="1020">
        <f>I221*J221</f>
        <v>0</v>
      </c>
      <c r="L221" s="617" t="str">
        <f>A221</f>
        <v>SPED Teacher Aides in the CTPF (from Personnel Worksheet)</v>
      </c>
      <c r="M221" s="599">
        <f>Personnel!K9</f>
        <v>0</v>
      </c>
      <c r="N221" s="600">
        <f>Personnel!K121</f>
        <v>0</v>
      </c>
      <c r="O221" s="605">
        <f>100%+$N$184</f>
        <v>1.23</v>
      </c>
      <c r="P221" s="621">
        <f>N221*O221</f>
        <v>0</v>
      </c>
      <c r="Q221" s="192"/>
      <c r="R221" s="622" t="str">
        <f>A221</f>
        <v>SPED Teacher Aides in the CTPF (from Personnel Worksheet)</v>
      </c>
      <c r="S221" s="970">
        <f>Personnel!M9</f>
        <v>0</v>
      </c>
      <c r="T221" s="600">
        <f>Personnel!M121</f>
        <v>0</v>
      </c>
      <c r="U221" s="605">
        <f>100%+$T$184</f>
        <v>1.23</v>
      </c>
      <c r="V221" s="621">
        <f>T221*U221</f>
        <v>0</v>
      </c>
      <c r="W221" s="192"/>
      <c r="X221" s="622" t="str">
        <f>A221</f>
        <v>SPED Teacher Aides in the CTPF (from Personnel Worksheet)</v>
      </c>
      <c r="Y221" s="970">
        <f>Personnel!O9</f>
        <v>0</v>
      </c>
      <c r="Z221" s="600">
        <f>Personnel!O121</f>
        <v>0</v>
      </c>
      <c r="AA221" s="605">
        <f>100%+$Z$184</f>
        <v>1.23</v>
      </c>
      <c r="AB221" s="621">
        <f>Z221*AA221</f>
        <v>0</v>
      </c>
      <c r="AC221" s="192"/>
    </row>
    <row r="222" spans="1:29" ht="13.5" thickBot="1" x14ac:dyDescent="0.25">
      <c r="A222" s="601" t="s">
        <v>473</v>
      </c>
      <c r="B222" s="971">
        <f>Personnel!G33</f>
        <v>0</v>
      </c>
      <c r="C222" s="387">
        <f>Personnel!G152</f>
        <v>0</v>
      </c>
      <c r="D222" s="606">
        <f>100%+$C$184</f>
        <v>1.23</v>
      </c>
      <c r="E222" s="621">
        <f>C222*D222</f>
        <v>0</v>
      </c>
      <c r="F222" s="192"/>
      <c r="G222" s="622" t="str">
        <f>A222</f>
        <v>SPED Teachers Aides Not in the CTPF (from Personnel Worksheet)</v>
      </c>
      <c r="H222" s="971">
        <f>Personnel!I33</f>
        <v>0</v>
      </c>
      <c r="I222" s="387">
        <f>Personnel!I152</f>
        <v>0</v>
      </c>
      <c r="J222" s="605">
        <f>100%+$I$184</f>
        <v>1.23</v>
      </c>
      <c r="K222" s="1020">
        <f>I222*J222</f>
        <v>0</v>
      </c>
      <c r="L222" s="617" t="str">
        <f>A222</f>
        <v>SPED Teachers Aides Not in the CTPF (from Personnel Worksheet)</v>
      </c>
      <c r="M222" s="620">
        <f>Personnel!K33</f>
        <v>0</v>
      </c>
      <c r="N222" s="387">
        <f>Personnel!K152</f>
        <v>0</v>
      </c>
      <c r="O222" s="605">
        <f>100%+$N$184</f>
        <v>1.23</v>
      </c>
      <c r="P222" s="621">
        <f>N222*O222</f>
        <v>0</v>
      </c>
      <c r="Q222" s="192"/>
      <c r="R222" s="622" t="str">
        <f>A222</f>
        <v>SPED Teachers Aides Not in the CTPF (from Personnel Worksheet)</v>
      </c>
      <c r="S222" s="971">
        <f>Personnel!M33</f>
        <v>0</v>
      </c>
      <c r="T222" s="387">
        <f>Personnel!M152</f>
        <v>0</v>
      </c>
      <c r="U222" s="605">
        <f>100%+$T$184</f>
        <v>1.23</v>
      </c>
      <c r="V222" s="621">
        <f>T222*U222</f>
        <v>0</v>
      </c>
      <c r="W222" s="192"/>
      <c r="X222" s="622" t="str">
        <f>A222</f>
        <v>SPED Teachers Aides Not in the CTPF (from Personnel Worksheet)</v>
      </c>
      <c r="Y222" s="971">
        <f>Personnel!O33</f>
        <v>0</v>
      </c>
      <c r="Z222" s="387">
        <f>Personnel!O152</f>
        <v>0</v>
      </c>
      <c r="AA222" s="605">
        <f>100%+$Z$184</f>
        <v>1.23</v>
      </c>
      <c r="AB222" s="621">
        <f>Z222*AA222</f>
        <v>0</v>
      </c>
      <c r="AC222" s="192"/>
    </row>
    <row r="223" spans="1:29" ht="13.5" thickBot="1" x14ac:dyDescent="0.25">
      <c r="A223" s="602" t="s">
        <v>152</v>
      </c>
      <c r="B223" s="972">
        <f>SUM(B221:B222)</f>
        <v>0</v>
      </c>
      <c r="C223" s="604">
        <f>SUM(C221:C222)</f>
        <v>0</v>
      </c>
      <c r="D223" s="97"/>
      <c r="E223" s="554">
        <f>SUM(E221:E222)</f>
        <v>0</v>
      </c>
      <c r="F223" s="192"/>
      <c r="G223" s="611" t="s">
        <v>152</v>
      </c>
      <c r="H223" s="972">
        <f>SUM(H221:H222)</f>
        <v>0</v>
      </c>
      <c r="I223" s="604">
        <f>SUM(I221:I222)</f>
        <v>0</v>
      </c>
      <c r="J223" s="97"/>
      <c r="K223" s="1021">
        <f>SUM(K221:K222)</f>
        <v>0</v>
      </c>
      <c r="L223" s="602" t="s">
        <v>152</v>
      </c>
      <c r="M223" s="603">
        <f>SUM(M221:M222)</f>
        <v>0</v>
      </c>
      <c r="N223" s="604">
        <f>SUM(N221:N222)</f>
        <v>0</v>
      </c>
      <c r="O223" s="97"/>
      <c r="P223" s="554">
        <f>SUM(P221:P222)</f>
        <v>0</v>
      </c>
      <c r="Q223" s="192"/>
      <c r="R223" s="611" t="s">
        <v>152</v>
      </c>
      <c r="S223" s="972">
        <f>SUM(S221:S222)</f>
        <v>0</v>
      </c>
      <c r="T223" s="604">
        <f>SUM(T221:T222)</f>
        <v>0</v>
      </c>
      <c r="U223" s="97"/>
      <c r="V223" s="554">
        <f>SUM(V221:V222)</f>
        <v>0</v>
      </c>
      <c r="W223" s="192"/>
      <c r="X223" s="611" t="s">
        <v>152</v>
      </c>
      <c r="Y223" s="972">
        <f>SUM(Y221:Y222)</f>
        <v>0</v>
      </c>
      <c r="Z223" s="604">
        <f>SUM(Z221:Z222)</f>
        <v>0</v>
      </c>
      <c r="AA223" s="97"/>
      <c r="AB223" s="554">
        <f>SUM(AB221:AB222)</f>
        <v>0</v>
      </c>
      <c r="AC223" s="192"/>
    </row>
    <row r="224" spans="1:29" x14ac:dyDescent="0.2">
      <c r="A224" s="206"/>
      <c r="B224" s="97"/>
      <c r="C224" s="97"/>
      <c r="D224" s="97"/>
      <c r="E224" s="199"/>
      <c r="F224" s="192"/>
      <c r="G224" s="97"/>
      <c r="H224" s="97"/>
      <c r="I224" s="97"/>
      <c r="J224" s="97"/>
      <c r="K224" s="199"/>
      <c r="L224" s="206"/>
      <c r="M224" s="97"/>
      <c r="N224" s="97"/>
      <c r="O224" s="97"/>
      <c r="P224" s="199"/>
      <c r="Q224" s="192"/>
      <c r="R224" s="97"/>
      <c r="S224" s="97"/>
      <c r="T224" s="97"/>
      <c r="U224" s="97"/>
      <c r="V224" s="199"/>
      <c r="W224" s="192"/>
      <c r="X224" s="97"/>
      <c r="Y224" s="97"/>
      <c r="Z224" s="97"/>
      <c r="AA224" s="97"/>
      <c r="AB224" s="199"/>
      <c r="AC224" s="192"/>
    </row>
    <row r="225" spans="1:29" ht="13.5" thickBot="1" x14ac:dyDescent="0.25">
      <c r="A225" s="206"/>
      <c r="B225" s="97"/>
      <c r="C225" s="97"/>
      <c r="D225" s="97"/>
      <c r="E225" s="199"/>
      <c r="F225" s="192"/>
      <c r="G225" s="97"/>
      <c r="H225" s="97"/>
      <c r="I225" s="97"/>
      <c r="J225" s="97"/>
      <c r="K225" s="199"/>
      <c r="L225" s="206"/>
      <c r="M225" s="97"/>
      <c r="N225" s="97"/>
      <c r="O225" s="97"/>
      <c r="P225" s="199"/>
      <c r="Q225" s="192"/>
      <c r="R225" s="97"/>
      <c r="S225" s="97"/>
      <c r="T225" s="97"/>
      <c r="U225" s="97"/>
      <c r="V225" s="199"/>
      <c r="W225" s="192"/>
      <c r="X225" s="97"/>
      <c r="Y225" s="97"/>
      <c r="Z225" s="97"/>
      <c r="AA225" s="97"/>
      <c r="AB225" s="199"/>
      <c r="AC225" s="192"/>
    </row>
    <row r="226" spans="1:29" ht="39" thickBot="1" x14ac:dyDescent="0.25">
      <c r="A226" s="537" t="s">
        <v>89</v>
      </c>
      <c r="B226" s="490" t="s">
        <v>153</v>
      </c>
      <c r="C226" s="97"/>
      <c r="D226" s="597" t="s">
        <v>154</v>
      </c>
      <c r="E226" s="597" t="s">
        <v>155</v>
      </c>
      <c r="F226" s="192"/>
      <c r="G226" s="574" t="s">
        <v>89</v>
      </c>
      <c r="H226" s="490" t="s">
        <v>153</v>
      </c>
      <c r="I226" s="97"/>
      <c r="J226" s="597" t="s">
        <v>154</v>
      </c>
      <c r="K226" s="1016" t="s">
        <v>155</v>
      </c>
      <c r="L226" s="537" t="s">
        <v>89</v>
      </c>
      <c r="M226" s="490" t="s">
        <v>153</v>
      </c>
      <c r="N226" s="97"/>
      <c r="O226" s="597" t="s">
        <v>154</v>
      </c>
      <c r="P226" s="597" t="s">
        <v>155</v>
      </c>
      <c r="Q226" s="192"/>
      <c r="R226" s="574" t="s">
        <v>89</v>
      </c>
      <c r="S226" s="490" t="s">
        <v>153</v>
      </c>
      <c r="T226" s="97"/>
      <c r="U226" s="597" t="s">
        <v>154</v>
      </c>
      <c r="V226" s="597" t="s">
        <v>155</v>
      </c>
      <c r="W226" s="192"/>
      <c r="X226" s="574" t="s">
        <v>89</v>
      </c>
      <c r="Y226" s="490" t="s">
        <v>153</v>
      </c>
      <c r="Z226" s="97"/>
      <c r="AA226" s="597" t="s">
        <v>154</v>
      </c>
      <c r="AB226" s="597" t="s">
        <v>155</v>
      </c>
      <c r="AC226" s="192"/>
    </row>
    <row r="227" spans="1:29" ht="15.75" thickBot="1" x14ac:dyDescent="0.3">
      <c r="A227" s="618" t="s">
        <v>159</v>
      </c>
      <c r="B227" s="613">
        <f>E223/(B223+0.00000000001)</f>
        <v>0</v>
      </c>
      <c r="C227" s="97"/>
      <c r="D227" s="615">
        <v>0</v>
      </c>
      <c r="E227" s="615">
        <f>E223</f>
        <v>0</v>
      </c>
      <c r="F227" s="192"/>
      <c r="G227" s="623" t="s">
        <v>159</v>
      </c>
      <c r="H227" s="613">
        <f>K223/(H223+0.00000000001)</f>
        <v>0</v>
      </c>
      <c r="I227" s="97"/>
      <c r="J227" s="615">
        <v>0</v>
      </c>
      <c r="K227" s="1019">
        <f>K223</f>
        <v>0</v>
      </c>
      <c r="L227" s="618" t="s">
        <v>159</v>
      </c>
      <c r="M227" s="613">
        <f>P223/(M223+0.00000000001)</f>
        <v>0</v>
      </c>
      <c r="N227" s="97"/>
      <c r="O227" s="615">
        <v>0</v>
      </c>
      <c r="P227" s="615">
        <f>P223</f>
        <v>0</v>
      </c>
      <c r="Q227" s="192"/>
      <c r="R227" s="623" t="s">
        <v>159</v>
      </c>
      <c r="S227" s="613">
        <f>V223/(S223+0.00000000001)</f>
        <v>0</v>
      </c>
      <c r="T227" s="97"/>
      <c r="U227" s="615">
        <v>0</v>
      </c>
      <c r="V227" s="615">
        <f>V223</f>
        <v>0</v>
      </c>
      <c r="W227" s="192"/>
      <c r="X227" s="623" t="s">
        <v>159</v>
      </c>
      <c r="Y227" s="613">
        <f>AB223/(Y223+0.00000000001)</f>
        <v>0</v>
      </c>
      <c r="Z227" s="97"/>
      <c r="AA227" s="615">
        <v>0</v>
      </c>
      <c r="AB227" s="615">
        <f>AB223</f>
        <v>0</v>
      </c>
      <c r="AC227" s="192"/>
    </row>
    <row r="228" spans="1:29" ht="15.75" thickBot="1" x14ac:dyDescent="0.3">
      <c r="A228" s="619" t="s">
        <v>157</v>
      </c>
      <c r="B228" s="614">
        <f>VLOOKUP(B227,D227:E228,2,TRUE)</f>
        <v>0</v>
      </c>
      <c r="C228" s="97"/>
      <c r="D228" s="615">
        <v>40000</v>
      </c>
      <c r="E228" s="615">
        <f>B223*D228</f>
        <v>0</v>
      </c>
      <c r="F228" s="192"/>
      <c r="G228" s="624" t="s">
        <v>157</v>
      </c>
      <c r="H228" s="614">
        <f>VLOOKUP(H227,J227:K228,2,TRUE)</f>
        <v>0</v>
      </c>
      <c r="I228" s="97"/>
      <c r="J228" s="615">
        <v>40000</v>
      </c>
      <c r="K228" s="1019">
        <f>H223*J228</f>
        <v>0</v>
      </c>
      <c r="L228" s="619" t="s">
        <v>157</v>
      </c>
      <c r="M228" s="614">
        <f>VLOOKUP(M227,O227:P228,2,TRUE)</f>
        <v>0</v>
      </c>
      <c r="N228" s="97"/>
      <c r="O228" s="615">
        <v>40000</v>
      </c>
      <c r="P228" s="615">
        <f>M223*O228</f>
        <v>0</v>
      </c>
      <c r="Q228" s="192"/>
      <c r="R228" s="624" t="s">
        <v>157</v>
      </c>
      <c r="S228" s="614">
        <f>VLOOKUP(S227,U227:V228,2,TRUE)</f>
        <v>0</v>
      </c>
      <c r="T228" s="97"/>
      <c r="U228" s="615">
        <v>40000</v>
      </c>
      <c r="V228" s="615">
        <f>S223*U228</f>
        <v>0</v>
      </c>
      <c r="W228" s="192"/>
      <c r="X228" s="624" t="s">
        <v>157</v>
      </c>
      <c r="Y228" s="614">
        <f>VLOOKUP(Y227,AA227:AB228,2,TRUE)</f>
        <v>0</v>
      </c>
      <c r="Z228" s="97"/>
      <c r="AA228" s="615">
        <v>40000</v>
      </c>
      <c r="AB228" s="615">
        <f>Y223*AA228</f>
        <v>0</v>
      </c>
      <c r="AC228" s="192"/>
    </row>
    <row r="229" spans="1:29" x14ac:dyDescent="0.2">
      <c r="A229" s="206"/>
      <c r="B229" s="97"/>
      <c r="C229" s="97"/>
      <c r="D229" s="97"/>
      <c r="E229" s="199"/>
      <c r="F229" s="192"/>
      <c r="G229" s="97"/>
      <c r="H229" s="97"/>
      <c r="I229" s="97"/>
      <c r="J229" s="97"/>
      <c r="K229" s="199"/>
      <c r="L229" s="206"/>
      <c r="M229" s="97"/>
      <c r="N229" s="97"/>
      <c r="O229" s="97"/>
      <c r="P229" s="199"/>
      <c r="Q229" s="192"/>
      <c r="R229" s="97"/>
      <c r="S229" s="97"/>
      <c r="T229" s="97"/>
      <c r="U229" s="97"/>
      <c r="V229" s="199"/>
      <c r="W229" s="192"/>
      <c r="X229" s="97"/>
      <c r="Y229" s="97"/>
      <c r="Z229" s="97"/>
      <c r="AA229" s="97"/>
      <c r="AB229" s="199"/>
      <c r="AC229" s="192"/>
    </row>
    <row r="230" spans="1:29" x14ac:dyDescent="0.2">
      <c r="A230" s="206"/>
      <c r="B230" s="97"/>
      <c r="C230" s="97"/>
      <c r="D230" s="97"/>
      <c r="E230" s="199"/>
      <c r="F230" s="192"/>
      <c r="G230" s="97"/>
      <c r="H230" s="97"/>
      <c r="I230" s="97"/>
      <c r="J230" s="97"/>
      <c r="K230" s="199"/>
      <c r="L230" s="206"/>
      <c r="M230" s="97"/>
      <c r="N230" s="97"/>
      <c r="O230" s="97"/>
      <c r="P230" s="199"/>
      <c r="Q230" s="192"/>
      <c r="R230" s="97"/>
      <c r="S230" s="97"/>
      <c r="T230" s="97"/>
      <c r="U230" s="97"/>
      <c r="V230" s="199"/>
      <c r="W230" s="192"/>
      <c r="X230" s="97"/>
      <c r="Y230" s="97"/>
      <c r="Z230" s="97"/>
      <c r="AA230" s="97"/>
      <c r="AB230" s="199"/>
      <c r="AC230" s="192"/>
    </row>
    <row r="231" spans="1:29" ht="13.5" thickBot="1" x14ac:dyDescent="0.25">
      <c r="A231" s="213"/>
      <c r="B231" s="214"/>
      <c r="C231" s="214"/>
      <c r="D231" s="214"/>
      <c r="E231" s="233"/>
      <c r="F231" s="234"/>
      <c r="G231" s="214"/>
      <c r="H231" s="214"/>
      <c r="I231" s="214"/>
      <c r="J231" s="214"/>
      <c r="K231" s="233"/>
      <c r="L231" s="213"/>
      <c r="M231" s="214"/>
      <c r="N231" s="214"/>
      <c r="O231" s="214"/>
      <c r="P231" s="233"/>
      <c r="Q231" s="234"/>
      <c r="R231" s="214"/>
      <c r="S231" s="214"/>
      <c r="T231" s="214"/>
      <c r="U231" s="214"/>
      <c r="V231" s="233"/>
      <c r="W231" s="234"/>
      <c r="X231" s="214"/>
      <c r="Y231" s="214"/>
      <c r="Z231" s="214"/>
      <c r="AA231" s="214"/>
      <c r="AB231" s="233"/>
      <c r="AC231" s="234"/>
    </row>
    <row r="232" spans="1:29" x14ac:dyDescent="0.2">
      <c r="A232" s="206"/>
      <c r="B232" s="97"/>
      <c r="C232" s="97"/>
      <c r="D232" s="97"/>
      <c r="E232" s="199"/>
      <c r="F232" s="192"/>
      <c r="K232" s="221"/>
      <c r="L232" s="206"/>
      <c r="M232" s="97"/>
      <c r="N232" s="97"/>
      <c r="O232" s="97"/>
      <c r="P232" s="199"/>
      <c r="Q232" s="237"/>
      <c r="V232" s="221"/>
      <c r="W232" s="237"/>
      <c r="AB232" s="221"/>
    </row>
    <row r="233" spans="1:29" ht="13.5" thickBot="1" x14ac:dyDescent="0.25">
      <c r="A233" s="206"/>
      <c r="B233" s="97"/>
      <c r="C233" s="97"/>
      <c r="D233" s="97"/>
      <c r="E233" s="199"/>
      <c r="F233" s="192"/>
      <c r="K233" s="221"/>
      <c r="L233" s="206"/>
      <c r="M233" s="97"/>
      <c r="N233" s="97"/>
      <c r="O233" s="97"/>
      <c r="P233" s="199"/>
      <c r="Q233" s="234"/>
      <c r="V233" s="221"/>
      <c r="W233" s="234"/>
      <c r="AB233" s="221"/>
    </row>
    <row r="234" spans="1:29" ht="24.75" customHeight="1" thickBot="1" x14ac:dyDescent="0.25">
      <c r="A234" s="1186" t="s">
        <v>160</v>
      </c>
      <c r="B234" s="1187"/>
      <c r="C234" s="1187"/>
      <c r="D234" s="1187"/>
      <c r="E234" s="1187"/>
      <c r="F234" s="1188"/>
      <c r="G234" s="1187" t="s">
        <v>160</v>
      </c>
      <c r="H234" s="1187"/>
      <c r="I234" s="1187"/>
      <c r="J234" s="1187"/>
      <c r="K234" s="1187"/>
      <c r="L234" s="1186" t="s">
        <v>160</v>
      </c>
      <c r="M234" s="1187"/>
      <c r="N234" s="1187"/>
      <c r="O234" s="1187"/>
      <c r="P234" s="1187"/>
      <c r="Q234" s="1188"/>
      <c r="R234" s="1187" t="s">
        <v>160</v>
      </c>
      <c r="S234" s="1187"/>
      <c r="T234" s="1187"/>
      <c r="U234" s="1187"/>
      <c r="V234" s="1187"/>
      <c r="W234" s="1188"/>
      <c r="X234" s="1187" t="s">
        <v>160</v>
      </c>
      <c r="Y234" s="1187"/>
      <c r="Z234" s="1187"/>
      <c r="AA234" s="1187"/>
      <c r="AB234" s="1187"/>
      <c r="AC234" s="1188"/>
    </row>
    <row r="235" spans="1:29" ht="13.5" thickBot="1" x14ac:dyDescent="0.25">
      <c r="A235" s="206"/>
      <c r="B235" s="97"/>
      <c r="C235" s="97"/>
      <c r="D235" s="97"/>
      <c r="E235" s="199"/>
      <c r="F235" s="192"/>
      <c r="G235" s="97"/>
      <c r="H235" s="97"/>
      <c r="I235" s="97"/>
      <c r="J235" s="97"/>
      <c r="K235" s="199"/>
      <c r="L235" s="206"/>
      <c r="M235" s="97"/>
      <c r="N235" s="97"/>
      <c r="O235" s="97"/>
      <c r="P235" s="199"/>
      <c r="Q235" s="192"/>
      <c r="R235" s="97"/>
      <c r="S235" s="97"/>
      <c r="T235" s="97"/>
      <c r="U235" s="97"/>
      <c r="V235" s="199"/>
      <c r="W235" s="192"/>
      <c r="X235" s="97"/>
      <c r="Y235" s="97"/>
      <c r="Z235" s="97"/>
      <c r="AA235" s="97"/>
      <c r="AB235" s="199"/>
      <c r="AC235" s="192"/>
    </row>
    <row r="236" spans="1:29" ht="13.5" thickBot="1" x14ac:dyDescent="0.25">
      <c r="A236" s="1198" t="s">
        <v>476</v>
      </c>
      <c r="B236" s="1199"/>
      <c r="C236" s="625">
        <f>B198</f>
        <v>0</v>
      </c>
      <c r="D236" s="97"/>
      <c r="E236" s="199"/>
      <c r="F236" s="192"/>
      <c r="G236" s="1244" t="str">
        <f>$A$236</f>
        <v>Reimbursement for Special Education Teachers</v>
      </c>
      <c r="H236" s="1199"/>
      <c r="I236" s="625">
        <f>H198</f>
        <v>0</v>
      </c>
      <c r="J236" s="97"/>
      <c r="K236" s="199"/>
      <c r="L236" s="1198" t="str">
        <f>$A$236</f>
        <v>Reimbursement for Special Education Teachers</v>
      </c>
      <c r="M236" s="1199"/>
      <c r="N236" s="625">
        <f>M198</f>
        <v>0</v>
      </c>
      <c r="O236" s="97"/>
      <c r="P236" s="199"/>
      <c r="Q236" s="192"/>
      <c r="R236" s="1244" t="str">
        <f>$A$236</f>
        <v>Reimbursement for Special Education Teachers</v>
      </c>
      <c r="S236" s="1199"/>
      <c r="T236" s="625">
        <f>S198</f>
        <v>135300</v>
      </c>
      <c r="U236" s="97"/>
      <c r="V236" s="199"/>
      <c r="W236" s="192"/>
      <c r="X236" s="1244" t="str">
        <f>$A$236</f>
        <v>Reimbursement for Special Education Teachers</v>
      </c>
      <c r="Y236" s="1199"/>
      <c r="Z236" s="625">
        <f>Y198</f>
        <v>138006</v>
      </c>
      <c r="AA236" s="97"/>
      <c r="AB236" s="199"/>
      <c r="AC236" s="192"/>
    </row>
    <row r="237" spans="1:29" ht="13.5" thickBot="1" x14ac:dyDescent="0.25">
      <c r="A237" s="1198" t="s">
        <v>477</v>
      </c>
      <c r="B237" s="1199"/>
      <c r="C237" s="625">
        <f>B214</f>
        <v>0</v>
      </c>
      <c r="D237" s="97"/>
      <c r="E237" s="199"/>
      <c r="F237" s="192"/>
      <c r="G237" s="1244" t="str">
        <f>$A$237</f>
        <v xml:space="preserve">Reimbursement for Special Education Clinicians </v>
      </c>
      <c r="H237" s="1199"/>
      <c r="I237" s="625">
        <f>H214</f>
        <v>0</v>
      </c>
      <c r="J237" s="97"/>
      <c r="K237" s="199"/>
      <c r="L237" s="1198" t="str">
        <f>$A$237</f>
        <v xml:space="preserve">Reimbursement for Special Education Clinicians </v>
      </c>
      <c r="M237" s="1199"/>
      <c r="N237" s="625">
        <f>M214</f>
        <v>0</v>
      </c>
      <c r="O237" s="97"/>
      <c r="P237" s="199"/>
      <c r="Q237" s="192"/>
      <c r="R237" s="1244" t="str">
        <f>$A$237</f>
        <v xml:space="preserve">Reimbursement for Special Education Clinicians </v>
      </c>
      <c r="S237" s="1199"/>
      <c r="T237" s="625">
        <f>S214</f>
        <v>27982.5</v>
      </c>
      <c r="U237" s="97"/>
      <c r="V237" s="199"/>
      <c r="W237" s="192"/>
      <c r="X237" s="1244" t="str">
        <f>$A$237</f>
        <v xml:space="preserve">Reimbursement for Special Education Clinicians </v>
      </c>
      <c r="Y237" s="1199"/>
      <c r="Z237" s="625">
        <f>Y214</f>
        <v>28542.149999999998</v>
      </c>
      <c r="AA237" s="97"/>
      <c r="AB237" s="199"/>
      <c r="AC237" s="192"/>
    </row>
    <row r="238" spans="1:29" ht="13.5" customHeight="1" thickBot="1" x14ac:dyDescent="0.25">
      <c r="A238" s="1198" t="s">
        <v>478</v>
      </c>
      <c r="B238" s="1199"/>
      <c r="C238" s="554">
        <f>B228</f>
        <v>0</v>
      </c>
      <c r="D238" s="97"/>
      <c r="E238" s="199"/>
      <c r="F238" s="192"/>
      <c r="G238" s="1189" t="str">
        <f>$A$238</f>
        <v>Reimbursement for Special Education Teacher Aides</v>
      </c>
      <c r="H238" s="1190"/>
      <c r="I238" s="554">
        <f>H228</f>
        <v>0</v>
      </c>
      <c r="J238" s="97"/>
      <c r="K238" s="199"/>
      <c r="L238" s="1248" t="str">
        <f>$A$238</f>
        <v>Reimbursement for Special Education Teacher Aides</v>
      </c>
      <c r="M238" s="1190"/>
      <c r="N238" s="554">
        <f>M228</f>
        <v>0</v>
      </c>
      <c r="O238" s="97"/>
      <c r="P238" s="199"/>
      <c r="Q238" s="192"/>
      <c r="R238" s="1189" t="str">
        <f>$A$238</f>
        <v>Reimbursement for Special Education Teacher Aides</v>
      </c>
      <c r="S238" s="1190"/>
      <c r="T238" s="554">
        <f>S228</f>
        <v>0</v>
      </c>
      <c r="U238" s="97"/>
      <c r="V238" s="199"/>
      <c r="W238" s="192"/>
      <c r="X238" s="1189" t="str">
        <f>$A$238</f>
        <v>Reimbursement for Special Education Teacher Aides</v>
      </c>
      <c r="Y238" s="1190"/>
      <c r="Z238" s="554">
        <f>Y228</f>
        <v>0</v>
      </c>
      <c r="AA238" s="97"/>
      <c r="AB238" s="199"/>
      <c r="AC238" s="192"/>
    </row>
    <row r="239" spans="1:29" ht="13.5" thickBot="1" x14ac:dyDescent="0.25">
      <c r="A239" s="549" t="s">
        <v>161</v>
      </c>
      <c r="B239" s="626"/>
      <c r="C239" s="625">
        <f>SUM(C236:C238)</f>
        <v>0</v>
      </c>
      <c r="D239" s="97"/>
      <c r="E239" s="199"/>
      <c r="F239" s="192"/>
      <c r="G239" s="595" t="s">
        <v>161</v>
      </c>
      <c r="H239" s="626"/>
      <c r="I239" s="625">
        <f>SUM(I236:I238)</f>
        <v>0</v>
      </c>
      <c r="J239" s="97"/>
      <c r="K239" s="199"/>
      <c r="L239" s="549" t="s">
        <v>161</v>
      </c>
      <c r="M239" s="626"/>
      <c r="N239" s="625">
        <f>SUM(N236:N238)</f>
        <v>0</v>
      </c>
      <c r="O239" s="97"/>
      <c r="P239" s="199"/>
      <c r="Q239" s="192"/>
      <c r="R239" s="595" t="s">
        <v>161</v>
      </c>
      <c r="S239" s="626"/>
      <c r="T239" s="625">
        <f>SUM(T236:T238)</f>
        <v>163282.5</v>
      </c>
      <c r="U239" s="97"/>
      <c r="V239" s="199"/>
      <c r="W239" s="192"/>
      <c r="X239" s="595" t="s">
        <v>161</v>
      </c>
      <c r="Y239" s="626"/>
      <c r="Z239" s="625">
        <f>SUM(Z236:Z238)</f>
        <v>166548.15</v>
      </c>
      <c r="AA239" s="97"/>
      <c r="AB239" s="199"/>
      <c r="AC239" s="192"/>
    </row>
    <row r="240" spans="1:29" x14ac:dyDescent="0.2">
      <c r="A240" s="206"/>
      <c r="B240" s="97"/>
      <c r="C240" s="97"/>
      <c r="D240" s="97"/>
      <c r="E240" s="199"/>
      <c r="F240" s="192"/>
      <c r="G240" s="97"/>
      <c r="H240" s="97"/>
      <c r="I240" s="97"/>
      <c r="J240" s="97"/>
      <c r="K240" s="199"/>
      <c r="L240" s="206"/>
      <c r="M240" s="97"/>
      <c r="N240" s="97"/>
      <c r="O240" s="97"/>
      <c r="P240" s="199"/>
      <c r="Q240" s="192"/>
      <c r="R240" s="97"/>
      <c r="S240" s="97"/>
      <c r="T240" s="97"/>
      <c r="U240" s="97"/>
      <c r="V240" s="199"/>
      <c r="W240" s="192"/>
      <c r="X240" s="97"/>
      <c r="Y240" s="97"/>
      <c r="Z240" s="97"/>
      <c r="AA240" s="97"/>
      <c r="AB240" s="199"/>
      <c r="AC240" s="192"/>
    </row>
    <row r="241" spans="1:29" x14ac:dyDescent="0.2">
      <c r="A241" s="206"/>
      <c r="B241" s="97"/>
      <c r="C241" s="97"/>
      <c r="D241" s="97"/>
      <c r="E241" s="199"/>
      <c r="F241" s="192"/>
      <c r="G241" s="97"/>
      <c r="H241" s="97"/>
      <c r="I241" s="97"/>
      <c r="J241" s="97"/>
      <c r="K241" s="199"/>
      <c r="L241" s="206"/>
      <c r="M241" s="97"/>
      <c r="N241" s="97"/>
      <c r="O241" s="97"/>
      <c r="P241" s="199"/>
      <c r="Q241" s="192"/>
      <c r="R241" s="97"/>
      <c r="S241" s="97"/>
      <c r="T241" s="97"/>
      <c r="U241" s="97"/>
      <c r="V241" s="199"/>
      <c r="W241" s="192"/>
      <c r="X241" s="97"/>
      <c r="Y241" s="97"/>
      <c r="Z241" s="97"/>
      <c r="AA241" s="97"/>
      <c r="AB241" s="199"/>
      <c r="AC241" s="192"/>
    </row>
    <row r="242" spans="1:29" ht="13.5" thickBot="1" x14ac:dyDescent="0.25">
      <c r="A242" s="213"/>
      <c r="B242" s="214"/>
      <c r="C242" s="214"/>
      <c r="D242" s="214"/>
      <c r="E242" s="233"/>
      <c r="F242" s="234"/>
      <c r="G242" s="214"/>
      <c r="H242" s="214"/>
      <c r="I242" s="214"/>
      <c r="J242" s="214"/>
      <c r="K242" s="233"/>
      <c r="L242" s="213"/>
      <c r="M242" s="214"/>
      <c r="N242" s="214"/>
      <c r="O242" s="214"/>
      <c r="P242" s="233"/>
      <c r="Q242" s="234"/>
      <c r="R242" s="214"/>
      <c r="S242" s="214"/>
      <c r="T242" s="214"/>
      <c r="U242" s="214"/>
      <c r="V242" s="233"/>
      <c r="W242" s="234"/>
      <c r="X242" s="214"/>
      <c r="Y242" s="214"/>
      <c r="Z242" s="214"/>
      <c r="AA242" s="214"/>
      <c r="AB242" s="233"/>
      <c r="AC242" s="234"/>
    </row>
  </sheetData>
  <sheetProtection password="CC59" sheet="1" formatColumns="0" formatRows="0"/>
  <mergeCells count="201">
    <mergeCell ref="X6:AC6"/>
    <mergeCell ref="A1:B1"/>
    <mergeCell ref="X238:Y238"/>
    <mergeCell ref="A7:F7"/>
    <mergeCell ref="G7:K7"/>
    <mergeCell ref="L7:Q7"/>
    <mergeCell ref="R7:W7"/>
    <mergeCell ref="X7:AC7"/>
    <mergeCell ref="X234:AC234"/>
    <mergeCell ref="X236:Y236"/>
    <mergeCell ref="A6:F6"/>
    <mergeCell ref="G6:K6"/>
    <mergeCell ref="L6:Q6"/>
    <mergeCell ref="R6:W6"/>
    <mergeCell ref="R83:S83"/>
    <mergeCell ref="L83:M83"/>
    <mergeCell ref="A23:E23"/>
    <mergeCell ref="A35:B35"/>
    <mergeCell ref="R92:V92"/>
    <mergeCell ref="R103:S103"/>
    <mergeCell ref="R109:S109"/>
    <mergeCell ref="R115:S115"/>
    <mergeCell ref="L92:P92"/>
    <mergeCell ref="X237:Y237"/>
    <mergeCell ref="X219:X220"/>
    <mergeCell ref="Y219:Y220"/>
    <mergeCell ref="X83:Y83"/>
    <mergeCell ref="X123:AB123"/>
    <mergeCell ref="X135:Y135"/>
    <mergeCell ref="X141:Y141"/>
    <mergeCell ref="X158:AB158"/>
    <mergeCell ref="X164:AB165"/>
    <mergeCell ref="X179:AC180"/>
    <mergeCell ref="X181:AC182"/>
    <mergeCell ref="X184:Y184"/>
    <mergeCell ref="X91:AB91"/>
    <mergeCell ref="X92:AB92"/>
    <mergeCell ref="X103:Y103"/>
    <mergeCell ref="X109:Y109"/>
    <mergeCell ref="X115:Y115"/>
    <mergeCell ref="X147:Y147"/>
    <mergeCell ref="R201:W202"/>
    <mergeCell ref="R185:W185"/>
    <mergeCell ref="R186:W187"/>
    <mergeCell ref="R217:W218"/>
    <mergeCell ref="X9:Y9"/>
    <mergeCell ref="X21:AB22"/>
    <mergeCell ref="X23:AB23"/>
    <mergeCell ref="X35:Y35"/>
    <mergeCell ref="X41:Y41"/>
    <mergeCell ref="X57:AB57"/>
    <mergeCell ref="X58:AB58"/>
    <mergeCell ref="X71:Y71"/>
    <mergeCell ref="X77:Y77"/>
    <mergeCell ref="X185:AC185"/>
    <mergeCell ref="X186:AC187"/>
    <mergeCell ref="X217:AC218"/>
    <mergeCell ref="X201:AC202"/>
    <mergeCell ref="X154:AB154"/>
    <mergeCell ref="Z219:Z220"/>
    <mergeCell ref="AA219:AA220"/>
    <mergeCell ref="AB219:AB220"/>
    <mergeCell ref="R123:V123"/>
    <mergeCell ref="R135:S135"/>
    <mergeCell ref="L238:M238"/>
    <mergeCell ref="R238:S238"/>
    <mergeCell ref="R234:W234"/>
    <mergeCell ref="R236:S236"/>
    <mergeCell ref="R237:S237"/>
    <mergeCell ref="L147:M147"/>
    <mergeCell ref="L141:M141"/>
    <mergeCell ref="L135:M135"/>
    <mergeCell ref="L123:P123"/>
    <mergeCell ref="L158:P158"/>
    <mergeCell ref="L164:P165"/>
    <mergeCell ref="L179:Q180"/>
    <mergeCell ref="L181:Q182"/>
    <mergeCell ref="L237:M237"/>
    <mergeCell ref="L185:Q185"/>
    <mergeCell ref="M219:M220"/>
    <mergeCell ref="V219:V220"/>
    <mergeCell ref="I219:I220"/>
    <mergeCell ref="J219:J220"/>
    <mergeCell ref="R9:S9"/>
    <mergeCell ref="R21:V22"/>
    <mergeCell ref="R23:V23"/>
    <mergeCell ref="R35:S35"/>
    <mergeCell ref="R41:S41"/>
    <mergeCell ref="R57:V57"/>
    <mergeCell ref="R58:V58"/>
    <mergeCell ref="R71:S71"/>
    <mergeCell ref="R154:V154"/>
    <mergeCell ref="R147:S147"/>
    <mergeCell ref="R77:S77"/>
    <mergeCell ref="R91:V91"/>
    <mergeCell ref="R141:S141"/>
    <mergeCell ref="R158:V158"/>
    <mergeCell ref="R164:V165"/>
    <mergeCell ref="R179:W180"/>
    <mergeCell ref="R181:W182"/>
    <mergeCell ref="R184:S184"/>
    <mergeCell ref="R219:R220"/>
    <mergeCell ref="S219:S220"/>
    <mergeCell ref="T219:T220"/>
    <mergeCell ref="U219:U220"/>
    <mergeCell ref="G91:K91"/>
    <mergeCell ref="G92:K92"/>
    <mergeCell ref="L9:M9"/>
    <mergeCell ref="L21:P22"/>
    <mergeCell ref="L23:P23"/>
    <mergeCell ref="L35:M35"/>
    <mergeCell ref="L41:M41"/>
    <mergeCell ref="L57:P57"/>
    <mergeCell ref="L58:P58"/>
    <mergeCell ref="N219:N220"/>
    <mergeCell ref="O219:O220"/>
    <mergeCell ref="P219:P220"/>
    <mergeCell ref="L236:M236"/>
    <mergeCell ref="L219:L220"/>
    <mergeCell ref="L103:M103"/>
    <mergeCell ref="L71:M71"/>
    <mergeCell ref="L77:M77"/>
    <mergeCell ref="L184:M184"/>
    <mergeCell ref="L154:P154"/>
    <mergeCell ref="L186:Q187"/>
    <mergeCell ref="L217:Q218"/>
    <mergeCell ref="L201:Q202"/>
    <mergeCell ref="L234:Q234"/>
    <mergeCell ref="L109:M109"/>
    <mergeCell ref="L115:M115"/>
    <mergeCell ref="L91:P91"/>
    <mergeCell ref="A21:E22"/>
    <mergeCell ref="A9:B9"/>
    <mergeCell ref="A77:B77"/>
    <mergeCell ref="A83:B83"/>
    <mergeCell ref="A237:B237"/>
    <mergeCell ref="A219:A220"/>
    <mergeCell ref="G147:H147"/>
    <mergeCell ref="G154:K154"/>
    <mergeCell ref="G9:H9"/>
    <mergeCell ref="G21:K22"/>
    <mergeCell ref="G23:K23"/>
    <mergeCell ref="G35:H35"/>
    <mergeCell ref="G41:H41"/>
    <mergeCell ref="G71:H71"/>
    <mergeCell ref="G77:H77"/>
    <mergeCell ref="G83:H83"/>
    <mergeCell ref="G219:G220"/>
    <mergeCell ref="G103:H103"/>
    <mergeCell ref="G109:H109"/>
    <mergeCell ref="G115:H115"/>
    <mergeCell ref="G57:K57"/>
    <mergeCell ref="G58:K58"/>
    <mergeCell ref="A41:B41"/>
    <mergeCell ref="A57:E57"/>
    <mergeCell ref="A58:E58"/>
    <mergeCell ref="A71:B71"/>
    <mergeCell ref="B219:B220"/>
    <mergeCell ref="A141:B141"/>
    <mergeCell ref="A147:B147"/>
    <mergeCell ref="A181:F182"/>
    <mergeCell ref="A179:F180"/>
    <mergeCell ref="A201:F202"/>
    <mergeCell ref="A158:E158"/>
    <mergeCell ref="A164:E165"/>
    <mergeCell ref="C219:C220"/>
    <mergeCell ref="D219:D220"/>
    <mergeCell ref="A91:E91"/>
    <mergeCell ref="A92:E92"/>
    <mergeCell ref="A103:B103"/>
    <mergeCell ref="A109:B109"/>
    <mergeCell ref="A115:B115"/>
    <mergeCell ref="A184:B184"/>
    <mergeCell ref="A185:F185"/>
    <mergeCell ref="A186:F187"/>
    <mergeCell ref="A217:F218"/>
    <mergeCell ref="E219:E220"/>
    <mergeCell ref="A234:F234"/>
    <mergeCell ref="G238:H238"/>
    <mergeCell ref="A123:E123"/>
    <mergeCell ref="A135:B135"/>
    <mergeCell ref="A154:E154"/>
    <mergeCell ref="A236:B236"/>
    <mergeCell ref="G123:K123"/>
    <mergeCell ref="G135:H135"/>
    <mergeCell ref="G141:H141"/>
    <mergeCell ref="G164:K165"/>
    <mergeCell ref="G179:K180"/>
    <mergeCell ref="G201:K202"/>
    <mergeCell ref="A238:B238"/>
    <mergeCell ref="G237:H237"/>
    <mergeCell ref="G181:K182"/>
    <mergeCell ref="G184:H184"/>
    <mergeCell ref="G185:K185"/>
    <mergeCell ref="G186:K187"/>
    <mergeCell ref="G217:K218"/>
    <mergeCell ref="G158:K158"/>
    <mergeCell ref="G234:K234"/>
    <mergeCell ref="G236:H236"/>
    <mergeCell ref="K219:K220"/>
    <mergeCell ref="H219:H220"/>
  </mergeCells>
  <pageMargins left="0.7" right="0.7" top="0.75" bottom="0.75" header="0.3" footer="0.3"/>
  <pageSetup paperSize="5" scale="55" orientation="portrait" r:id="rId1"/>
  <colBreaks count="5" manualBreakCount="5">
    <brk id="6" max="1048575" man="1"/>
    <brk id="11" max="1048575" man="1"/>
    <brk id="17" max="1048575" man="1"/>
    <brk id="23" max="1048575" man="1"/>
    <brk id="2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workbookViewId="0">
      <selection activeCell="B1" sqref="B1"/>
    </sheetView>
  </sheetViews>
  <sheetFormatPr defaultRowHeight="12.75" x14ac:dyDescent="0.2"/>
  <cols>
    <col min="1" max="1" width="4.5703125" style="4" customWidth="1"/>
    <col min="2" max="2" width="112" bestFit="1" customWidth="1"/>
    <col min="3" max="3" width="14.140625" hidden="1" customWidth="1"/>
    <col min="4" max="4" width="1.42578125" customWidth="1"/>
    <col min="5" max="5" width="13.7109375" style="221" customWidth="1"/>
    <col min="6" max="6" width="1.42578125" style="221" customWidth="1"/>
    <col min="7" max="7" width="13.5703125" style="221" customWidth="1"/>
    <col min="8" max="8" width="1.42578125" style="221" customWidth="1"/>
    <col min="9" max="9" width="13.7109375" style="221" customWidth="1"/>
    <col min="10" max="10" width="1.42578125" style="221" customWidth="1"/>
    <col min="11" max="11" width="13.85546875" style="221" customWidth="1"/>
    <col min="12" max="12" width="1.42578125" style="221" customWidth="1"/>
    <col min="13" max="13" width="13.5703125" style="221" customWidth="1"/>
  </cols>
  <sheetData>
    <row r="1" spans="1:13" ht="18.75" thickBot="1" x14ac:dyDescent="0.25">
      <c r="B1" s="932" t="str">
        <f>'Budget with Assumptions'!A2</f>
        <v>Connected Future Academy Campus 5</v>
      </c>
      <c r="D1" s="4"/>
      <c r="E1" s="220"/>
      <c r="F1" s="220"/>
      <c r="G1" s="220"/>
      <c r="H1" s="220"/>
      <c r="I1" s="220"/>
      <c r="J1" s="220"/>
      <c r="K1" s="220"/>
      <c r="L1" s="220"/>
      <c r="M1" s="220"/>
    </row>
    <row r="2" spans="1:13" x14ac:dyDescent="0.2">
      <c r="B2" s="7"/>
      <c r="D2" s="4"/>
      <c r="E2" s="220"/>
      <c r="F2" s="220"/>
      <c r="G2" s="220"/>
      <c r="H2" s="220"/>
      <c r="I2" s="220"/>
      <c r="J2" s="220"/>
      <c r="K2" s="220"/>
      <c r="L2" s="220"/>
      <c r="M2" s="220"/>
    </row>
    <row r="3" spans="1:13" s="473" customFormat="1" ht="16.5" hidden="1" customHeight="1" thickTop="1" x14ac:dyDescent="0.25">
      <c r="A3" s="471"/>
      <c r="B3" s="1259" t="s">
        <v>429</v>
      </c>
      <c r="C3" s="471"/>
      <c r="D3" s="471"/>
      <c r="E3" s="1261"/>
      <c r="F3" s="472"/>
      <c r="G3" s="472"/>
      <c r="H3" s="472"/>
      <c r="I3" s="472"/>
      <c r="J3" s="472"/>
      <c r="K3" s="472"/>
      <c r="L3" s="472"/>
      <c r="M3" s="472"/>
    </row>
    <row r="4" spans="1:13" ht="13.5" hidden="1" thickBot="1" x14ac:dyDescent="0.25">
      <c r="B4" s="1260"/>
      <c r="C4" s="4"/>
      <c r="D4" s="4"/>
      <c r="E4" s="1262"/>
      <c r="F4" s="220"/>
      <c r="G4" s="220"/>
      <c r="H4" s="220"/>
      <c r="I4" s="220"/>
      <c r="J4" s="220"/>
      <c r="K4" s="220"/>
      <c r="L4" s="220"/>
      <c r="M4" s="220"/>
    </row>
    <row r="5" spans="1:13" x14ac:dyDescent="0.2">
      <c r="B5" s="4"/>
      <c r="C5" s="4"/>
      <c r="D5" s="4"/>
      <c r="E5" s="220"/>
      <c r="F5" s="220"/>
      <c r="G5" s="220"/>
      <c r="H5" s="220"/>
      <c r="I5" s="220"/>
      <c r="J5" s="220"/>
      <c r="K5" s="220"/>
      <c r="L5" s="220"/>
      <c r="M5" s="220"/>
    </row>
    <row r="6" spans="1:13" ht="13.5" thickBot="1" x14ac:dyDescent="0.25">
      <c r="B6" s="4"/>
      <c r="C6" s="108"/>
      <c r="D6" s="108"/>
      <c r="E6" s="108"/>
      <c r="F6" s="108"/>
      <c r="G6" s="108"/>
      <c r="H6" s="108"/>
      <c r="I6" s="108"/>
      <c r="J6" s="108"/>
      <c r="K6" s="108"/>
      <c r="L6" s="108"/>
      <c r="M6" s="108"/>
    </row>
    <row r="7" spans="1:13" ht="13.5" thickBot="1" x14ac:dyDescent="0.25">
      <c r="B7" s="8"/>
      <c r="C7" s="4"/>
      <c r="D7" s="4"/>
      <c r="E7" s="1256" t="s">
        <v>171</v>
      </c>
      <c r="F7" s="1257"/>
      <c r="G7" s="1257"/>
      <c r="H7" s="1257"/>
      <c r="I7" s="1257"/>
      <c r="J7" s="1257"/>
      <c r="K7" s="1257"/>
      <c r="L7" s="1257"/>
      <c r="M7" s="1258"/>
    </row>
    <row r="8" spans="1:13" ht="16.5" thickBot="1" x14ac:dyDescent="0.3">
      <c r="B8" s="384" t="s">
        <v>441</v>
      </c>
      <c r="C8" s="85" t="s">
        <v>39</v>
      </c>
      <c r="D8" s="102"/>
      <c r="E8" s="315">
        <f>'Budget with Assumptions'!L9</f>
        <v>2017</v>
      </c>
      <c r="F8" s="315"/>
      <c r="G8" s="315">
        <f>'Budget with Assumptions'!N9</f>
        <v>2018</v>
      </c>
      <c r="H8" s="315"/>
      <c r="I8" s="315">
        <f>'Budget with Assumptions'!P9</f>
        <v>2019</v>
      </c>
      <c r="J8" s="315"/>
      <c r="K8" s="315">
        <f>'Budget with Assumptions'!R9</f>
        <v>2020</v>
      </c>
      <c r="L8" s="315"/>
      <c r="M8" s="315">
        <f>'Budget with Assumptions'!T9</f>
        <v>2021</v>
      </c>
    </row>
    <row r="9" spans="1:13" x14ac:dyDescent="0.2">
      <c r="B9" s="391" t="s">
        <v>245</v>
      </c>
      <c r="C9" s="86"/>
      <c r="D9" s="376"/>
      <c r="E9" s="389">
        <f>E97</f>
        <v>0</v>
      </c>
      <c r="F9" s="378"/>
      <c r="G9" s="389">
        <f>G97</f>
        <v>0</v>
      </c>
      <c r="H9" s="377"/>
      <c r="I9" s="389">
        <f>I97</f>
        <v>0</v>
      </c>
      <c r="J9" s="377"/>
      <c r="K9" s="389">
        <f>K97</f>
        <v>165</v>
      </c>
      <c r="L9" s="377"/>
      <c r="M9" s="389">
        <f>M97</f>
        <v>165</v>
      </c>
    </row>
    <row r="10" spans="1:13" x14ac:dyDescent="0.2">
      <c r="B10" s="391" t="s">
        <v>246</v>
      </c>
      <c r="C10" s="86"/>
      <c r="D10" s="376"/>
      <c r="E10" s="986">
        <v>0.93</v>
      </c>
      <c r="F10" s="986"/>
      <c r="G10" s="986">
        <v>0.93</v>
      </c>
      <c r="H10" s="986"/>
      <c r="I10" s="986">
        <v>0.93</v>
      </c>
      <c r="J10" s="986"/>
      <c r="K10" s="986">
        <v>0.93</v>
      </c>
      <c r="L10" s="986"/>
      <c r="M10" s="986">
        <v>0.93</v>
      </c>
    </row>
    <row r="11" spans="1:13" x14ac:dyDescent="0.2">
      <c r="B11" s="391" t="s">
        <v>41</v>
      </c>
      <c r="C11" s="86"/>
      <c r="D11" s="86"/>
      <c r="E11" s="388">
        <f>ROUND(E9*E10, 0)</f>
        <v>0</v>
      </c>
      <c r="F11" s="377"/>
      <c r="G11" s="388">
        <f>ROUND(G9*G10, 0)</f>
        <v>0</v>
      </c>
      <c r="H11" s="377"/>
      <c r="I11" s="388">
        <f>ROUND(I9*I10, 0)</f>
        <v>0</v>
      </c>
      <c r="J11" s="377"/>
      <c r="K11" s="388">
        <f>ROUND(K9*K10, 0)</f>
        <v>153</v>
      </c>
      <c r="L11" s="377"/>
      <c r="M11" s="388">
        <f>ROUND(M9*M10, 0)</f>
        <v>153</v>
      </c>
    </row>
    <row r="12" spans="1:13" ht="13.5" thickBot="1" x14ac:dyDescent="0.25">
      <c r="B12" s="422" t="s">
        <v>42</v>
      </c>
      <c r="C12" s="88">
        <v>740</v>
      </c>
      <c r="D12" s="88"/>
      <c r="E12" s="386">
        <v>802</v>
      </c>
      <c r="F12" s="238"/>
      <c r="G12" s="386">
        <f>$E$12</f>
        <v>802</v>
      </c>
      <c r="H12" s="381"/>
      <c r="I12" s="386">
        <f>$E$12</f>
        <v>802</v>
      </c>
      <c r="J12" s="381"/>
      <c r="K12" s="386">
        <f>$E$12</f>
        <v>802</v>
      </c>
      <c r="L12" s="381"/>
      <c r="M12" s="386">
        <f>$E$12</f>
        <v>802</v>
      </c>
    </row>
    <row r="13" spans="1:13" ht="16.5" thickBot="1" x14ac:dyDescent="0.3">
      <c r="B13" s="384" t="s">
        <v>43</v>
      </c>
      <c r="C13" s="89" t="e">
        <f>#REF!*C12</f>
        <v>#REF!</v>
      </c>
      <c r="D13" s="89"/>
      <c r="E13" s="390">
        <f>E11*E12</f>
        <v>0</v>
      </c>
      <c r="F13" s="316"/>
      <c r="G13" s="390">
        <f>G11*G12</f>
        <v>0</v>
      </c>
      <c r="H13" s="316"/>
      <c r="I13" s="390">
        <f>I11*I12</f>
        <v>0</v>
      </c>
      <c r="J13" s="316"/>
      <c r="K13" s="390">
        <f>K11*K12</f>
        <v>122706</v>
      </c>
      <c r="L13" s="316"/>
      <c r="M13" s="390">
        <f>M11*M12</f>
        <v>122706</v>
      </c>
    </row>
    <row r="14" spans="1:13" s="337" customFormat="1" ht="15.75" x14ac:dyDescent="0.25">
      <c r="A14" s="140"/>
      <c r="B14" s="686"/>
      <c r="C14" s="687"/>
      <c r="D14" s="687"/>
      <c r="E14" s="688"/>
      <c r="F14" s="688"/>
      <c r="G14" s="688"/>
      <c r="H14" s="688"/>
      <c r="I14" s="688"/>
      <c r="J14" s="688"/>
      <c r="K14" s="688"/>
      <c r="L14" s="688"/>
      <c r="M14" s="688"/>
    </row>
    <row r="15" spans="1:13" s="337" customFormat="1" ht="16.5" thickBot="1" x14ac:dyDescent="0.3">
      <c r="A15" s="140"/>
      <c r="B15" s="686"/>
      <c r="C15" s="687"/>
      <c r="D15" s="687"/>
      <c r="E15" s="688"/>
      <c r="F15" s="688"/>
      <c r="G15" s="688"/>
      <c r="H15" s="688"/>
      <c r="I15" s="688"/>
      <c r="J15" s="688"/>
      <c r="K15" s="688"/>
      <c r="L15" s="688"/>
      <c r="M15" s="688"/>
    </row>
    <row r="16" spans="1:13" s="337" customFormat="1" ht="16.5" customHeight="1" thickBot="1" x14ac:dyDescent="0.3">
      <c r="A16" s="140"/>
      <c r="B16" s="384" t="s">
        <v>442</v>
      </c>
      <c r="C16" s="687"/>
      <c r="D16" s="687"/>
      <c r="E16" s="689">
        <f>E8</f>
        <v>2017</v>
      </c>
      <c r="F16" s="690"/>
      <c r="G16" s="689">
        <f>G8</f>
        <v>2018</v>
      </c>
      <c r="H16" s="690"/>
      <c r="I16" s="689">
        <f>I8</f>
        <v>2019</v>
      </c>
      <c r="J16" s="690"/>
      <c r="K16" s="689">
        <f>K8</f>
        <v>2020</v>
      </c>
      <c r="L16" s="690"/>
      <c r="M16" s="689">
        <f>M8</f>
        <v>2021</v>
      </c>
    </row>
    <row r="17" spans="1:13" s="337" customFormat="1" ht="13.5" thickBot="1" x14ac:dyDescent="0.25">
      <c r="A17" s="140"/>
      <c r="B17" s="642" t="s">
        <v>247</v>
      </c>
      <c r="C17" s="687"/>
      <c r="D17" s="687"/>
      <c r="E17" s="644">
        <f>E97</f>
        <v>0</v>
      </c>
      <c r="F17" s="850"/>
      <c r="G17" s="644">
        <f>G97</f>
        <v>0</v>
      </c>
      <c r="H17" s="850"/>
      <c r="I17" s="644">
        <f>I97</f>
        <v>0</v>
      </c>
      <c r="J17" s="850"/>
      <c r="K17" s="644">
        <f>K97</f>
        <v>165</v>
      </c>
      <c r="L17" s="850"/>
      <c r="M17" s="644">
        <f>M97</f>
        <v>165</v>
      </c>
    </row>
    <row r="18" spans="1:13" s="337" customFormat="1" ht="13.5" thickBot="1" x14ac:dyDescent="0.25">
      <c r="A18" s="140"/>
      <c r="B18" s="643" t="s">
        <v>319</v>
      </c>
      <c r="C18" s="687"/>
      <c r="D18" s="687"/>
      <c r="E18" s="645">
        <f>E10</f>
        <v>0.93</v>
      </c>
      <c r="F18" s="850"/>
      <c r="G18" s="645">
        <f>G10</f>
        <v>0.93</v>
      </c>
      <c r="H18" s="850"/>
      <c r="I18" s="645">
        <f>I10</f>
        <v>0.93</v>
      </c>
      <c r="J18" s="850"/>
      <c r="K18" s="645">
        <f>K10</f>
        <v>0.93</v>
      </c>
      <c r="L18" s="850"/>
      <c r="M18" s="645">
        <f>M10</f>
        <v>0.93</v>
      </c>
    </row>
    <row r="19" spans="1:13" s="337" customFormat="1" ht="13.5" thickBot="1" x14ac:dyDescent="0.25">
      <c r="A19" s="140"/>
      <c r="B19" s="643" t="s">
        <v>320</v>
      </c>
      <c r="C19" s="687"/>
      <c r="D19" s="687"/>
      <c r="E19" s="647">
        <f>E17*E18</f>
        <v>0</v>
      </c>
      <c r="F19" s="851"/>
      <c r="G19" s="647">
        <f>G17*G18</f>
        <v>0</v>
      </c>
      <c r="H19" s="851"/>
      <c r="I19" s="647">
        <f>I17*I18</f>
        <v>0</v>
      </c>
      <c r="J19" s="851"/>
      <c r="K19" s="647">
        <f>K17*K18</f>
        <v>153.45000000000002</v>
      </c>
      <c r="L19" s="851"/>
      <c r="M19" s="647">
        <f>M17*M18</f>
        <v>153.45000000000002</v>
      </c>
    </row>
    <row r="20" spans="1:13" s="337" customFormat="1" ht="13.5" thickBot="1" x14ac:dyDescent="0.25">
      <c r="A20" s="140"/>
      <c r="B20" s="643" t="s">
        <v>318</v>
      </c>
      <c r="C20" s="687"/>
      <c r="D20" s="687"/>
      <c r="E20" s="647">
        <f>ROUND(E19*0.6, 0)</f>
        <v>0</v>
      </c>
      <c r="F20" s="851">
        <f t="shared" ref="F20:L20" si="0">F19*0.6</f>
        <v>0</v>
      </c>
      <c r="G20" s="647">
        <f>ROUND(G19*0.6, 0)</f>
        <v>0</v>
      </c>
      <c r="H20" s="851">
        <f t="shared" si="0"/>
        <v>0</v>
      </c>
      <c r="I20" s="647">
        <f>ROUND(I19*0.6, 0)</f>
        <v>0</v>
      </c>
      <c r="J20" s="851">
        <f t="shared" si="0"/>
        <v>0</v>
      </c>
      <c r="K20" s="647">
        <f>ROUND(K19*0.6, 0)</f>
        <v>92</v>
      </c>
      <c r="L20" s="851">
        <f t="shared" si="0"/>
        <v>0</v>
      </c>
      <c r="M20" s="647">
        <f>ROUND(M19*0.6, 0)</f>
        <v>92</v>
      </c>
    </row>
    <row r="21" spans="1:13" s="337" customFormat="1" ht="13.5" thickBot="1" x14ac:dyDescent="0.25">
      <c r="A21" s="140"/>
      <c r="B21" s="643"/>
      <c r="C21" s="687"/>
      <c r="D21" s="687"/>
      <c r="E21" s="646"/>
      <c r="F21" s="850"/>
      <c r="G21" s="646"/>
      <c r="H21" s="850"/>
      <c r="I21" s="646"/>
      <c r="J21" s="850"/>
      <c r="K21" s="646"/>
      <c r="L21" s="850"/>
      <c r="M21" s="646"/>
    </row>
    <row r="22" spans="1:13" s="337" customFormat="1" ht="13.5" thickBot="1" x14ac:dyDescent="0.25">
      <c r="A22" s="140"/>
      <c r="B22" s="643" t="s">
        <v>317</v>
      </c>
      <c r="C22" s="687"/>
      <c r="D22" s="687"/>
      <c r="E22" s="645" t="e">
        <f>E20/E17</f>
        <v>#DIV/0!</v>
      </c>
      <c r="F22" s="852"/>
      <c r="G22" s="645" t="e">
        <f>G20/G17</f>
        <v>#DIV/0!</v>
      </c>
      <c r="H22" s="852"/>
      <c r="I22" s="645" t="e">
        <f>I20/I17</f>
        <v>#DIV/0!</v>
      </c>
      <c r="J22" s="852"/>
      <c r="K22" s="645">
        <f>K20/K17</f>
        <v>0.55757575757575761</v>
      </c>
      <c r="L22" s="852"/>
      <c r="M22" s="645">
        <f>M20/M17</f>
        <v>0.55757575757575761</v>
      </c>
    </row>
    <row r="23" spans="1:13" s="337" customFormat="1" ht="13.5" thickBot="1" x14ac:dyDescent="0.25">
      <c r="A23" s="140"/>
      <c r="B23" s="643" t="s">
        <v>501</v>
      </c>
      <c r="C23" s="687"/>
      <c r="D23" s="687"/>
      <c r="E23" s="648" t="e">
        <f>IF(100*E22&gt;40, ((ROUND((E22*100), 0)-40)*23)+430, 0)</f>
        <v>#DIV/0!</v>
      </c>
      <c r="F23" s="853"/>
      <c r="G23" s="648" t="e">
        <f>IF(100*G22&gt;40, ((ROUND((G22*100), 0)-40)*23)+430, 0)</f>
        <v>#DIV/0!</v>
      </c>
      <c r="H23" s="853"/>
      <c r="I23" s="648" t="e">
        <f>IF(100*I22&gt;40, ((ROUND((I22*100), 0)-40)*23)+430, 0)</f>
        <v>#DIV/0!</v>
      </c>
      <c r="J23" s="854"/>
      <c r="K23" s="648">
        <f>IF(100*K22&gt;40, ((ROUND((K22*100), 0)-40)*23)+430, 0)</f>
        <v>798</v>
      </c>
      <c r="L23" s="853"/>
      <c r="M23" s="648">
        <f>IF(100*M22&gt;40, ((ROUND((M22*100), 0)-40)*23)+430, 0)</f>
        <v>798</v>
      </c>
    </row>
    <row r="24" spans="1:13" s="337" customFormat="1" ht="13.5" thickBot="1" x14ac:dyDescent="0.25">
      <c r="A24" s="140"/>
      <c r="B24" s="643" t="s">
        <v>321</v>
      </c>
      <c r="C24" s="687"/>
      <c r="D24" s="687"/>
      <c r="E24" s="649" t="e">
        <f>E23*E20</f>
        <v>#DIV/0!</v>
      </c>
      <c r="F24" s="470"/>
      <c r="G24" s="649" t="e">
        <f>G23*G20</f>
        <v>#DIV/0!</v>
      </c>
      <c r="H24" s="470"/>
      <c r="I24" s="649" t="e">
        <f>I23*I20</f>
        <v>#DIV/0!</v>
      </c>
      <c r="J24" s="650"/>
      <c r="K24" s="649">
        <f>K23*K20</f>
        <v>73416</v>
      </c>
      <c r="L24" s="470"/>
      <c r="M24" s="649">
        <f>M23*M20</f>
        <v>73416</v>
      </c>
    </row>
    <row r="25" spans="1:13" s="337" customFormat="1" ht="13.5" customHeight="1" x14ac:dyDescent="0.25">
      <c r="A25" s="140"/>
      <c r="B25" s="686"/>
      <c r="C25" s="687"/>
      <c r="D25" s="687"/>
      <c r="E25" s="688"/>
      <c r="F25" s="688"/>
      <c r="G25" s="688"/>
      <c r="H25" s="688"/>
      <c r="I25" s="688"/>
      <c r="J25" s="688"/>
      <c r="K25" s="688"/>
      <c r="L25" s="688"/>
      <c r="M25" s="688"/>
    </row>
    <row r="26" spans="1:13" s="337" customFormat="1" ht="13.5" customHeight="1" thickBot="1" x14ac:dyDescent="0.3">
      <c r="A26" s="140"/>
      <c r="B26" s="686"/>
      <c r="C26" s="687"/>
      <c r="D26" s="687"/>
      <c r="E26" s="688"/>
      <c r="F26" s="688"/>
      <c r="G26" s="688"/>
      <c r="H26" s="688"/>
      <c r="I26" s="688"/>
      <c r="J26" s="688"/>
      <c r="K26" s="688"/>
      <c r="L26" s="688"/>
      <c r="M26" s="688"/>
    </row>
    <row r="27" spans="1:13" s="337" customFormat="1" ht="16.5" customHeight="1" thickBot="1" x14ac:dyDescent="0.3">
      <c r="A27" s="140"/>
      <c r="B27" s="384" t="s">
        <v>443</v>
      </c>
      <c r="C27" s="687"/>
      <c r="D27" s="85"/>
      <c r="E27" s="315">
        <f>$E$8</f>
        <v>2017</v>
      </c>
      <c r="F27" s="315"/>
      <c r="G27" s="315">
        <f>$G$8</f>
        <v>2018</v>
      </c>
      <c r="H27" s="315"/>
      <c r="I27" s="315">
        <f>$I$8</f>
        <v>2019</v>
      </c>
      <c r="J27" s="315"/>
      <c r="K27" s="315">
        <f>$K$8</f>
        <v>2020</v>
      </c>
      <c r="L27" s="315"/>
      <c r="M27" s="315">
        <f>$M$8</f>
        <v>2021</v>
      </c>
    </row>
    <row r="28" spans="1:13" s="337" customFormat="1" ht="13.5" customHeight="1" x14ac:dyDescent="0.2">
      <c r="A28" s="140"/>
      <c r="B28" s="391" t="s">
        <v>38</v>
      </c>
      <c r="C28" s="687"/>
      <c r="D28" s="105"/>
      <c r="E28" s="855">
        <f>E97</f>
        <v>0</v>
      </c>
      <c r="F28" s="856"/>
      <c r="G28" s="855">
        <f>G97</f>
        <v>0</v>
      </c>
      <c r="H28" s="856"/>
      <c r="I28" s="855">
        <f>I97</f>
        <v>0</v>
      </c>
      <c r="J28" s="856"/>
      <c r="K28" s="855">
        <f>K97</f>
        <v>165</v>
      </c>
      <c r="L28" s="856"/>
      <c r="M28" s="855">
        <f>M97</f>
        <v>165</v>
      </c>
    </row>
    <row r="29" spans="1:13" s="337" customFormat="1" ht="13.5" customHeight="1" thickBot="1" x14ac:dyDescent="0.25">
      <c r="A29" s="140"/>
      <c r="B29" s="422" t="s">
        <v>56</v>
      </c>
      <c r="C29" s="687"/>
      <c r="D29" s="88"/>
      <c r="E29" s="386">
        <v>64</v>
      </c>
      <c r="F29" s="381"/>
      <c r="G29" s="386">
        <f>$E$29</f>
        <v>64</v>
      </c>
      <c r="H29" s="381"/>
      <c r="I29" s="386">
        <f>$E$29</f>
        <v>64</v>
      </c>
      <c r="J29" s="381"/>
      <c r="K29" s="386">
        <f>$E$29</f>
        <v>64</v>
      </c>
      <c r="L29" s="381"/>
      <c r="M29" s="386">
        <f>$E$29</f>
        <v>64</v>
      </c>
    </row>
    <row r="30" spans="1:13" s="337" customFormat="1" ht="15" customHeight="1" thickBot="1" x14ac:dyDescent="0.3">
      <c r="A30" s="140"/>
      <c r="B30" s="384" t="s">
        <v>57</v>
      </c>
      <c r="C30" s="687"/>
      <c r="D30" s="89"/>
      <c r="E30" s="390">
        <f>E28*E29</f>
        <v>0</v>
      </c>
      <c r="F30" s="316"/>
      <c r="G30" s="390">
        <f>G28*G29</f>
        <v>0</v>
      </c>
      <c r="H30" s="316"/>
      <c r="I30" s="390">
        <f>I28*I29</f>
        <v>0</v>
      </c>
      <c r="J30" s="316"/>
      <c r="K30" s="390">
        <f>K28*K29</f>
        <v>10560</v>
      </c>
      <c r="L30" s="316"/>
      <c r="M30" s="390">
        <f>M28*M29</f>
        <v>10560</v>
      </c>
    </row>
    <row r="31" spans="1:13" s="337" customFormat="1" ht="13.5" customHeight="1" x14ac:dyDescent="0.25">
      <c r="A31" s="140"/>
      <c r="B31" s="686"/>
      <c r="C31" s="687"/>
      <c r="D31" s="687"/>
      <c r="E31" s="688"/>
      <c r="F31" s="688"/>
      <c r="G31" s="688"/>
      <c r="H31" s="688"/>
      <c r="I31" s="688"/>
      <c r="J31" s="688"/>
      <c r="K31" s="688"/>
      <c r="L31" s="688"/>
      <c r="M31" s="688"/>
    </row>
    <row r="32" spans="1:13" s="337" customFormat="1" ht="13.5" customHeight="1" thickBot="1" x14ac:dyDescent="0.3">
      <c r="A32" s="140"/>
      <c r="B32" s="686"/>
      <c r="C32" s="687"/>
      <c r="D32" s="687"/>
      <c r="E32" s="688"/>
      <c r="F32" s="688"/>
      <c r="G32" s="688"/>
      <c r="H32" s="688"/>
      <c r="I32" s="688"/>
      <c r="J32" s="688"/>
      <c r="K32" s="688"/>
      <c r="L32" s="688"/>
      <c r="M32" s="688"/>
    </row>
    <row r="33" spans="2:13" ht="16.5" thickBot="1" x14ac:dyDescent="0.3">
      <c r="B33" s="384" t="s">
        <v>430</v>
      </c>
      <c r="C33" s="85" t="s">
        <v>39</v>
      </c>
      <c r="D33" s="85"/>
      <c r="E33" s="315">
        <f>$E$8</f>
        <v>2017</v>
      </c>
      <c r="F33" s="315"/>
      <c r="G33" s="315">
        <f>$G$8</f>
        <v>2018</v>
      </c>
      <c r="H33" s="315"/>
      <c r="I33" s="315">
        <f>$I$8</f>
        <v>2019</v>
      </c>
      <c r="J33" s="315"/>
      <c r="K33" s="315">
        <f>$K$8</f>
        <v>2020</v>
      </c>
      <c r="L33" s="315"/>
      <c r="M33" s="315">
        <f>$M$8</f>
        <v>2021</v>
      </c>
    </row>
    <row r="34" spans="2:13" x14ac:dyDescent="0.2">
      <c r="B34" s="391" t="s">
        <v>44</v>
      </c>
      <c r="C34" s="90"/>
      <c r="D34" s="90"/>
      <c r="E34" s="641">
        <f>E85</f>
        <v>0</v>
      </c>
      <c r="F34" s="380"/>
      <c r="G34" s="641">
        <f>IF(G86="Yes",IF((G85-E85)&lt;0,0,G85-E85),0)</f>
        <v>0</v>
      </c>
      <c r="H34" s="380"/>
      <c r="I34" s="641">
        <f>IF(I86="Yes",IF((I85-G85)&lt;0,0,I85-G85),0)</f>
        <v>0</v>
      </c>
      <c r="J34" s="380"/>
      <c r="K34" s="641">
        <f>IF(K86="Yes",IF((K85-I85)&lt;0,0,K85-I85),0)</f>
        <v>0</v>
      </c>
      <c r="L34" s="380"/>
      <c r="M34" s="641">
        <f>IF(M86="Yes",IF((M85-K85)&lt;0,0,M85-K85),0)</f>
        <v>0</v>
      </c>
    </row>
    <row r="35" spans="2:13" ht="13.5" thickBot="1" x14ac:dyDescent="0.25">
      <c r="B35" s="422" t="s">
        <v>45</v>
      </c>
      <c r="C35" s="91">
        <f>800*0.95</f>
        <v>760</v>
      </c>
      <c r="D35" s="91"/>
      <c r="E35" s="386">
        <f>$C$35</f>
        <v>760</v>
      </c>
      <c r="F35" s="381"/>
      <c r="G35" s="386">
        <f t="shared" ref="G35:M35" si="1">$C$35</f>
        <v>760</v>
      </c>
      <c r="H35" s="381"/>
      <c r="I35" s="386">
        <f t="shared" si="1"/>
        <v>760</v>
      </c>
      <c r="J35" s="381"/>
      <c r="K35" s="386">
        <f t="shared" si="1"/>
        <v>760</v>
      </c>
      <c r="L35" s="381"/>
      <c r="M35" s="386">
        <f t="shared" si="1"/>
        <v>760</v>
      </c>
    </row>
    <row r="36" spans="2:13" ht="13.5" thickBot="1" x14ac:dyDescent="0.25">
      <c r="B36" s="317" t="s">
        <v>431</v>
      </c>
      <c r="C36" s="89">
        <f>C34*C35</f>
        <v>0</v>
      </c>
      <c r="D36" s="89"/>
      <c r="E36" s="390">
        <f t="shared" ref="E36:M36" si="2">E34*E35</f>
        <v>0</v>
      </c>
      <c r="F36" s="316"/>
      <c r="G36" s="390">
        <f t="shared" si="2"/>
        <v>0</v>
      </c>
      <c r="H36" s="316"/>
      <c r="I36" s="390">
        <f t="shared" si="2"/>
        <v>0</v>
      </c>
      <c r="J36" s="316"/>
      <c r="K36" s="390">
        <f t="shared" si="2"/>
        <v>0</v>
      </c>
      <c r="L36" s="316"/>
      <c r="M36" s="390">
        <f t="shared" si="2"/>
        <v>0</v>
      </c>
    </row>
    <row r="37" spans="2:13" ht="13.5" thickBot="1" x14ac:dyDescent="0.25">
      <c r="B37" s="273"/>
      <c r="C37" s="87"/>
      <c r="D37" s="106"/>
      <c r="E37" s="379"/>
      <c r="F37" s="379"/>
      <c r="G37" s="379"/>
      <c r="H37" s="379"/>
      <c r="I37" s="379"/>
      <c r="J37" s="379"/>
      <c r="K37" s="379"/>
      <c r="L37" s="379"/>
      <c r="M37" s="379"/>
    </row>
    <row r="38" spans="2:13" ht="16.5" thickBot="1" x14ac:dyDescent="0.3">
      <c r="B38" s="384" t="s">
        <v>46</v>
      </c>
      <c r="C38" s="87"/>
      <c r="D38" s="106"/>
      <c r="E38" s="379"/>
      <c r="F38" s="379"/>
      <c r="G38" s="379"/>
      <c r="H38" s="379"/>
      <c r="I38" s="379"/>
      <c r="J38" s="379"/>
      <c r="K38" s="379"/>
      <c r="L38" s="379"/>
      <c r="M38" s="379"/>
    </row>
    <row r="39" spans="2:13" x14ac:dyDescent="0.2">
      <c r="B39" s="391" t="s">
        <v>44</v>
      </c>
      <c r="C39" s="90"/>
      <c r="D39" s="90"/>
      <c r="E39" s="641">
        <f>$E$94</f>
        <v>0</v>
      </c>
      <c r="F39" s="380"/>
      <c r="G39" s="641">
        <f>IF(G95="Yes",IF((G94-E94)&lt;0,0,G94-E94),0)</f>
        <v>0</v>
      </c>
      <c r="H39" s="380"/>
      <c r="I39" s="641">
        <f>IF(I95="Yes",IF((I94-G94)&lt;0,0,I94-G94),0)</f>
        <v>0</v>
      </c>
      <c r="J39" s="380"/>
      <c r="K39" s="641">
        <f>IF(K95="Yes",IF((K94-I94)&lt;0,0,K94-I94),0)</f>
        <v>0</v>
      </c>
      <c r="L39" s="380"/>
      <c r="M39" s="641">
        <f>IF(M95="Yes",IF((M94-K94)&lt;0,0,M94-K94),0)</f>
        <v>0</v>
      </c>
    </row>
    <row r="40" spans="2:13" ht="13.5" thickBot="1" x14ac:dyDescent="0.25">
      <c r="B40" s="422" t="s">
        <v>45</v>
      </c>
      <c r="C40" s="91">
        <f>1000*0.95</f>
        <v>950</v>
      </c>
      <c r="D40" s="91"/>
      <c r="E40" s="386">
        <f>$C$40</f>
        <v>950</v>
      </c>
      <c r="F40" s="381"/>
      <c r="G40" s="386">
        <f t="shared" ref="G40:M40" si="3">$C$40</f>
        <v>950</v>
      </c>
      <c r="H40" s="381"/>
      <c r="I40" s="386">
        <f t="shared" si="3"/>
        <v>950</v>
      </c>
      <c r="J40" s="381"/>
      <c r="K40" s="386">
        <f t="shared" si="3"/>
        <v>950</v>
      </c>
      <c r="L40" s="381"/>
      <c r="M40" s="386">
        <f t="shared" si="3"/>
        <v>950</v>
      </c>
    </row>
    <row r="41" spans="2:13" ht="13.5" thickBot="1" x14ac:dyDescent="0.25">
      <c r="B41" s="317" t="s">
        <v>47</v>
      </c>
      <c r="C41" s="89">
        <f>C39*C40</f>
        <v>0</v>
      </c>
      <c r="D41" s="89"/>
      <c r="E41" s="390">
        <f>E39*E40</f>
        <v>0</v>
      </c>
      <c r="F41" s="316"/>
      <c r="G41" s="390">
        <f>G39*G40</f>
        <v>0</v>
      </c>
      <c r="H41" s="316"/>
      <c r="I41" s="390">
        <f>I39*I40</f>
        <v>0</v>
      </c>
      <c r="J41" s="316"/>
      <c r="K41" s="390">
        <f>K39*K40</f>
        <v>0</v>
      </c>
      <c r="L41" s="316"/>
      <c r="M41" s="390">
        <f>M39*M40</f>
        <v>0</v>
      </c>
    </row>
    <row r="42" spans="2:13" ht="13.5" thickBot="1" x14ac:dyDescent="0.25">
      <c r="B42" s="126"/>
      <c r="C42" s="4"/>
      <c r="D42" s="4"/>
      <c r="E42" s="220"/>
      <c r="F42" s="220"/>
      <c r="G42" s="220"/>
      <c r="H42" s="220"/>
      <c r="I42" s="220"/>
      <c r="J42" s="220"/>
      <c r="K42" s="220"/>
      <c r="L42" s="220"/>
      <c r="M42" s="220"/>
    </row>
    <row r="43" spans="2:13" ht="16.5" thickBot="1" x14ac:dyDescent="0.3">
      <c r="B43" s="384" t="s">
        <v>48</v>
      </c>
      <c r="C43" s="89">
        <f>C36+C41</f>
        <v>0</v>
      </c>
      <c r="D43" s="89"/>
      <c r="E43" s="390">
        <f t="shared" ref="E43:M43" si="4">E36+E41</f>
        <v>0</v>
      </c>
      <c r="F43" s="316"/>
      <c r="G43" s="390">
        <f t="shared" si="4"/>
        <v>0</v>
      </c>
      <c r="H43" s="316"/>
      <c r="I43" s="390">
        <f t="shared" si="4"/>
        <v>0</v>
      </c>
      <c r="J43" s="316"/>
      <c r="K43" s="390">
        <f t="shared" si="4"/>
        <v>0</v>
      </c>
      <c r="L43" s="316"/>
      <c r="M43" s="390">
        <f t="shared" si="4"/>
        <v>0</v>
      </c>
    </row>
    <row r="44" spans="2:13" x14ac:dyDescent="0.2">
      <c r="B44" s="4"/>
      <c r="C44" s="4"/>
      <c r="D44" s="4"/>
      <c r="E44" s="220"/>
      <c r="F44" s="220"/>
      <c r="G44" s="220"/>
      <c r="H44" s="220"/>
      <c r="I44" s="220"/>
      <c r="J44" s="220"/>
      <c r="K44" s="220"/>
      <c r="L44" s="220"/>
      <c r="M44" s="220"/>
    </row>
    <row r="45" spans="2:13" ht="13.5" thickBot="1" x14ac:dyDescent="0.25">
      <c r="B45" s="4"/>
      <c r="C45" s="4"/>
      <c r="D45" s="4"/>
      <c r="E45" s="220"/>
      <c r="F45" s="220"/>
      <c r="G45" s="220"/>
      <c r="H45" s="220"/>
      <c r="I45" s="220"/>
      <c r="J45" s="220"/>
      <c r="K45" s="220"/>
      <c r="L45" s="220"/>
      <c r="M45" s="220"/>
    </row>
    <row r="46" spans="2:13" ht="16.5" thickBot="1" x14ac:dyDescent="0.3">
      <c r="B46" s="385" t="s">
        <v>1</v>
      </c>
      <c r="C46" s="100">
        <f>IF(OR($C$5="Grade Expansion",$C$5="Charter Conversion"),"Prior Fiscal Year",IF($C$4="2012 (FY13)","FY12 
Incubation",IF($C$4="2013 (FY14)","FY13 
Incubation",0)))</f>
        <v>0</v>
      </c>
      <c r="D46" s="102"/>
      <c r="E46" s="315">
        <f>$E$8</f>
        <v>2017</v>
      </c>
      <c r="F46" s="315"/>
      <c r="G46" s="315">
        <f>$G$8</f>
        <v>2018</v>
      </c>
      <c r="H46" s="315"/>
      <c r="I46" s="315">
        <f>$I$8</f>
        <v>2019</v>
      </c>
      <c r="J46" s="315"/>
      <c r="K46" s="315">
        <f>$K$8</f>
        <v>2020</v>
      </c>
      <c r="L46" s="315"/>
      <c r="M46" s="315">
        <f>$M$8</f>
        <v>2021</v>
      </c>
    </row>
    <row r="47" spans="2:13" x14ac:dyDescent="0.2">
      <c r="B47" s="393" t="s">
        <v>279</v>
      </c>
      <c r="C47" s="101"/>
      <c r="D47" s="103"/>
      <c r="E47" s="857"/>
      <c r="F47" s="858"/>
      <c r="G47" s="858"/>
      <c r="H47" s="858"/>
      <c r="I47" s="858"/>
      <c r="J47" s="858"/>
      <c r="K47" s="858"/>
      <c r="L47" s="858"/>
      <c r="M47" s="868" t="s">
        <v>207</v>
      </c>
    </row>
    <row r="48" spans="2:13" x14ac:dyDescent="0.2">
      <c r="B48" s="393" t="s">
        <v>280</v>
      </c>
      <c r="C48" s="101"/>
      <c r="D48" s="103"/>
      <c r="E48" s="858"/>
      <c r="F48" s="858"/>
      <c r="G48" s="858"/>
      <c r="H48" s="858"/>
      <c r="I48" s="858"/>
      <c r="J48" s="858"/>
      <c r="K48" s="858"/>
      <c r="L48" s="858"/>
      <c r="M48" s="868" t="s">
        <v>207</v>
      </c>
    </row>
    <row r="49" spans="1:13" x14ac:dyDescent="0.2">
      <c r="B49" s="393" t="s">
        <v>2</v>
      </c>
      <c r="C49" s="101"/>
      <c r="D49" s="103"/>
      <c r="E49" s="858"/>
      <c r="F49" s="858"/>
      <c r="G49" s="858"/>
      <c r="H49" s="858"/>
      <c r="I49" s="858"/>
      <c r="J49" s="858"/>
      <c r="K49" s="858"/>
      <c r="L49" s="858"/>
      <c r="M49" s="868" t="s">
        <v>207</v>
      </c>
    </row>
    <row r="50" spans="1:13" x14ac:dyDescent="0.2">
      <c r="B50" s="393" t="s">
        <v>3</v>
      </c>
      <c r="C50" s="101"/>
      <c r="D50" s="103"/>
      <c r="E50" s="858"/>
      <c r="F50" s="858"/>
      <c r="G50" s="858"/>
      <c r="H50" s="858"/>
      <c r="I50" s="858"/>
      <c r="J50" s="858"/>
      <c r="K50" s="858"/>
      <c r="L50" s="858"/>
      <c r="M50" s="868" t="s">
        <v>207</v>
      </c>
    </row>
    <row r="51" spans="1:13" ht="13.5" thickBot="1" x14ac:dyDescent="0.25">
      <c r="B51" s="428"/>
      <c r="C51" s="101"/>
      <c r="D51" s="427"/>
      <c r="E51" s="430"/>
      <c r="F51" s="430"/>
      <c r="G51" s="430"/>
      <c r="H51" s="430"/>
      <c r="I51" s="430"/>
      <c r="J51" s="430"/>
      <c r="K51" s="430"/>
      <c r="L51" s="430"/>
      <c r="M51" s="430"/>
    </row>
    <row r="52" spans="1:13" ht="13.5" thickBot="1" x14ac:dyDescent="0.25">
      <c r="B52" s="431" t="s">
        <v>276</v>
      </c>
      <c r="C52" s="107"/>
      <c r="D52" s="94"/>
      <c r="E52" s="382"/>
      <c r="F52" s="382"/>
      <c r="G52" s="382"/>
      <c r="H52" s="382"/>
      <c r="I52" s="382"/>
      <c r="J52" s="383"/>
      <c r="K52" s="383"/>
      <c r="L52" s="220"/>
      <c r="M52" s="220"/>
    </row>
    <row r="53" spans="1:13" x14ac:dyDescent="0.2">
      <c r="B53" s="392" t="s">
        <v>281</v>
      </c>
      <c r="D53" s="103"/>
      <c r="E53" s="859">
        <v>0</v>
      </c>
      <c r="F53" s="860"/>
      <c r="G53" s="859">
        <v>142</v>
      </c>
      <c r="H53" s="860"/>
      <c r="I53" s="859">
        <f>$G$53</f>
        <v>142</v>
      </c>
      <c r="J53" s="860"/>
      <c r="K53" s="859">
        <f>$G$53</f>
        <v>142</v>
      </c>
      <c r="L53" s="860"/>
      <c r="M53" s="859">
        <f>$G$53</f>
        <v>142</v>
      </c>
    </row>
    <row r="54" spans="1:13" x14ac:dyDescent="0.2">
      <c r="B54" s="393" t="s">
        <v>282</v>
      </c>
      <c r="D54" s="103"/>
      <c r="E54" s="859">
        <v>0</v>
      </c>
      <c r="F54" s="860"/>
      <c r="G54" s="859">
        <v>284</v>
      </c>
      <c r="H54" s="860"/>
      <c r="I54" s="859">
        <f>$G$54</f>
        <v>284</v>
      </c>
      <c r="J54" s="860"/>
      <c r="K54" s="859">
        <f>$G$54</f>
        <v>284</v>
      </c>
      <c r="L54" s="860"/>
      <c r="M54" s="859">
        <f>$G$54</f>
        <v>284</v>
      </c>
    </row>
    <row r="55" spans="1:13" x14ac:dyDescent="0.2">
      <c r="B55" s="393" t="s">
        <v>4</v>
      </c>
      <c r="D55" s="103"/>
      <c r="E55" s="859">
        <v>0</v>
      </c>
      <c r="F55" s="860"/>
      <c r="G55" s="859">
        <v>165</v>
      </c>
      <c r="H55" s="860"/>
      <c r="I55" s="859">
        <f>$G$55</f>
        <v>165</v>
      </c>
      <c r="J55" s="860"/>
      <c r="K55" s="859">
        <f>$G$55</f>
        <v>165</v>
      </c>
      <c r="L55" s="860"/>
      <c r="M55" s="859">
        <f>$G$55</f>
        <v>165</v>
      </c>
    </row>
    <row r="56" spans="1:13" x14ac:dyDescent="0.2">
      <c r="B56" s="393" t="s">
        <v>63</v>
      </c>
      <c r="D56" s="103"/>
      <c r="E56" s="859">
        <v>0</v>
      </c>
      <c r="F56" s="860"/>
      <c r="G56" s="859">
        <v>330</v>
      </c>
      <c r="H56" s="860"/>
      <c r="I56" s="859">
        <f>$G$56</f>
        <v>330</v>
      </c>
      <c r="J56" s="860"/>
      <c r="K56" s="859">
        <f>$G$56</f>
        <v>330</v>
      </c>
      <c r="L56" s="860"/>
      <c r="M56" s="859">
        <f>$G$56</f>
        <v>330</v>
      </c>
    </row>
    <row r="57" spans="1:13" s="337" customFormat="1" ht="13.5" thickBot="1" x14ac:dyDescent="0.25">
      <c r="A57" s="140"/>
      <c r="B57" s="428"/>
      <c r="D57" s="429"/>
      <c r="E57" s="861"/>
      <c r="F57" s="862"/>
      <c r="G57" s="861"/>
      <c r="H57" s="862"/>
      <c r="I57" s="861"/>
      <c r="J57" s="862"/>
      <c r="K57" s="861"/>
      <c r="L57" s="862"/>
      <c r="M57" s="861"/>
    </row>
    <row r="58" spans="1:13" s="337" customFormat="1" ht="13.5" thickBot="1" x14ac:dyDescent="0.25">
      <c r="A58" s="140"/>
      <c r="B58" s="431" t="s">
        <v>277</v>
      </c>
      <c r="D58" s="429"/>
      <c r="E58" s="861"/>
      <c r="F58" s="862"/>
      <c r="G58" s="861"/>
      <c r="H58" s="862"/>
      <c r="I58" s="861"/>
      <c r="J58" s="862"/>
      <c r="K58" s="861"/>
      <c r="L58" s="862"/>
      <c r="M58" s="861"/>
    </row>
    <row r="59" spans="1:13" x14ac:dyDescent="0.2">
      <c r="B59" s="392" t="s">
        <v>281</v>
      </c>
      <c r="D59" s="103"/>
      <c r="E59" s="859">
        <v>0</v>
      </c>
      <c r="F59" s="860"/>
      <c r="G59" s="859">
        <v>75</v>
      </c>
      <c r="H59" s="860"/>
      <c r="I59" s="859">
        <f>$G$59</f>
        <v>75</v>
      </c>
      <c r="J59" s="860"/>
      <c r="K59" s="859">
        <f>$G$59</f>
        <v>75</v>
      </c>
      <c r="L59" s="860"/>
      <c r="M59" s="859">
        <f>$G$59</f>
        <v>75</v>
      </c>
    </row>
    <row r="60" spans="1:13" x14ac:dyDescent="0.2">
      <c r="B60" s="393" t="s">
        <v>282</v>
      </c>
      <c r="D60" s="103"/>
      <c r="E60" s="859">
        <v>0</v>
      </c>
      <c r="F60" s="860"/>
      <c r="G60" s="859">
        <v>150</v>
      </c>
      <c r="H60" s="860"/>
      <c r="I60" s="859">
        <f>$G$60</f>
        <v>150</v>
      </c>
      <c r="J60" s="860"/>
      <c r="K60" s="859">
        <f>$G$60</f>
        <v>150</v>
      </c>
      <c r="L60" s="860"/>
      <c r="M60" s="859">
        <f>$G$60</f>
        <v>150</v>
      </c>
    </row>
    <row r="61" spans="1:13" x14ac:dyDescent="0.2">
      <c r="B61" s="393" t="s">
        <v>4</v>
      </c>
      <c r="D61" s="103"/>
      <c r="E61" s="859">
        <v>0</v>
      </c>
      <c r="F61" s="860"/>
      <c r="G61" s="859">
        <v>75</v>
      </c>
      <c r="H61" s="860"/>
      <c r="I61" s="859">
        <f>$G$61</f>
        <v>75</v>
      </c>
      <c r="J61" s="860"/>
      <c r="K61" s="859">
        <f>$G$61</f>
        <v>75</v>
      </c>
      <c r="L61" s="860"/>
      <c r="M61" s="859">
        <f>$G$61</f>
        <v>75</v>
      </c>
    </row>
    <row r="62" spans="1:13" x14ac:dyDescent="0.2">
      <c r="B62" s="393" t="s">
        <v>63</v>
      </c>
      <c r="D62" s="103"/>
      <c r="E62" s="859">
        <v>0</v>
      </c>
      <c r="F62" s="860"/>
      <c r="G62" s="859">
        <v>150</v>
      </c>
      <c r="H62" s="860"/>
      <c r="I62" s="859">
        <f>$G$62</f>
        <v>150</v>
      </c>
      <c r="J62" s="860"/>
      <c r="K62" s="859">
        <f>$G$62</f>
        <v>150</v>
      </c>
      <c r="L62" s="860"/>
      <c r="M62" s="859">
        <f>$G$62</f>
        <v>150</v>
      </c>
    </row>
    <row r="63" spans="1:13" s="337" customFormat="1" x14ac:dyDescent="0.2">
      <c r="A63" s="140"/>
      <c r="B63" s="428"/>
      <c r="D63" s="429"/>
      <c r="E63" s="861"/>
      <c r="F63" s="862"/>
      <c r="G63" s="861"/>
      <c r="H63" s="862"/>
      <c r="I63" s="861"/>
      <c r="J63" s="862"/>
      <c r="K63" s="861"/>
      <c r="L63" s="862"/>
      <c r="M63" s="861"/>
    </row>
    <row r="64" spans="1:13" s="337" customFormat="1" ht="13.5" thickBot="1" x14ac:dyDescent="0.25">
      <c r="A64" s="140"/>
      <c r="B64" s="428"/>
      <c r="D64" s="429"/>
      <c r="E64" s="861"/>
      <c r="F64" s="862"/>
      <c r="G64" s="861"/>
      <c r="H64" s="862"/>
      <c r="I64" s="861"/>
      <c r="J64" s="862"/>
      <c r="K64" s="861"/>
      <c r="L64" s="862"/>
      <c r="M64" s="861"/>
    </row>
    <row r="65" spans="2:13" ht="13.5" thickBot="1" x14ac:dyDescent="0.25">
      <c r="B65" s="431" t="s">
        <v>278</v>
      </c>
      <c r="C65" s="4"/>
      <c r="D65" s="4"/>
      <c r="E65" s="863"/>
      <c r="F65" s="863"/>
      <c r="G65" s="863"/>
      <c r="H65" s="863"/>
      <c r="I65" s="863"/>
      <c r="J65" s="863"/>
      <c r="K65" s="863"/>
      <c r="L65" s="863"/>
      <c r="M65" s="863"/>
    </row>
    <row r="66" spans="2:13" x14ac:dyDescent="0.2">
      <c r="B66" s="392" t="s">
        <v>283</v>
      </c>
      <c r="D66" s="103"/>
      <c r="E66" s="859">
        <f>E47*E53</f>
        <v>0</v>
      </c>
      <c r="F66" s="860"/>
      <c r="G66" s="859">
        <f>E47*(G53+G59)</f>
        <v>0</v>
      </c>
      <c r="H66" s="860"/>
      <c r="I66" s="859">
        <f>G47*(I53+I59)</f>
        <v>0</v>
      </c>
      <c r="J66" s="860"/>
      <c r="K66" s="859">
        <f>I47*(K53+K59)</f>
        <v>0</v>
      </c>
      <c r="L66" s="860"/>
      <c r="M66" s="859">
        <f>K47*(M53+M59)</f>
        <v>0</v>
      </c>
    </row>
    <row r="67" spans="2:13" x14ac:dyDescent="0.2">
      <c r="B67" s="393" t="s">
        <v>284</v>
      </c>
      <c r="D67" s="103"/>
      <c r="E67" s="859">
        <f>E48*E54</f>
        <v>0</v>
      </c>
      <c r="F67" s="860"/>
      <c r="G67" s="859">
        <f t="shared" ref="G67:M69" si="5">E48*(G54+G60)</f>
        <v>0</v>
      </c>
      <c r="H67" s="860"/>
      <c r="I67" s="859">
        <f t="shared" si="5"/>
        <v>0</v>
      </c>
      <c r="J67" s="860"/>
      <c r="K67" s="859">
        <f t="shared" si="5"/>
        <v>0</v>
      </c>
      <c r="L67" s="860"/>
      <c r="M67" s="859">
        <f t="shared" si="5"/>
        <v>0</v>
      </c>
    </row>
    <row r="68" spans="2:13" x14ac:dyDescent="0.2">
      <c r="B68" s="393" t="s">
        <v>5</v>
      </c>
      <c r="D68" s="103"/>
      <c r="E68" s="859">
        <f>E49*E55</f>
        <v>0</v>
      </c>
      <c r="F68" s="860"/>
      <c r="G68" s="859">
        <f t="shared" si="5"/>
        <v>0</v>
      </c>
      <c r="H68" s="860"/>
      <c r="I68" s="859">
        <f t="shared" si="5"/>
        <v>0</v>
      </c>
      <c r="J68" s="860"/>
      <c r="K68" s="859">
        <f t="shared" si="5"/>
        <v>0</v>
      </c>
      <c r="L68" s="860"/>
      <c r="M68" s="859">
        <f t="shared" si="5"/>
        <v>0</v>
      </c>
    </row>
    <row r="69" spans="2:13" ht="13.5" thickBot="1" x14ac:dyDescent="0.25">
      <c r="B69" s="393" t="s">
        <v>64</v>
      </c>
      <c r="D69" s="104"/>
      <c r="E69" s="859">
        <f>E50*E56</f>
        <v>0</v>
      </c>
      <c r="F69" s="860"/>
      <c r="G69" s="859">
        <f t="shared" si="5"/>
        <v>0</v>
      </c>
      <c r="H69" s="860"/>
      <c r="I69" s="859">
        <f t="shared" si="5"/>
        <v>0</v>
      </c>
      <c r="J69" s="860"/>
      <c r="K69" s="859">
        <f t="shared" si="5"/>
        <v>0</v>
      </c>
      <c r="L69" s="860"/>
      <c r="M69" s="859">
        <f t="shared" si="5"/>
        <v>0</v>
      </c>
    </row>
    <row r="70" spans="2:13" ht="16.5" thickBot="1" x14ac:dyDescent="0.3">
      <c r="B70" s="384" t="s">
        <v>6</v>
      </c>
      <c r="D70" s="95"/>
      <c r="E70" s="864">
        <f>SUM(E66:E69)</f>
        <v>0</v>
      </c>
      <c r="F70" s="316"/>
      <c r="G70" s="864">
        <f>SUM(G66:G69)</f>
        <v>0</v>
      </c>
      <c r="H70" s="316"/>
      <c r="I70" s="864">
        <f>SUM(I66:I69)</f>
        <v>0</v>
      </c>
      <c r="J70" s="316"/>
      <c r="K70" s="864">
        <f>SUM(K66:K69)</f>
        <v>0</v>
      </c>
      <c r="L70" s="316"/>
      <c r="M70" s="864">
        <f>SUM(M66:M69)</f>
        <v>0</v>
      </c>
    </row>
    <row r="71" spans="2:13" x14ac:dyDescent="0.2">
      <c r="B71" s="4"/>
      <c r="C71" s="4"/>
      <c r="D71" s="4"/>
      <c r="E71" s="220"/>
      <c r="F71" s="220"/>
      <c r="G71" s="220"/>
      <c r="H71" s="220"/>
      <c r="I71" s="220"/>
      <c r="J71" s="220"/>
      <c r="K71" s="220"/>
      <c r="L71" s="220"/>
      <c r="M71" s="220"/>
    </row>
    <row r="72" spans="2:13" ht="13.5" thickBot="1" x14ac:dyDescent="0.25">
      <c r="B72" s="4"/>
      <c r="C72" s="4"/>
      <c r="D72" s="4"/>
      <c r="E72" s="220"/>
      <c r="F72" s="220"/>
      <c r="G72" s="220"/>
      <c r="H72" s="220"/>
      <c r="I72" s="220"/>
      <c r="J72" s="220"/>
      <c r="K72" s="220"/>
      <c r="L72" s="220"/>
      <c r="M72" s="220"/>
    </row>
    <row r="73" spans="2:13" ht="13.5" thickBot="1" x14ac:dyDescent="0.25">
      <c r="B73" s="1256" t="s">
        <v>184</v>
      </c>
      <c r="C73" s="1257"/>
      <c r="D73" s="1257"/>
      <c r="E73" s="1257"/>
      <c r="F73" s="1257"/>
      <c r="G73" s="1257"/>
      <c r="H73" s="1257"/>
      <c r="I73" s="1257"/>
      <c r="J73" s="1257"/>
      <c r="K73" s="1257"/>
      <c r="L73" s="1257"/>
      <c r="M73" s="1258"/>
    </row>
    <row r="74" spans="2:13" ht="13.5" thickBot="1" x14ac:dyDescent="0.25">
      <c r="B74" s="312"/>
      <c r="C74" s="4"/>
      <c r="D74" s="4"/>
      <c r="E74" s="220"/>
      <c r="F74" s="220"/>
      <c r="G74" s="220"/>
      <c r="H74" s="220"/>
      <c r="I74" s="220"/>
      <c r="J74" s="220"/>
      <c r="K74" s="220"/>
      <c r="L74" s="220"/>
      <c r="M74" s="220"/>
    </row>
    <row r="75" spans="2:13" ht="13.5" thickBot="1" x14ac:dyDescent="0.25">
      <c r="B75" s="431" t="s">
        <v>201</v>
      </c>
      <c r="C75" s="4"/>
      <c r="D75" s="4"/>
      <c r="E75" s="431">
        <f>$E$8</f>
        <v>2017</v>
      </c>
      <c r="F75" s="869"/>
      <c r="G75" s="431">
        <f>$G$8</f>
        <v>2018</v>
      </c>
      <c r="H75" s="869"/>
      <c r="I75" s="431">
        <f>$I$8</f>
        <v>2019</v>
      </c>
      <c r="J75" s="869"/>
      <c r="K75" s="431">
        <f>$K$8</f>
        <v>2020</v>
      </c>
      <c r="L75" s="869"/>
      <c r="M75" s="431">
        <f>$M$8</f>
        <v>2021</v>
      </c>
    </row>
    <row r="76" spans="2:13" ht="13.5" thickBot="1" x14ac:dyDescent="0.25">
      <c r="B76" s="636" t="s">
        <v>197</v>
      </c>
      <c r="C76" s="4"/>
      <c r="D76" s="4"/>
      <c r="E76" s="865">
        <f>'Revenues-Per Capita &amp; SPED'!D26</f>
        <v>0</v>
      </c>
      <c r="F76" s="870"/>
      <c r="G76" s="866">
        <f>'Revenues-Per Capita &amp; SPED'!J26</f>
        <v>0</v>
      </c>
      <c r="H76" s="870"/>
      <c r="I76" s="865">
        <f>'Revenues-Per Capita &amp; SPED'!O26</f>
        <v>0</v>
      </c>
      <c r="J76" s="870"/>
      <c r="K76" s="865">
        <f>'Revenues-Per Capita &amp; SPED'!U26</f>
        <v>0</v>
      </c>
      <c r="L76" s="870"/>
      <c r="M76" s="865">
        <f>'Revenues-Per Capita &amp; SPED'!AA26</f>
        <v>0</v>
      </c>
    </row>
    <row r="77" spans="2:13" ht="13.5" thickBot="1" x14ac:dyDescent="0.25">
      <c r="B77" s="637" t="s">
        <v>185</v>
      </c>
      <c r="C77" s="4"/>
      <c r="D77" s="4"/>
      <c r="E77" s="865">
        <f>'Revenues-Per Capita &amp; SPED'!D27</f>
        <v>0</v>
      </c>
      <c r="F77" s="870"/>
      <c r="G77" s="866">
        <f>'Revenues-Per Capita &amp; SPED'!J27</f>
        <v>0</v>
      </c>
      <c r="H77" s="870"/>
      <c r="I77" s="865">
        <f>'Revenues-Per Capita &amp; SPED'!O27</f>
        <v>0</v>
      </c>
      <c r="J77" s="870"/>
      <c r="K77" s="865">
        <f>'Revenues-Per Capita &amp; SPED'!U27</f>
        <v>0</v>
      </c>
      <c r="L77" s="870"/>
      <c r="M77" s="865">
        <f>'Revenues-Per Capita &amp; SPED'!AA27</f>
        <v>0</v>
      </c>
    </row>
    <row r="78" spans="2:13" ht="13.5" thickBot="1" x14ac:dyDescent="0.25">
      <c r="B78" s="637" t="s">
        <v>186</v>
      </c>
      <c r="C78" s="4"/>
      <c r="D78" s="4"/>
      <c r="E78" s="865">
        <f>'Revenues-Per Capita &amp; SPED'!D28</f>
        <v>0</v>
      </c>
      <c r="F78" s="870"/>
      <c r="G78" s="866">
        <f>'Revenues-Per Capita &amp; SPED'!J28</f>
        <v>0</v>
      </c>
      <c r="H78" s="870"/>
      <c r="I78" s="865">
        <f>'Revenues-Per Capita &amp; SPED'!O28</f>
        <v>0</v>
      </c>
      <c r="J78" s="870"/>
      <c r="K78" s="865">
        <f>'Revenues-Per Capita &amp; SPED'!U28</f>
        <v>0</v>
      </c>
      <c r="L78" s="870"/>
      <c r="M78" s="865">
        <f>'Revenues-Per Capita &amp; SPED'!AA28</f>
        <v>0</v>
      </c>
    </row>
    <row r="79" spans="2:13" ht="13.5" thickBot="1" x14ac:dyDescent="0.25">
      <c r="B79" s="637" t="s">
        <v>187</v>
      </c>
      <c r="C79" s="4"/>
      <c r="D79" s="4"/>
      <c r="E79" s="865">
        <f>'Revenues-Per Capita &amp; SPED'!D29</f>
        <v>0</v>
      </c>
      <c r="F79" s="870"/>
      <c r="G79" s="866">
        <f>'Revenues-Per Capita &amp; SPED'!J29</f>
        <v>0</v>
      </c>
      <c r="H79" s="870"/>
      <c r="I79" s="865">
        <f>'Revenues-Per Capita &amp; SPED'!O29</f>
        <v>0</v>
      </c>
      <c r="J79" s="870"/>
      <c r="K79" s="865">
        <f>'Revenues-Per Capita &amp; SPED'!U29</f>
        <v>0</v>
      </c>
      <c r="L79" s="870"/>
      <c r="M79" s="865">
        <f>'Revenues-Per Capita &amp; SPED'!AA29</f>
        <v>0</v>
      </c>
    </row>
    <row r="80" spans="2:13" ht="13.5" thickBot="1" x14ac:dyDescent="0.25">
      <c r="B80" s="637" t="s">
        <v>188</v>
      </c>
      <c r="C80" s="4"/>
      <c r="D80" s="4"/>
      <c r="E80" s="866">
        <f>'Revenues-Per Capita &amp; SPED'!D61</f>
        <v>0</v>
      </c>
      <c r="F80" s="870"/>
      <c r="G80" s="866">
        <f>'Revenues-Per Capita &amp; SPED'!J61</f>
        <v>0</v>
      </c>
      <c r="H80" s="870"/>
      <c r="I80" s="866">
        <f>'Revenues-Per Capita &amp; SPED'!O61</f>
        <v>0</v>
      </c>
      <c r="J80" s="870"/>
      <c r="K80" s="866">
        <f>'Revenues-Per Capita &amp; SPED'!U61</f>
        <v>0</v>
      </c>
      <c r="L80" s="870"/>
      <c r="M80" s="866">
        <f>'Revenues-Per Capita &amp; SPED'!AA61</f>
        <v>0</v>
      </c>
    </row>
    <row r="81" spans="1:13" ht="13.5" thickBot="1" x14ac:dyDescent="0.25">
      <c r="B81" s="637" t="s">
        <v>189</v>
      </c>
      <c r="C81" s="4"/>
      <c r="D81" s="4"/>
      <c r="E81" s="866">
        <f>'Revenues-Per Capita &amp; SPED'!D62</f>
        <v>0</v>
      </c>
      <c r="F81" s="870"/>
      <c r="G81" s="866">
        <f>'Revenues-Per Capita &amp; SPED'!J62</f>
        <v>0</v>
      </c>
      <c r="H81" s="870"/>
      <c r="I81" s="866">
        <f>'Revenues-Per Capita &amp; SPED'!O62</f>
        <v>0</v>
      </c>
      <c r="J81" s="870"/>
      <c r="K81" s="866">
        <f>'Revenues-Per Capita &amp; SPED'!U62</f>
        <v>0</v>
      </c>
      <c r="L81" s="870"/>
      <c r="M81" s="866">
        <f>'Revenues-Per Capita &amp; SPED'!AA62</f>
        <v>0</v>
      </c>
    </row>
    <row r="82" spans="1:13" ht="13.5" thickBot="1" x14ac:dyDescent="0.25">
      <c r="B82" s="637" t="s">
        <v>190</v>
      </c>
      <c r="C82" s="4"/>
      <c r="D82" s="4"/>
      <c r="E82" s="866">
        <f>'Revenues-Per Capita &amp; SPED'!D63+'Revenues-Per Capita &amp; SPED'!E95</f>
        <v>0</v>
      </c>
      <c r="F82" s="870"/>
      <c r="G82" s="866">
        <f>'Revenues-Per Capita &amp; SPED'!J63+'Revenues-Per Capita &amp; SPED'!K95</f>
        <v>0</v>
      </c>
      <c r="H82" s="870"/>
      <c r="I82" s="866">
        <f>'Revenues-Per Capita &amp; SPED'!O63+'Revenues-Per Capita &amp; SPED'!P95</f>
        <v>0</v>
      </c>
      <c r="J82" s="870"/>
      <c r="K82" s="866">
        <f>'Revenues-Per Capita &amp; SPED'!U63+'Revenues-Per Capita &amp; SPED'!V95</f>
        <v>0</v>
      </c>
      <c r="L82" s="870"/>
      <c r="M82" s="866">
        <f>'Revenues-Per Capita &amp; SPED'!AA63+'Revenues-Per Capita &amp; SPED'!AB95</f>
        <v>0</v>
      </c>
    </row>
    <row r="83" spans="1:13" ht="13.5" thickBot="1" x14ac:dyDescent="0.25">
      <c r="B83" s="637" t="s">
        <v>191</v>
      </c>
      <c r="C83" s="4"/>
      <c r="D83" s="4"/>
      <c r="E83" s="866">
        <f>'Revenues-Per Capita &amp; SPED'!D64+'Revenues-Per Capita &amp; SPED'!E96</f>
        <v>0</v>
      </c>
      <c r="F83" s="870"/>
      <c r="G83" s="866">
        <f>'Revenues-Per Capita &amp; SPED'!J64+'Revenues-Per Capita &amp; SPED'!K96</f>
        <v>0</v>
      </c>
      <c r="H83" s="870"/>
      <c r="I83" s="866">
        <f>'Revenues-Per Capita &amp; SPED'!O64+'Revenues-Per Capita &amp; SPED'!P96</f>
        <v>0</v>
      </c>
      <c r="J83" s="870"/>
      <c r="K83" s="866">
        <f>'Revenues-Per Capita &amp; SPED'!U64+'Revenues-Per Capita &amp; SPED'!V96</f>
        <v>0</v>
      </c>
      <c r="L83" s="870"/>
      <c r="M83" s="866">
        <f>'Revenues-Per Capita &amp; SPED'!AA64+'Revenues-Per Capita &amp; SPED'!AB96</f>
        <v>0</v>
      </c>
    </row>
    <row r="84" spans="1:13" ht="13.5" thickBot="1" x14ac:dyDescent="0.25">
      <c r="B84" s="637" t="s">
        <v>192</v>
      </c>
      <c r="C84" s="4"/>
      <c r="D84" s="4"/>
      <c r="E84" s="866">
        <f>'Revenues-Per Capita &amp; SPED'!D65+'Revenues-Per Capita &amp; SPED'!E97</f>
        <v>0</v>
      </c>
      <c r="F84" s="870"/>
      <c r="G84" s="866">
        <f>'Revenues-Per Capita &amp; SPED'!J65+'Revenues-Per Capita &amp; SPED'!K97</f>
        <v>0</v>
      </c>
      <c r="H84" s="870"/>
      <c r="I84" s="866">
        <f>'Revenues-Per Capita &amp; SPED'!O65+'Revenues-Per Capita &amp; SPED'!P97</f>
        <v>0</v>
      </c>
      <c r="J84" s="870"/>
      <c r="K84" s="866">
        <f>'Revenues-Per Capita &amp; SPED'!U65+'Revenues-Per Capita &amp; SPED'!V97</f>
        <v>0</v>
      </c>
      <c r="L84" s="870"/>
      <c r="M84" s="866">
        <f>'Revenues-Per Capita &amp; SPED'!AA65+'Revenues-Per Capita &amp; SPED'!AB97</f>
        <v>0</v>
      </c>
    </row>
    <row r="85" spans="1:13" ht="13.5" thickBot="1" x14ac:dyDescent="0.25">
      <c r="B85" s="431" t="s">
        <v>198</v>
      </c>
      <c r="C85" s="4"/>
      <c r="D85" s="4"/>
      <c r="E85" s="635">
        <f>SUM(E76:E84)</f>
        <v>0</v>
      </c>
      <c r="F85" s="870"/>
      <c r="G85" s="635">
        <f>SUM(G76:G84)</f>
        <v>0</v>
      </c>
      <c r="H85" s="870"/>
      <c r="I85" s="635">
        <f>SUM(I76:I84)</f>
        <v>0</v>
      </c>
      <c r="J85" s="870"/>
      <c r="K85" s="635">
        <f>SUM(K76:K84)</f>
        <v>0</v>
      </c>
      <c r="L85" s="870"/>
      <c r="M85" s="635">
        <f>SUM(M76:M84)</f>
        <v>0</v>
      </c>
    </row>
    <row r="86" spans="1:13" ht="13.5" thickBot="1" x14ac:dyDescent="0.25">
      <c r="B86" s="638" t="s">
        <v>303</v>
      </c>
      <c r="C86" s="4"/>
      <c r="D86" s="4"/>
      <c r="E86" s="635" t="s">
        <v>207</v>
      </c>
      <c r="F86" s="867"/>
      <c r="G86" s="931"/>
      <c r="H86" s="867"/>
      <c r="I86" s="931"/>
      <c r="J86" s="867"/>
      <c r="K86" s="931"/>
      <c r="L86" s="867"/>
      <c r="M86" s="931"/>
    </row>
    <row r="87" spans="1:13" x14ac:dyDescent="0.2">
      <c r="B87" s="314"/>
      <c r="C87" s="4"/>
      <c r="D87" s="4"/>
      <c r="E87" s="108"/>
      <c r="F87" s="312"/>
      <c r="G87" s="312"/>
      <c r="H87" s="312"/>
      <c r="I87" s="312"/>
      <c r="J87" s="312"/>
      <c r="K87" s="312"/>
      <c r="L87" s="312"/>
      <c r="M87" s="312"/>
    </row>
    <row r="88" spans="1:13" ht="13.5" thickBot="1" x14ac:dyDescent="0.25">
      <c r="B88" s="313"/>
      <c r="C88" s="4"/>
      <c r="D88" s="4"/>
      <c r="E88" s="312"/>
      <c r="F88" s="312"/>
      <c r="G88" s="312"/>
      <c r="H88" s="312"/>
      <c r="I88" s="312"/>
      <c r="J88" s="312"/>
      <c r="K88" s="312"/>
      <c r="L88" s="312"/>
      <c r="M88" s="312"/>
    </row>
    <row r="89" spans="1:13" ht="13.5" thickBot="1" x14ac:dyDescent="0.25">
      <c r="A89" s="107"/>
      <c r="B89" s="639" t="s">
        <v>202</v>
      </c>
      <c r="C89" s="107"/>
      <c r="D89" s="107"/>
      <c r="E89" s="431">
        <f>$E$8</f>
        <v>2017</v>
      </c>
      <c r="F89" s="870"/>
      <c r="G89" s="431">
        <f>$G$8</f>
        <v>2018</v>
      </c>
      <c r="H89" s="870"/>
      <c r="I89" s="431">
        <f>$I$8</f>
        <v>2019</v>
      </c>
      <c r="J89" s="870"/>
      <c r="K89" s="431">
        <f>$K$8</f>
        <v>2020</v>
      </c>
      <c r="L89" s="870"/>
      <c r="M89" s="431">
        <f>$M$8</f>
        <v>2021</v>
      </c>
    </row>
    <row r="90" spans="1:13" ht="13.5" thickBot="1" x14ac:dyDescent="0.25">
      <c r="B90" s="637" t="s">
        <v>193</v>
      </c>
      <c r="C90" s="4"/>
      <c r="D90" s="4"/>
      <c r="E90" s="866">
        <f>'Revenues-Per Capita &amp; SPED'!E126</f>
        <v>0</v>
      </c>
      <c r="F90" s="870"/>
      <c r="G90" s="866">
        <f>'Revenues-Per Capita &amp; SPED'!K126</f>
        <v>0</v>
      </c>
      <c r="H90" s="870"/>
      <c r="I90" s="865">
        <f>'Revenues-Per Capita &amp; SPED'!P126</f>
        <v>0</v>
      </c>
      <c r="J90" s="870"/>
      <c r="K90" s="865">
        <f>'Revenues-Per Capita &amp; SPED'!V126</f>
        <v>0</v>
      </c>
      <c r="L90" s="870"/>
      <c r="M90" s="865">
        <f>'Revenues-Per Capita &amp; SPED'!AB126</f>
        <v>0</v>
      </c>
    </row>
    <row r="91" spans="1:13" ht="13.5" thickBot="1" x14ac:dyDescent="0.25">
      <c r="B91" s="637" t="s">
        <v>194</v>
      </c>
      <c r="C91" s="4"/>
      <c r="D91" s="4"/>
      <c r="E91" s="866">
        <f>'Revenues-Per Capita &amp; SPED'!E127</f>
        <v>0</v>
      </c>
      <c r="F91" s="870"/>
      <c r="G91" s="866">
        <f>'Revenues-Per Capita &amp; SPED'!K127</f>
        <v>0</v>
      </c>
      <c r="H91" s="870"/>
      <c r="I91" s="865">
        <f>'Revenues-Per Capita &amp; SPED'!P127</f>
        <v>0</v>
      </c>
      <c r="J91" s="870"/>
      <c r="K91" s="865">
        <f>'Revenues-Per Capita &amp; SPED'!V127</f>
        <v>55</v>
      </c>
      <c r="L91" s="870"/>
      <c r="M91" s="865">
        <f>'Revenues-Per Capita &amp; SPED'!AB127</f>
        <v>55</v>
      </c>
    </row>
    <row r="92" spans="1:13" ht="13.5" thickBot="1" x14ac:dyDescent="0.25">
      <c r="B92" s="637" t="s">
        <v>195</v>
      </c>
      <c r="C92" s="4"/>
      <c r="D92" s="4"/>
      <c r="E92" s="866">
        <f>'Revenues-Per Capita &amp; SPED'!E128</f>
        <v>0</v>
      </c>
      <c r="F92" s="870"/>
      <c r="G92" s="866">
        <f>'Revenues-Per Capita &amp; SPED'!K128</f>
        <v>0</v>
      </c>
      <c r="H92" s="870"/>
      <c r="I92" s="865">
        <f>'Revenues-Per Capita &amp; SPED'!P128</f>
        <v>0</v>
      </c>
      <c r="J92" s="870"/>
      <c r="K92" s="865">
        <f>'Revenues-Per Capita &amp; SPED'!V128</f>
        <v>55</v>
      </c>
      <c r="L92" s="870"/>
      <c r="M92" s="865">
        <f>'Revenues-Per Capita &amp; SPED'!AB128</f>
        <v>55</v>
      </c>
    </row>
    <row r="93" spans="1:13" ht="13.5" thickBot="1" x14ac:dyDescent="0.25">
      <c r="B93" s="637" t="s">
        <v>196</v>
      </c>
      <c r="C93" s="4"/>
      <c r="D93" s="4"/>
      <c r="E93" s="866">
        <f>'Revenues-Per Capita &amp; SPED'!E129</f>
        <v>0</v>
      </c>
      <c r="F93" s="870"/>
      <c r="G93" s="866">
        <f>'Revenues-Per Capita &amp; SPED'!K129</f>
        <v>0</v>
      </c>
      <c r="H93" s="870"/>
      <c r="I93" s="865">
        <f>'Revenues-Per Capita &amp; SPED'!P129</f>
        <v>0</v>
      </c>
      <c r="J93" s="870"/>
      <c r="K93" s="865">
        <f>'Revenues-Per Capita &amp; SPED'!V129</f>
        <v>55</v>
      </c>
      <c r="L93" s="870"/>
      <c r="M93" s="865">
        <f>'Revenues-Per Capita &amp; SPED'!AB129</f>
        <v>55</v>
      </c>
    </row>
    <row r="94" spans="1:13" ht="13.5" thickBot="1" x14ac:dyDescent="0.25">
      <c r="B94" s="635" t="s">
        <v>200</v>
      </c>
      <c r="C94" s="4"/>
      <c r="D94" s="4"/>
      <c r="E94" s="635">
        <f>SUM(E90:E93)</f>
        <v>0</v>
      </c>
      <c r="F94" s="870"/>
      <c r="G94" s="635">
        <f>SUM(G90:G93)</f>
        <v>0</v>
      </c>
      <c r="H94" s="870"/>
      <c r="I94" s="635">
        <f>SUM(I90:I93)</f>
        <v>0</v>
      </c>
      <c r="J94" s="870"/>
      <c r="K94" s="635">
        <f>SUM(K90:K93)</f>
        <v>165</v>
      </c>
      <c r="L94" s="870"/>
      <c r="M94" s="635">
        <f>SUM(M90:M93)</f>
        <v>165</v>
      </c>
    </row>
    <row r="95" spans="1:13" ht="13.5" thickBot="1" x14ac:dyDescent="0.25">
      <c r="B95" s="638" t="s">
        <v>304</v>
      </c>
      <c r="C95" s="4"/>
      <c r="D95" s="4"/>
      <c r="E95" s="635" t="s">
        <v>207</v>
      </c>
      <c r="F95" s="867"/>
      <c r="G95" s="931" t="s">
        <v>203</v>
      </c>
      <c r="H95" s="867"/>
      <c r="I95" s="931" t="s">
        <v>203</v>
      </c>
      <c r="J95" s="867"/>
      <c r="K95" s="931" t="s">
        <v>203</v>
      </c>
      <c r="L95" s="867"/>
      <c r="M95" s="931" t="s">
        <v>203</v>
      </c>
    </row>
    <row r="96" spans="1:13" ht="13.5" thickBot="1" x14ac:dyDescent="0.25">
      <c r="B96" s="640"/>
      <c r="C96" s="4"/>
      <c r="D96" s="4"/>
      <c r="E96" s="312"/>
      <c r="F96" s="312"/>
      <c r="G96" s="312"/>
      <c r="H96" s="312"/>
      <c r="I96" s="312"/>
      <c r="J96" s="312"/>
      <c r="K96" s="312"/>
      <c r="L96" s="312"/>
      <c r="M96" s="312">
        <f>+A53</f>
        <v>0</v>
      </c>
    </row>
    <row r="97" spans="2:13" ht="13.5" thickBot="1" x14ac:dyDescent="0.25">
      <c r="B97" s="431" t="s">
        <v>38</v>
      </c>
      <c r="C97" s="4"/>
      <c r="D97" s="112"/>
      <c r="E97" s="635">
        <f>E85+E94</f>
        <v>0</v>
      </c>
      <c r="F97" s="870"/>
      <c r="G97" s="635">
        <f>G85+G94</f>
        <v>0</v>
      </c>
      <c r="H97" s="870"/>
      <c r="I97" s="635">
        <f>I85+I94</f>
        <v>0</v>
      </c>
      <c r="J97" s="870"/>
      <c r="K97" s="635">
        <f>K85+K94</f>
        <v>165</v>
      </c>
      <c r="L97" s="870"/>
      <c r="M97" s="635">
        <f>M85+M94</f>
        <v>165</v>
      </c>
    </row>
    <row r="98" spans="2:13" x14ac:dyDescent="0.2">
      <c r="B98" s="311"/>
      <c r="C98" s="4"/>
      <c r="D98" s="4"/>
      <c r="E98" s="312"/>
      <c r="F98" s="312"/>
      <c r="G98" s="312"/>
      <c r="H98" s="312"/>
      <c r="I98" s="312"/>
      <c r="J98" s="312"/>
      <c r="K98" s="312"/>
      <c r="L98" s="312"/>
      <c r="M98" s="312"/>
    </row>
    <row r="99" spans="2:13" ht="13.5" thickBot="1" x14ac:dyDescent="0.25"/>
    <row r="100" spans="2:13" ht="13.5" thickBot="1" x14ac:dyDescent="0.25">
      <c r="B100" s="399" t="s">
        <v>199</v>
      </c>
    </row>
    <row r="101" spans="2:13" ht="13.5" thickBot="1" x14ac:dyDescent="0.25">
      <c r="B101" s="399" t="s">
        <v>203</v>
      </c>
    </row>
  </sheetData>
  <sheetProtection password="CC59" sheet="1" formatColumns="0" formatRows="0"/>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ageMargins left="0.7" right="0.7" top="0.75" bottom="0.75" header="0.3" footer="0.3"/>
  <pageSetup scale="55" orientation="landscape"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topLeftCell="C163" workbookViewId="0">
      <selection activeCell="R165" sqref="R165"/>
    </sheetView>
  </sheetViews>
  <sheetFormatPr defaultRowHeight="12.75" x14ac:dyDescent="0.2"/>
  <cols>
    <col min="1" max="1" width="76" customWidth="1"/>
    <col min="2" max="2" width="4.85546875" customWidth="1"/>
    <col min="3" max="6" width="17.140625" style="221"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37" customWidth="1"/>
    <col min="18" max="18" width="18.7109375" customWidth="1"/>
    <col min="19" max="19" width="3.42578125" style="337" customWidth="1"/>
    <col min="20" max="20" width="18.7109375" customWidth="1"/>
  </cols>
  <sheetData>
    <row r="1" spans="1:20" ht="15.75" thickBot="1" x14ac:dyDescent="0.25">
      <c r="A1" s="696" t="s">
        <v>346</v>
      </c>
      <c r="B1" s="12"/>
      <c r="C1" s="293"/>
      <c r="D1" s="293"/>
      <c r="E1" s="293"/>
      <c r="F1" s="293"/>
      <c r="G1" s="12"/>
      <c r="H1" s="12"/>
      <c r="I1" s="12"/>
      <c r="J1" s="13"/>
      <c r="K1" s="13"/>
      <c r="L1" s="13"/>
      <c r="M1" s="13"/>
      <c r="N1" s="13"/>
      <c r="O1" s="13"/>
      <c r="P1" s="13"/>
      <c r="Q1" s="323"/>
      <c r="R1" s="14"/>
      <c r="S1" s="341"/>
    </row>
    <row r="2" spans="1:20" ht="22.5" customHeight="1" thickBot="1" x14ac:dyDescent="0.25">
      <c r="A2" s="1028" t="s">
        <v>727</v>
      </c>
      <c r="B2" s="15"/>
      <c r="C2" s="294"/>
      <c r="D2" s="294"/>
      <c r="E2" s="294"/>
      <c r="F2" s="294"/>
      <c r="G2" s="15"/>
      <c r="H2" s="15"/>
      <c r="I2" s="15"/>
      <c r="J2" s="16"/>
      <c r="K2" s="16"/>
      <c r="L2" s="16"/>
      <c r="M2" s="16"/>
      <c r="N2" s="16"/>
      <c r="O2" s="16"/>
      <c r="P2" s="16"/>
      <c r="Q2" s="324"/>
      <c r="R2" s="14"/>
      <c r="S2" s="341"/>
    </row>
    <row r="3" spans="1:20" ht="15" x14ac:dyDescent="0.2">
      <c r="A3" s="15"/>
      <c r="B3" s="15"/>
      <c r="C3" s="294"/>
      <c r="D3" s="294"/>
      <c r="E3" s="294"/>
      <c r="F3" s="294"/>
      <c r="G3" s="15"/>
      <c r="H3" s="15"/>
      <c r="I3" s="15"/>
      <c r="J3" s="17"/>
      <c r="K3" s="17"/>
      <c r="L3" s="17"/>
      <c r="M3" s="17"/>
      <c r="N3" s="17"/>
      <c r="O3" s="17"/>
      <c r="P3" s="17"/>
      <c r="Q3" s="325"/>
      <c r="R3" s="18"/>
      <c r="S3" s="342"/>
    </row>
    <row r="4" spans="1:20" ht="15.75" x14ac:dyDescent="0.2">
      <c r="A4" s="326"/>
      <c r="B4" s="20"/>
      <c r="C4" s="20"/>
      <c r="D4" s="20"/>
      <c r="E4" s="20"/>
      <c r="F4" s="20"/>
      <c r="G4" s="20"/>
      <c r="H4" s="20"/>
      <c r="I4" s="20"/>
      <c r="J4" s="20"/>
      <c r="K4" s="20"/>
      <c r="L4" s="20"/>
      <c r="M4" s="20"/>
      <c r="N4" s="20"/>
      <c r="O4" s="19"/>
      <c r="P4" s="19"/>
      <c r="Q4" s="326"/>
      <c r="R4" s="19"/>
      <c r="S4" s="341"/>
    </row>
    <row r="5" spans="1:20" ht="23.25" x14ac:dyDescent="0.35">
      <c r="A5" s="936"/>
      <c r="B5" s="9"/>
      <c r="C5" s="295"/>
      <c r="D5" s="295"/>
      <c r="E5" s="295"/>
      <c r="F5" s="295"/>
      <c r="G5" s="9"/>
      <c r="H5" s="9"/>
      <c r="I5" s="9"/>
      <c r="J5" s="10"/>
      <c r="K5" s="10"/>
      <c r="L5" s="10"/>
      <c r="M5" s="10"/>
      <c r="N5" s="10"/>
      <c r="O5" s="10"/>
      <c r="P5" s="1006"/>
      <c r="Q5" s="327"/>
      <c r="R5" s="21"/>
      <c r="S5" s="328"/>
    </row>
    <row r="6" spans="1:20" ht="16.5" customHeight="1" thickBot="1" x14ac:dyDescent="0.4">
      <c r="A6" s="21"/>
      <c r="B6" s="21"/>
      <c r="C6" s="296"/>
      <c r="D6" s="296"/>
      <c r="E6" s="296"/>
      <c r="F6" s="296"/>
      <c r="G6" s="21"/>
      <c r="H6" s="21"/>
      <c r="I6" s="21"/>
      <c r="R6" s="707"/>
      <c r="T6" s="707"/>
    </row>
    <row r="7" spans="1:20" ht="30" customHeight="1" thickBot="1" x14ac:dyDescent="0.3">
      <c r="A7" s="72"/>
      <c r="B7" s="70"/>
      <c r="C7" s="1268" t="s">
        <v>206</v>
      </c>
      <c r="D7" s="1271" t="s">
        <v>208</v>
      </c>
      <c r="E7" s="1274" t="s">
        <v>224</v>
      </c>
      <c r="F7" s="1274" t="s">
        <v>223</v>
      </c>
      <c r="G7" s="70"/>
      <c r="H7" s="1277" t="s">
        <v>211</v>
      </c>
      <c r="I7" s="70"/>
      <c r="J7" s="1266" t="s">
        <v>578</v>
      </c>
    </row>
    <row r="8" spans="1:20" ht="31.5" customHeight="1" thickBot="1" x14ac:dyDescent="0.4">
      <c r="A8" s="2"/>
      <c r="B8" s="70"/>
      <c r="C8" s="1269"/>
      <c r="D8" s="1272"/>
      <c r="E8" s="1275"/>
      <c r="F8" s="1275"/>
      <c r="G8" s="70"/>
      <c r="H8" s="1278"/>
      <c r="I8" s="70"/>
      <c r="J8" s="1267"/>
      <c r="K8" s="21"/>
      <c r="L8" s="1263" t="s">
        <v>507</v>
      </c>
      <c r="M8" s="1264"/>
      <c r="N8" s="1264"/>
      <c r="O8" s="1264"/>
      <c r="P8" s="1264"/>
      <c r="Q8" s="1264"/>
      <c r="R8" s="1264"/>
      <c r="S8" s="1264"/>
      <c r="T8" s="1265"/>
    </row>
    <row r="9" spans="1:20" ht="23.25" thickBot="1" x14ac:dyDescent="0.35">
      <c r="A9" s="290" t="s">
        <v>176</v>
      </c>
      <c r="B9" s="2"/>
      <c r="C9" s="1270"/>
      <c r="D9" s="1273"/>
      <c r="E9" s="1276"/>
      <c r="F9" s="1276"/>
      <c r="G9" s="2"/>
      <c r="H9" s="1279"/>
      <c r="I9" s="2"/>
      <c r="J9" s="1008">
        <f>2016</f>
        <v>2016</v>
      </c>
      <c r="K9" s="70"/>
      <c r="L9" s="364">
        <f>J9+1</f>
        <v>2017</v>
      </c>
      <c r="M9" s="329"/>
      <c r="N9" s="364">
        <f>L9+1</f>
        <v>2018</v>
      </c>
      <c r="O9" s="329"/>
      <c r="P9" s="364">
        <f>N9+1</f>
        <v>2019</v>
      </c>
      <c r="Q9" s="329"/>
      <c r="R9" s="364">
        <f>P9+1</f>
        <v>2020</v>
      </c>
      <c r="S9" s="343"/>
      <c r="T9" s="364">
        <f>R9+1</f>
        <v>2021</v>
      </c>
    </row>
    <row r="10" spans="1:20" ht="18.75" thickBot="1" x14ac:dyDescent="0.3">
      <c r="A10" s="455" t="s">
        <v>571</v>
      </c>
      <c r="B10" s="24"/>
      <c r="C10" s="491" t="s">
        <v>207</v>
      </c>
      <c r="D10" s="491" t="s">
        <v>207</v>
      </c>
      <c r="E10" s="491" t="s">
        <v>207</v>
      </c>
      <c r="F10" s="491" t="s">
        <v>207</v>
      </c>
      <c r="G10" s="24"/>
      <c r="H10" s="348"/>
      <c r="I10" s="24"/>
      <c r="J10" s="365">
        <v>0</v>
      </c>
      <c r="K10" s="71"/>
      <c r="L10" s="365">
        <f>'Revenues-Per Capita &amp; SPED'!B50</f>
        <v>0</v>
      </c>
      <c r="N10" s="365">
        <f>'Revenues-Per Capita &amp; SPED'!H50</f>
        <v>0</v>
      </c>
      <c r="P10" s="365">
        <f>'Revenues-Per Capita &amp; SPED'!M50</f>
        <v>0</v>
      </c>
      <c r="R10" s="365">
        <f>'Revenues-Per Capita &amp; SPED'!S50</f>
        <v>0</v>
      </c>
      <c r="T10" s="365">
        <f>'Revenues-Per Capita &amp; SPED'!Y50</f>
        <v>0</v>
      </c>
    </row>
    <row r="11" spans="1:20" ht="16.5" thickBot="1" x14ac:dyDescent="0.3">
      <c r="A11" s="456" t="s">
        <v>572</v>
      </c>
      <c r="B11" s="24"/>
      <c r="C11" s="491" t="s">
        <v>207</v>
      </c>
      <c r="D11" s="491" t="s">
        <v>207</v>
      </c>
      <c r="E11" s="491" t="s">
        <v>207</v>
      </c>
      <c r="F11" s="491" t="s">
        <v>207</v>
      </c>
      <c r="G11" s="24"/>
      <c r="H11" s="348"/>
      <c r="I11" s="24"/>
      <c r="J11" s="365">
        <v>0</v>
      </c>
      <c r="K11" s="25"/>
      <c r="L11" s="365">
        <f>'Revenues-Per Capita &amp; SPED'!B86</f>
        <v>0</v>
      </c>
      <c r="M11" s="26"/>
      <c r="N11" s="365">
        <f>'Revenues-Per Capita &amp; SPED'!H86</f>
        <v>0</v>
      </c>
      <c r="O11" s="26"/>
      <c r="P11" s="365">
        <f>'Revenues-Per Capita &amp; SPED'!M86</f>
        <v>0</v>
      </c>
      <c r="Q11" s="330"/>
      <c r="R11" s="365">
        <f>'Revenues-Per Capita &amp; SPED'!S86</f>
        <v>0</v>
      </c>
      <c r="S11" s="344"/>
      <c r="T11" s="365">
        <f>'Revenues-Per Capita &amp; SPED'!Y86</f>
        <v>0</v>
      </c>
    </row>
    <row r="12" spans="1:20" ht="32.25" thickBot="1" x14ac:dyDescent="0.3">
      <c r="A12" s="457" t="s">
        <v>573</v>
      </c>
      <c r="B12" s="24"/>
      <c r="C12" s="491" t="s">
        <v>207</v>
      </c>
      <c r="D12" s="491" t="s">
        <v>207</v>
      </c>
      <c r="E12" s="491" t="s">
        <v>207</v>
      </c>
      <c r="F12" s="491" t="s">
        <v>207</v>
      </c>
      <c r="G12" s="24"/>
      <c r="H12" s="348"/>
      <c r="I12" s="24"/>
      <c r="J12" s="365">
        <v>0</v>
      </c>
      <c r="K12" s="25"/>
      <c r="L12" s="365">
        <f>'Revenues-Per Capita &amp; SPED'!B118</f>
        <v>0</v>
      </c>
      <c r="M12" s="26"/>
      <c r="N12" s="365">
        <f>'Revenues-Per Capita &amp; SPED'!H118</f>
        <v>0</v>
      </c>
      <c r="O12" s="26"/>
      <c r="P12" s="365">
        <f>'Revenues-Per Capita &amp; SPED'!M118</f>
        <v>0</v>
      </c>
      <c r="Q12" s="330"/>
      <c r="R12" s="365">
        <f>'Revenues-Per Capita &amp; SPED'!S118</f>
        <v>0</v>
      </c>
      <c r="S12" s="344"/>
      <c r="T12" s="365">
        <f>'Revenues-Per Capita &amp; SPED'!Y118</f>
        <v>0</v>
      </c>
    </row>
    <row r="13" spans="1:20" ht="16.5" thickBot="1" x14ac:dyDescent="0.3">
      <c r="A13" s="456" t="s">
        <v>574</v>
      </c>
      <c r="B13" s="24"/>
      <c r="C13" s="491" t="s">
        <v>207</v>
      </c>
      <c r="D13" s="491" t="s">
        <v>207</v>
      </c>
      <c r="E13" s="491" t="s">
        <v>207</v>
      </c>
      <c r="F13" s="491" t="s">
        <v>207</v>
      </c>
      <c r="G13" s="24"/>
      <c r="H13" s="348"/>
      <c r="I13" s="24"/>
      <c r="J13" s="365">
        <v>0</v>
      </c>
      <c r="K13" s="25"/>
      <c r="L13" s="365">
        <f>'Revenues-Per Capita &amp; SPED'!B150</f>
        <v>0</v>
      </c>
      <c r="M13" s="26"/>
      <c r="N13" s="365">
        <f>'Revenues-Per Capita &amp; SPED'!H150</f>
        <v>0</v>
      </c>
      <c r="O13" s="26"/>
      <c r="P13" s="365">
        <f>'Revenues-Per Capita &amp; SPED'!M150</f>
        <v>0</v>
      </c>
      <c r="Q13" s="330"/>
      <c r="R13" s="365">
        <f>'Revenues-Per Capita &amp; SPED'!S150</f>
        <v>1413481.5089999998</v>
      </c>
      <c r="S13" s="344"/>
      <c r="T13" s="365">
        <f>'Revenues-Per Capita &amp; SPED'!Y150</f>
        <v>1413481.5089999998</v>
      </c>
    </row>
    <row r="14" spans="1:20" ht="16.5" thickBot="1" x14ac:dyDescent="0.3">
      <c r="A14" s="456" t="s">
        <v>31</v>
      </c>
      <c r="B14" s="24"/>
      <c r="C14" s="491" t="s">
        <v>207</v>
      </c>
      <c r="D14" s="491" t="s">
        <v>207</v>
      </c>
      <c r="E14" s="491" t="s">
        <v>207</v>
      </c>
      <c r="F14" s="491" t="s">
        <v>207</v>
      </c>
      <c r="G14" s="24"/>
      <c r="H14" s="348"/>
      <c r="I14" s="24"/>
      <c r="J14" s="365">
        <v>0</v>
      </c>
      <c r="K14" s="25"/>
      <c r="L14" s="365">
        <f>125000*0.95</f>
        <v>118750</v>
      </c>
      <c r="M14" s="26"/>
      <c r="N14" s="365">
        <v>0</v>
      </c>
      <c r="O14" s="26"/>
      <c r="P14" s="365">
        <v>0</v>
      </c>
      <c r="Q14" s="330"/>
      <c r="R14" s="365">
        <v>0</v>
      </c>
      <c r="S14" s="344"/>
      <c r="T14" s="365">
        <v>0</v>
      </c>
    </row>
    <row r="15" spans="1:20" ht="16.5" thickBot="1" x14ac:dyDescent="0.3">
      <c r="A15" s="456" t="s">
        <v>32</v>
      </c>
      <c r="B15" s="24"/>
      <c r="C15" s="491" t="s">
        <v>207</v>
      </c>
      <c r="D15" s="491" t="s">
        <v>207</v>
      </c>
      <c r="E15" s="491" t="s">
        <v>207</v>
      </c>
      <c r="F15" s="491" t="s">
        <v>207</v>
      </c>
      <c r="G15" s="24"/>
      <c r="H15" s="348"/>
      <c r="I15" s="24"/>
      <c r="J15" s="365">
        <v>0</v>
      </c>
      <c r="K15" s="25"/>
      <c r="L15" s="423">
        <f>'Revenues-Fed, State, &amp; Expan. '!E43</f>
        <v>0</v>
      </c>
      <c r="M15" s="424"/>
      <c r="N15" s="423">
        <f>'Revenues-Fed, State, &amp; Expan. '!G43</f>
        <v>0</v>
      </c>
      <c r="O15" s="424"/>
      <c r="P15" s="423">
        <f>'Revenues-Fed, State, &amp; Expan. '!I43</f>
        <v>0</v>
      </c>
      <c r="Q15" s="425"/>
      <c r="R15" s="423">
        <f>'Revenues-Fed, State, &amp; Expan. '!K43</f>
        <v>0</v>
      </c>
      <c r="S15" s="426"/>
      <c r="T15" s="423">
        <f>'Revenues-Fed, State, &amp; Expan. '!M43</f>
        <v>0</v>
      </c>
    </row>
    <row r="16" spans="1:20" ht="16.5" thickBot="1" x14ac:dyDescent="0.3">
      <c r="A16" s="456" t="s">
        <v>205</v>
      </c>
      <c r="B16" s="24"/>
      <c r="C16" s="491" t="s">
        <v>207</v>
      </c>
      <c r="D16" s="491" t="s">
        <v>207</v>
      </c>
      <c r="E16" s="491" t="s">
        <v>207</v>
      </c>
      <c r="F16" s="491" t="s">
        <v>207</v>
      </c>
      <c r="G16" s="24"/>
      <c r="H16" s="348"/>
      <c r="I16" s="24"/>
      <c r="J16" s="365">
        <v>0</v>
      </c>
      <c r="K16" s="25"/>
      <c r="L16" s="365">
        <f>'Revenues-Per Capita &amp; SPED'!B170</f>
        <v>0</v>
      </c>
      <c r="M16" s="26"/>
      <c r="N16" s="365">
        <f>'Revenues-Per Capita &amp; SPED'!H170</f>
        <v>0</v>
      </c>
      <c r="O16" s="26"/>
      <c r="P16" s="365">
        <f>'Revenues-Per Capita &amp; SPED'!M170</f>
        <v>0</v>
      </c>
      <c r="Q16" s="330"/>
      <c r="R16" s="365">
        <f>'Revenues-Per Capita &amp; SPED'!S170</f>
        <v>123750</v>
      </c>
      <c r="S16" s="344"/>
      <c r="T16" s="365">
        <f>'Revenues-Per Capita &amp; SPED'!Y170</f>
        <v>123750</v>
      </c>
    </row>
    <row r="17" spans="1:20" ht="16.5" thickBot="1" x14ac:dyDescent="0.3">
      <c r="A17" s="456" t="s">
        <v>10</v>
      </c>
      <c r="B17" s="24"/>
      <c r="C17" s="491" t="s">
        <v>207</v>
      </c>
      <c r="D17" s="491" t="s">
        <v>207</v>
      </c>
      <c r="E17" s="491" t="s">
        <v>207</v>
      </c>
      <c r="F17" s="491" t="s">
        <v>207</v>
      </c>
      <c r="G17" s="24"/>
      <c r="H17" s="348"/>
      <c r="I17" s="24"/>
      <c r="J17" s="365">
        <v>0</v>
      </c>
      <c r="K17" s="25"/>
      <c r="L17" s="365">
        <f>'Revenues-Fed, State, &amp; Expan. '!E13</f>
        <v>0</v>
      </c>
      <c r="M17" s="26"/>
      <c r="N17" s="365">
        <f>'Revenues-Fed, State, &amp; Expan. '!G13</f>
        <v>0</v>
      </c>
      <c r="O17" s="26"/>
      <c r="P17" s="365">
        <f>'Revenues-Fed, State, &amp; Expan. '!I13</f>
        <v>0</v>
      </c>
      <c r="Q17" s="330"/>
      <c r="R17" s="365">
        <f>'Revenues-Fed, State, &amp; Expan. '!K13</f>
        <v>122706</v>
      </c>
      <c r="S17" s="344"/>
      <c r="T17" s="365">
        <f>'Revenues-Fed, State, &amp; Expan. '!M13</f>
        <v>122706</v>
      </c>
    </row>
    <row r="18" spans="1:20" ht="16.5" thickBot="1" x14ac:dyDescent="0.3">
      <c r="A18" s="456" t="s">
        <v>87</v>
      </c>
      <c r="B18" s="24"/>
      <c r="C18" s="491" t="s">
        <v>207</v>
      </c>
      <c r="D18" s="491" t="s">
        <v>207</v>
      </c>
      <c r="E18" s="491" t="s">
        <v>207</v>
      </c>
      <c r="F18" s="491" t="s">
        <v>207</v>
      </c>
      <c r="G18" s="24"/>
      <c r="H18" s="348"/>
      <c r="I18" s="24"/>
      <c r="J18" s="365">
        <v>0</v>
      </c>
      <c r="K18" s="25"/>
      <c r="L18" s="365" t="e">
        <f>'Revenues-Fed, State, &amp; Expan. '!E24</f>
        <v>#DIV/0!</v>
      </c>
      <c r="M18" s="26"/>
      <c r="N18" s="365" t="e">
        <f>'Revenues-Fed, State, &amp; Expan. '!G24</f>
        <v>#DIV/0!</v>
      </c>
      <c r="O18" s="26"/>
      <c r="P18" s="365" t="e">
        <f>'Revenues-Fed, State, &amp; Expan. '!I24</f>
        <v>#DIV/0!</v>
      </c>
      <c r="Q18" s="330"/>
      <c r="R18" s="365">
        <f>'Revenues-Fed, State, &amp; Expan. '!K24</f>
        <v>73416</v>
      </c>
      <c r="S18" s="344"/>
      <c r="T18" s="365">
        <f>'Revenues-Fed, State, &amp; Expan. '!M24</f>
        <v>73416</v>
      </c>
    </row>
    <row r="19" spans="1:20" ht="16.5" thickBot="1" x14ac:dyDescent="0.3">
      <c r="A19" s="456" t="s">
        <v>581</v>
      </c>
      <c r="B19" s="24"/>
      <c r="C19" s="491" t="s">
        <v>207</v>
      </c>
      <c r="D19" s="491" t="s">
        <v>207</v>
      </c>
      <c r="E19" s="491" t="s">
        <v>207</v>
      </c>
      <c r="F19" s="491" t="s">
        <v>207</v>
      </c>
      <c r="G19" s="24"/>
      <c r="H19" s="348"/>
      <c r="I19" s="24"/>
      <c r="J19" s="365">
        <v>0</v>
      </c>
      <c r="K19" s="25"/>
      <c r="L19" s="365">
        <f>'Revenues-Fed, State, &amp; Expan. '!E30</f>
        <v>0</v>
      </c>
      <c r="M19" s="26"/>
      <c r="N19" s="365">
        <f>'Revenues-Fed, State, &amp; Expan. '!G30</f>
        <v>0</v>
      </c>
      <c r="O19" s="26"/>
      <c r="P19" s="365">
        <f>'Revenues-Fed, State, &amp; Expan. '!I30</f>
        <v>0</v>
      </c>
      <c r="Q19" s="330"/>
      <c r="R19" s="365">
        <f>'Revenues-Fed, State, &amp; Expan. '!K30</f>
        <v>10560</v>
      </c>
      <c r="S19" s="344"/>
      <c r="T19" s="365">
        <f>'Revenues-Fed, State, &amp; Expan. '!M30</f>
        <v>10560</v>
      </c>
    </row>
    <row r="20" spans="1:20" ht="16.5" thickBot="1" x14ac:dyDescent="0.3">
      <c r="A20" s="456" t="s">
        <v>11</v>
      </c>
      <c r="B20" s="24"/>
      <c r="C20" s="491" t="s">
        <v>207</v>
      </c>
      <c r="D20" s="491" t="s">
        <v>207</v>
      </c>
      <c r="E20" s="491" t="s">
        <v>207</v>
      </c>
      <c r="F20" s="491" t="s">
        <v>207</v>
      </c>
      <c r="G20" s="24"/>
      <c r="H20" s="348"/>
      <c r="I20" s="24"/>
      <c r="J20" s="365">
        <v>0</v>
      </c>
      <c r="K20" s="25"/>
      <c r="L20" s="365">
        <f>'Revenues-Fed, State, &amp; Expan. '!E70</f>
        <v>0</v>
      </c>
      <c r="M20" s="26"/>
      <c r="N20" s="365">
        <f>'Revenues-Fed, State, &amp; Expan. '!G70</f>
        <v>0</v>
      </c>
      <c r="O20" s="26"/>
      <c r="P20" s="365">
        <f>'Revenues-Fed, State, &amp; Expan. '!I70</f>
        <v>0</v>
      </c>
      <c r="Q20" s="330"/>
      <c r="R20" s="365">
        <f>'Revenues-Fed, State, &amp; Expan. '!K70</f>
        <v>0</v>
      </c>
      <c r="S20" s="344"/>
      <c r="T20" s="365">
        <f>'Revenues-Fed, State, &amp; Expan. '!M70</f>
        <v>0</v>
      </c>
    </row>
    <row r="21" spans="1:20" ht="16.5" thickBot="1" x14ac:dyDescent="0.3">
      <c r="A21" s="456" t="s">
        <v>88</v>
      </c>
      <c r="B21" s="24"/>
      <c r="C21" s="491" t="s">
        <v>207</v>
      </c>
      <c r="D21" s="491" t="s">
        <v>207</v>
      </c>
      <c r="E21" s="491" t="s">
        <v>207</v>
      </c>
      <c r="F21" s="491" t="s">
        <v>207</v>
      </c>
      <c r="G21" s="24"/>
      <c r="H21" s="348"/>
      <c r="I21" s="24"/>
      <c r="J21" s="365">
        <v>0</v>
      </c>
      <c r="K21" s="26"/>
      <c r="L21" s="365">
        <f>'Revenues-Per Capita &amp; SPED'!C239</f>
        <v>0</v>
      </c>
      <c r="M21" s="26"/>
      <c r="N21" s="365">
        <f>'Revenues-Per Capita &amp; SPED'!I239</f>
        <v>0</v>
      </c>
      <c r="O21" s="26"/>
      <c r="P21" s="365">
        <f>'Revenues-Per Capita &amp; SPED'!N239</f>
        <v>0</v>
      </c>
      <c r="Q21" s="330"/>
      <c r="R21" s="365">
        <f>'Revenues-Per Capita &amp; SPED'!T239</f>
        <v>163282.5</v>
      </c>
      <c r="S21" s="344"/>
      <c r="T21" s="365">
        <f>'Revenues-Per Capita &amp; SPED'!Z239</f>
        <v>166548.15</v>
      </c>
    </row>
    <row r="22" spans="1:20" ht="16.5" thickBot="1" x14ac:dyDescent="0.3">
      <c r="A22" s="456" t="s">
        <v>347</v>
      </c>
      <c r="B22" s="24"/>
      <c r="C22" s="491" t="s">
        <v>207</v>
      </c>
      <c r="D22" s="491" t="s">
        <v>207</v>
      </c>
      <c r="E22" s="491" t="s">
        <v>207</v>
      </c>
      <c r="F22" s="491" t="s">
        <v>207</v>
      </c>
      <c r="G22" s="24"/>
      <c r="H22" s="348"/>
      <c r="I22" s="24"/>
      <c r="J22" s="365">
        <v>152000</v>
      </c>
      <c r="K22" s="26"/>
      <c r="L22" s="365">
        <v>0</v>
      </c>
      <c r="M22" s="26"/>
      <c r="N22" s="365">
        <v>0</v>
      </c>
      <c r="O22" s="26"/>
      <c r="P22" s="365">
        <v>0</v>
      </c>
      <c r="Q22" s="330"/>
      <c r="R22" s="365">
        <v>0</v>
      </c>
      <c r="S22" s="344"/>
      <c r="T22" s="365">
        <v>0</v>
      </c>
    </row>
    <row r="23" spans="1:20" ht="48" thickBot="1" x14ac:dyDescent="0.3">
      <c r="A23" s="456" t="s">
        <v>26</v>
      </c>
      <c r="B23" s="24"/>
      <c r="C23" s="491" t="s">
        <v>207</v>
      </c>
      <c r="D23" s="491" t="s">
        <v>207</v>
      </c>
      <c r="E23" s="491" t="s">
        <v>207</v>
      </c>
      <c r="F23" s="491" t="s">
        <v>207</v>
      </c>
      <c r="G23" s="24"/>
      <c r="H23" s="1025" t="s">
        <v>596</v>
      </c>
      <c r="I23" s="24"/>
      <c r="J23" s="23">
        <v>0</v>
      </c>
      <c r="K23" s="26"/>
      <c r="L23" s="23">
        <v>0</v>
      </c>
      <c r="M23" s="26"/>
      <c r="N23" s="23">
        <v>0</v>
      </c>
      <c r="O23" s="26"/>
      <c r="P23" s="23">
        <v>0</v>
      </c>
      <c r="Q23" s="330"/>
      <c r="R23" s="23">
        <v>275000</v>
      </c>
      <c r="S23" s="344"/>
      <c r="T23" s="23">
        <v>91667</v>
      </c>
    </row>
    <row r="24" spans="1:20" ht="48" thickBot="1" x14ac:dyDescent="0.3">
      <c r="A24" s="456" t="s">
        <v>8</v>
      </c>
      <c r="B24" s="24"/>
      <c r="C24" s="491" t="s">
        <v>207</v>
      </c>
      <c r="D24" s="491" t="s">
        <v>207</v>
      </c>
      <c r="E24" s="491" t="s">
        <v>207</v>
      </c>
      <c r="F24" s="491" t="s">
        <v>207</v>
      </c>
      <c r="G24" s="24"/>
      <c r="H24" s="1033" t="s">
        <v>658</v>
      </c>
      <c r="I24" s="24"/>
      <c r="J24" s="23"/>
      <c r="K24" s="26"/>
      <c r="L24" s="23">
        <v>0</v>
      </c>
      <c r="M24" s="26"/>
      <c r="N24" s="1031">
        <v>0</v>
      </c>
      <c r="O24" s="26"/>
      <c r="P24" s="1031">
        <v>0</v>
      </c>
      <c r="Q24" s="330"/>
      <c r="R24" s="1031">
        <f>125*165</f>
        <v>20625</v>
      </c>
      <c r="S24" s="344"/>
      <c r="T24" s="1031">
        <f>125*165</f>
        <v>20625</v>
      </c>
    </row>
    <row r="25" spans="1:20" ht="48" thickBot="1" x14ac:dyDescent="0.3">
      <c r="A25" s="456" t="s">
        <v>54</v>
      </c>
      <c r="B25" s="24"/>
      <c r="C25" s="491" t="s">
        <v>207</v>
      </c>
      <c r="D25" s="491" t="s">
        <v>207</v>
      </c>
      <c r="E25" s="491" t="s">
        <v>207</v>
      </c>
      <c r="F25" s="491" t="s">
        <v>207</v>
      </c>
      <c r="G25" s="24"/>
      <c r="H25" s="1029" t="s">
        <v>597</v>
      </c>
      <c r="I25" s="24"/>
      <c r="J25" s="23"/>
      <c r="K25" s="26"/>
      <c r="L25" s="23"/>
      <c r="M25" s="26"/>
      <c r="N25" s="23"/>
      <c r="O25" s="26"/>
      <c r="P25" s="23"/>
      <c r="Q25" s="330"/>
      <c r="R25" s="23"/>
      <c r="S25" s="344"/>
      <c r="T25" s="23"/>
    </row>
    <row r="26" spans="1:20" ht="16.5" thickBot="1" x14ac:dyDescent="0.3">
      <c r="A26" s="456" t="s">
        <v>27</v>
      </c>
      <c r="B26" s="24"/>
      <c r="C26" s="491" t="s">
        <v>207</v>
      </c>
      <c r="D26" s="491" t="s">
        <v>207</v>
      </c>
      <c r="E26" s="491" t="s">
        <v>207</v>
      </c>
      <c r="F26" s="491" t="s">
        <v>207</v>
      </c>
      <c r="G26" s="24"/>
      <c r="H26" s="348"/>
      <c r="I26" s="24"/>
      <c r="J26" s="23"/>
      <c r="K26" s="26"/>
      <c r="L26" s="23"/>
      <c r="M26" s="26"/>
      <c r="N26" s="23"/>
      <c r="O26" s="26"/>
      <c r="P26" s="23"/>
      <c r="Q26" s="330"/>
      <c r="R26" s="23"/>
      <c r="S26" s="344"/>
      <c r="T26" s="23"/>
    </row>
    <row r="27" spans="1:20" ht="16.5" thickBot="1" x14ac:dyDescent="0.3">
      <c r="A27" s="456" t="s">
        <v>377</v>
      </c>
      <c r="B27" s="24"/>
      <c r="C27" s="491" t="s">
        <v>207</v>
      </c>
      <c r="D27" s="491" t="s">
        <v>207</v>
      </c>
      <c r="E27" s="491" t="s">
        <v>207</v>
      </c>
      <c r="F27" s="491" t="s">
        <v>207</v>
      </c>
      <c r="G27" s="24"/>
      <c r="H27" s="348"/>
      <c r="I27" s="24"/>
      <c r="J27" s="23"/>
      <c r="K27" s="26"/>
      <c r="L27" s="23"/>
      <c r="M27" s="26"/>
      <c r="N27" s="23"/>
      <c r="O27" s="26"/>
      <c r="P27" s="23"/>
      <c r="Q27" s="330"/>
      <c r="R27" s="23"/>
      <c r="S27" s="344"/>
      <c r="T27" s="23"/>
    </row>
    <row r="28" spans="1:20" ht="16.5" thickBot="1" x14ac:dyDescent="0.3">
      <c r="A28" s="161"/>
      <c r="B28" s="24"/>
      <c r="C28" s="491" t="s">
        <v>207</v>
      </c>
      <c r="D28" s="491" t="s">
        <v>207</v>
      </c>
      <c r="E28" s="491" t="s">
        <v>207</v>
      </c>
      <c r="F28" s="491" t="s">
        <v>207</v>
      </c>
      <c r="G28" s="24"/>
      <c r="H28" s="348"/>
      <c r="I28" s="24"/>
      <c r="J28" s="23"/>
      <c r="K28" s="26"/>
      <c r="L28" s="23"/>
      <c r="M28" s="26"/>
      <c r="N28" s="23"/>
      <c r="O28" s="26"/>
      <c r="P28" s="23"/>
      <c r="Q28" s="330"/>
      <c r="R28" s="23"/>
      <c r="S28" s="344"/>
      <c r="T28" s="23"/>
    </row>
    <row r="29" spans="1:20" ht="16.5" thickBot="1" x14ac:dyDescent="0.3">
      <c r="A29" s="161"/>
      <c r="B29" s="24"/>
      <c r="C29" s="491" t="s">
        <v>207</v>
      </c>
      <c r="D29" s="491" t="s">
        <v>207</v>
      </c>
      <c r="E29" s="491" t="s">
        <v>207</v>
      </c>
      <c r="F29" s="491" t="s">
        <v>207</v>
      </c>
      <c r="G29" s="24"/>
      <c r="H29" s="348"/>
      <c r="I29" s="24"/>
      <c r="J29" s="23"/>
      <c r="K29" s="26"/>
      <c r="L29" s="23"/>
      <c r="M29" s="26"/>
      <c r="N29" s="23"/>
      <c r="O29" s="26"/>
      <c r="P29" s="23"/>
      <c r="Q29" s="330"/>
      <c r="R29" s="23"/>
      <c r="S29" s="344"/>
      <c r="T29" s="23"/>
    </row>
    <row r="30" spans="1:20" ht="16.5" thickBot="1" x14ac:dyDescent="0.3">
      <c r="A30" s="161"/>
      <c r="B30" s="24"/>
      <c r="C30" s="491" t="s">
        <v>207</v>
      </c>
      <c r="D30" s="491" t="s">
        <v>207</v>
      </c>
      <c r="E30" s="491" t="s">
        <v>207</v>
      </c>
      <c r="F30" s="491" t="s">
        <v>207</v>
      </c>
      <c r="G30" s="24"/>
      <c r="H30" s="348"/>
      <c r="I30" s="24"/>
      <c r="J30" s="23"/>
      <c r="K30" s="26"/>
      <c r="L30" s="23"/>
      <c r="M30" s="26"/>
      <c r="N30" s="23"/>
      <c r="O30" s="26"/>
      <c r="P30" s="23"/>
      <c r="Q30" s="330"/>
      <c r="R30" s="23"/>
      <c r="S30" s="344"/>
      <c r="T30" s="23"/>
    </row>
    <row r="31" spans="1:20" ht="16.5" thickBot="1" x14ac:dyDescent="0.3">
      <c r="A31" s="161"/>
      <c r="B31" s="28"/>
      <c r="C31" s="491" t="s">
        <v>207</v>
      </c>
      <c r="D31" s="491" t="s">
        <v>207</v>
      </c>
      <c r="E31" s="491" t="s">
        <v>207</v>
      </c>
      <c r="F31" s="491" t="s">
        <v>207</v>
      </c>
      <c r="G31" s="28"/>
      <c r="H31" s="348"/>
      <c r="I31" s="28"/>
      <c r="J31" s="23"/>
      <c r="K31" s="26"/>
      <c r="L31" s="23"/>
      <c r="M31" s="26"/>
      <c r="N31" s="23"/>
      <c r="O31" s="26"/>
      <c r="P31" s="23"/>
      <c r="Q31" s="330"/>
      <c r="R31" s="23"/>
      <c r="S31" s="345"/>
      <c r="T31" s="23"/>
    </row>
    <row r="32" spans="1:20" ht="16.5" thickBot="1" x14ac:dyDescent="0.3">
      <c r="A32" s="161"/>
      <c r="B32" s="28"/>
      <c r="C32" s="491" t="s">
        <v>207</v>
      </c>
      <c r="D32" s="491" t="s">
        <v>207</v>
      </c>
      <c r="E32" s="491" t="s">
        <v>207</v>
      </c>
      <c r="F32" s="491" t="s">
        <v>207</v>
      </c>
      <c r="G32" s="28"/>
      <c r="H32" s="348"/>
      <c r="I32" s="28"/>
      <c r="J32" s="23"/>
      <c r="K32" s="26"/>
      <c r="L32" s="23"/>
      <c r="M32" s="26"/>
      <c r="N32" s="23"/>
      <c r="O32" s="26"/>
      <c r="P32" s="23"/>
      <c r="Q32" s="330"/>
      <c r="R32" s="23"/>
      <c r="S32" s="345"/>
      <c r="T32" s="23"/>
    </row>
    <row r="33" spans="1:20" ht="16.5" thickBot="1" x14ac:dyDescent="0.3">
      <c r="A33" s="161"/>
      <c r="B33" s="28"/>
      <c r="C33" s="491" t="s">
        <v>207</v>
      </c>
      <c r="D33" s="491" t="s">
        <v>207</v>
      </c>
      <c r="E33" s="491" t="s">
        <v>207</v>
      </c>
      <c r="F33" s="491" t="s">
        <v>207</v>
      </c>
      <c r="G33" s="28"/>
      <c r="H33" s="348"/>
      <c r="I33" s="28"/>
      <c r="J33" s="23"/>
      <c r="K33" s="26"/>
      <c r="L33" s="23"/>
      <c r="M33" s="26"/>
      <c r="N33" s="23"/>
      <c r="O33" s="26"/>
      <c r="P33" s="23"/>
      <c r="Q33" s="331"/>
      <c r="R33" s="23"/>
      <c r="S33" s="344"/>
      <c r="T33" s="23"/>
    </row>
    <row r="34" spans="1:20" ht="16.5" thickBot="1" x14ac:dyDescent="0.3">
      <c r="A34" s="22"/>
      <c r="B34" s="24"/>
      <c r="C34" s="297"/>
      <c r="D34" s="297"/>
      <c r="E34" s="297"/>
      <c r="F34" s="297"/>
      <c r="G34" s="24"/>
      <c r="H34" s="287"/>
      <c r="I34" s="24"/>
      <c r="J34" s="30"/>
      <c r="K34" s="30"/>
      <c r="L34" s="30"/>
      <c r="M34" s="30"/>
      <c r="N34" s="30"/>
      <c r="O34" s="30"/>
      <c r="P34" s="31"/>
      <c r="Q34" s="332"/>
      <c r="R34" s="32"/>
      <c r="S34" s="344"/>
      <c r="T34" s="32"/>
    </row>
    <row r="35" spans="1:20" ht="16.5" thickBot="1" x14ac:dyDescent="0.3">
      <c r="B35" s="33"/>
      <c r="C35" s="299"/>
      <c r="D35" s="299"/>
      <c r="E35" s="299"/>
      <c r="F35" s="299"/>
      <c r="G35" s="33"/>
      <c r="H35" s="370" t="s">
        <v>29</v>
      </c>
      <c r="I35" s="33"/>
      <c r="J35" s="484">
        <f>SUM(J10:J33)</f>
        <v>152000</v>
      </c>
      <c r="K35" s="356"/>
      <c r="L35" s="484" t="e">
        <f>SUM(L10:L33)</f>
        <v>#DIV/0!</v>
      </c>
      <c r="M35" s="356"/>
      <c r="N35" s="484" t="e">
        <f>SUM(N10:N33)</f>
        <v>#DIV/0!</v>
      </c>
      <c r="O35" s="356"/>
      <c r="P35" s="484" t="e">
        <f>SUM(P10:P33)</f>
        <v>#DIV/0!</v>
      </c>
      <c r="Q35" s="357"/>
      <c r="R35" s="484">
        <f>SUM(R10:R33)</f>
        <v>2202821.0089999996</v>
      </c>
      <c r="S35" s="358"/>
      <c r="T35" s="485">
        <f>SUM(T10:T33)</f>
        <v>2022753.6589999998</v>
      </c>
    </row>
    <row r="36" spans="1:20" ht="16.5" thickBot="1" x14ac:dyDescent="0.3">
      <c r="A36" s="27"/>
      <c r="B36" s="28"/>
      <c r="C36" s="298"/>
      <c r="D36" s="298"/>
      <c r="E36" s="298"/>
      <c r="F36" s="298"/>
      <c r="G36" s="28"/>
      <c r="H36" s="287"/>
      <c r="I36" s="28"/>
      <c r="J36" s="26"/>
      <c r="K36" s="26"/>
      <c r="L36" s="26"/>
      <c r="M36" s="26"/>
      <c r="N36" s="26"/>
      <c r="O36" s="26"/>
      <c r="P36" s="26"/>
      <c r="Q36" s="333"/>
      <c r="R36" s="34"/>
      <c r="S36" s="345"/>
      <c r="T36" s="34"/>
    </row>
    <row r="37" spans="1:20" ht="18" customHeight="1" x14ac:dyDescent="0.25">
      <c r="A37" s="291" t="s">
        <v>28</v>
      </c>
      <c r="B37" s="28"/>
      <c r="C37" s="1268" t="s">
        <v>206</v>
      </c>
      <c r="D37" s="1271" t="s">
        <v>208</v>
      </c>
      <c r="E37" s="1274" t="s">
        <v>224</v>
      </c>
      <c r="F37" s="1274" t="s">
        <v>223</v>
      </c>
      <c r="G37" s="28"/>
      <c r="H37" s="1277" t="s">
        <v>210</v>
      </c>
      <c r="I37" s="28"/>
      <c r="J37" s="26"/>
      <c r="K37" s="26"/>
      <c r="L37" s="26"/>
      <c r="M37" s="26"/>
      <c r="N37" s="26"/>
      <c r="O37" s="26"/>
      <c r="P37" s="26"/>
      <c r="Q37" s="333"/>
      <c r="R37" s="34"/>
      <c r="S37" s="344"/>
      <c r="T37" s="34"/>
    </row>
    <row r="38" spans="1:20" ht="32.25" customHeight="1" thickBot="1" x14ac:dyDescent="0.3">
      <c r="A38" s="22"/>
      <c r="B38" s="24"/>
      <c r="C38" s="1269"/>
      <c r="D38" s="1272"/>
      <c r="E38" s="1275"/>
      <c r="F38" s="1275"/>
      <c r="G38" s="24"/>
      <c r="H38" s="1278"/>
      <c r="I38" s="24"/>
      <c r="J38" s="36"/>
      <c r="K38" s="36"/>
      <c r="L38" s="36"/>
      <c r="M38" s="36"/>
      <c r="N38" s="36"/>
      <c r="O38" s="36"/>
      <c r="P38" s="36"/>
      <c r="Q38" s="334"/>
      <c r="R38" s="36"/>
      <c r="S38" s="344"/>
      <c r="T38" s="36"/>
    </row>
    <row r="39" spans="1:20" ht="18.75" thickBot="1" x14ac:dyDescent="0.3">
      <c r="A39" s="288" t="s">
        <v>9</v>
      </c>
      <c r="B39" s="38"/>
      <c r="C39" s="1270"/>
      <c r="D39" s="1273"/>
      <c r="E39" s="1276"/>
      <c r="F39" s="1276"/>
      <c r="G39" s="38"/>
      <c r="H39" s="1279"/>
      <c r="I39" s="38"/>
      <c r="J39" s="37"/>
      <c r="K39" s="39"/>
      <c r="L39" s="37"/>
      <c r="M39" s="39"/>
      <c r="N39" s="37"/>
      <c r="O39" s="39"/>
      <c r="P39" s="37"/>
      <c r="Q39" s="335"/>
      <c r="R39" s="32"/>
      <c r="S39" s="344"/>
      <c r="T39" s="32"/>
    </row>
    <row r="40" spans="1:20" ht="63.75" thickBot="1" x14ac:dyDescent="0.3">
      <c r="A40" s="712" t="s">
        <v>305</v>
      </c>
      <c r="B40" s="42"/>
      <c r="C40" s="698" t="s">
        <v>181</v>
      </c>
      <c r="D40" s="409">
        <v>25</v>
      </c>
      <c r="E40" s="491" t="s">
        <v>207</v>
      </c>
      <c r="F40" s="350">
        <v>0.02</v>
      </c>
      <c r="G40" s="42"/>
      <c r="H40" s="1082" t="s">
        <v>659</v>
      </c>
      <c r="I40" s="42"/>
      <c r="J40" s="41"/>
      <c r="K40" s="43"/>
      <c r="L40" s="51">
        <f>IF($C40="Per Employee",$L$175*$D40,IF($C40="Per Pupil",$D40*$L$177,IF($C40="Fixed Per Year",$D40,0)))</f>
        <v>0</v>
      </c>
      <c r="M40" s="43"/>
      <c r="N40" s="51">
        <f>IF($C40="Per Employee",$N$175*$D40,IF($C40="Per Pupil",$D40*$N$177,IF($C40="Fixed Per Year",$D40)))*(1+$F40)^1</f>
        <v>0</v>
      </c>
      <c r="O40" s="43"/>
      <c r="P40" s="51">
        <f>IF($C40="Per Employee",$P$175*$D40,IF($C40="Per Pupil",$D40*$P$177,IF($C40="Fixed Per Year",$D40)))*(1+$F40)^2</f>
        <v>0</v>
      </c>
      <c r="Q40" s="336"/>
      <c r="R40" s="51">
        <f>IF($C40="Per Employee",$R$175*$D40,IF($C40="Per Pupil",$D40*$R$177,IF($C40="Fixed Per Year",$D40)))*(1+$F40)^3</f>
        <v>4377.4829999999993</v>
      </c>
      <c r="S40" s="344"/>
      <c r="T40" s="51">
        <f>IF($C40="Per Employee",$T$175*$D40,IF($C40="Per Pupil",$D40*$T$177,IF($C40="Fixed Per Year",$D40)))*(1+$F40)^4</f>
        <v>4465.0326599999999</v>
      </c>
    </row>
    <row r="41" spans="1:20" ht="48" thickBot="1" x14ac:dyDescent="0.3">
      <c r="A41" s="711" t="s">
        <v>306</v>
      </c>
      <c r="B41" s="42"/>
      <c r="C41" s="698" t="s">
        <v>181</v>
      </c>
      <c r="D41" s="409">
        <v>150</v>
      </c>
      <c r="E41" s="491" t="s">
        <v>207</v>
      </c>
      <c r="F41" s="350">
        <v>0.02</v>
      </c>
      <c r="G41" s="42"/>
      <c r="H41" s="1083" t="s">
        <v>660</v>
      </c>
      <c r="I41" s="42"/>
      <c r="J41" s="41"/>
      <c r="K41" s="43"/>
      <c r="L41" s="51">
        <f t="shared" ref="L41:L62" si="0">IF($C41="Per Employee",$L$175*$D41,IF($C41="Per Pupil",$D41*$L$177,IF($C41="Fixed Per Year",$D41,0)))</f>
        <v>0</v>
      </c>
      <c r="M41" s="43"/>
      <c r="N41" s="51">
        <f t="shared" ref="N41:N62" si="1">IF($C41="Per Employee",$N$175*$D41,IF($C41="Per Pupil",$D41*$N$177,IF($C41="Fixed Per Year",$D41)))*(1+$F41)^1</f>
        <v>0</v>
      </c>
      <c r="O41" s="43"/>
      <c r="P41" s="51">
        <f t="shared" ref="P41:P62" si="2">IF($C41="Per Employee",$P$175*$D41,IF($C41="Per Pupil",$D41*$P$177,IF($C41="Fixed Per Year",$D41)))*(1+$F41)^2</f>
        <v>0</v>
      </c>
      <c r="Q41" s="336"/>
      <c r="R41" s="51">
        <f t="shared" ref="R41:R62" si="3">IF($C41="Per Employee",$R$175*$D41,IF($C41="Per Pupil",$D41*$R$177,IF($C41="Fixed Per Year",$D41)))*(1+$F41)^3</f>
        <v>26264.897999999997</v>
      </c>
      <c r="S41" s="344"/>
      <c r="T41" s="51">
        <f t="shared" ref="T41:T62" si="4">IF($C41="Per Employee",$T$175*$D41,IF($C41="Per Pupil",$D41*$T$177,IF($C41="Fixed Per Year",$D41)))*(1+$F41)^4</f>
        <v>26790.195960000001</v>
      </c>
    </row>
    <row r="42" spans="1:20" ht="32.25" thickBot="1" x14ac:dyDescent="0.3">
      <c r="A42" s="711" t="s">
        <v>218</v>
      </c>
      <c r="B42" s="42"/>
      <c r="C42" s="698" t="s">
        <v>181</v>
      </c>
      <c r="D42" s="409">
        <v>40</v>
      </c>
      <c r="E42" s="491" t="s">
        <v>207</v>
      </c>
      <c r="F42" s="350">
        <v>0.02</v>
      </c>
      <c r="G42" s="42"/>
      <c r="H42" s="1084" t="s">
        <v>661</v>
      </c>
      <c r="I42" s="42"/>
      <c r="J42" s="41"/>
      <c r="K42" s="43"/>
      <c r="L42" s="51">
        <f t="shared" si="0"/>
        <v>0</v>
      </c>
      <c r="M42" s="43"/>
      <c r="N42" s="51">
        <f t="shared" si="1"/>
        <v>0</v>
      </c>
      <c r="O42" s="43"/>
      <c r="P42" s="51">
        <f t="shared" si="2"/>
        <v>0</v>
      </c>
      <c r="Q42" s="336"/>
      <c r="R42" s="51">
        <f t="shared" si="3"/>
        <v>7003.9727999999996</v>
      </c>
      <c r="S42" s="344"/>
      <c r="T42" s="51">
        <f t="shared" si="4"/>
        <v>7144.0522559999999</v>
      </c>
    </row>
    <row r="43" spans="1:20" ht="63.75" thickBot="1" x14ac:dyDescent="0.3">
      <c r="A43" s="711" t="s">
        <v>13</v>
      </c>
      <c r="B43" s="42"/>
      <c r="C43" s="698" t="s">
        <v>7</v>
      </c>
      <c r="D43" s="409"/>
      <c r="E43" s="491" t="s">
        <v>207</v>
      </c>
      <c r="F43" s="350"/>
      <c r="G43" s="42"/>
      <c r="H43" s="1085" t="s">
        <v>662</v>
      </c>
      <c r="I43" s="42"/>
      <c r="J43" s="1151">
        <v>0</v>
      </c>
      <c r="K43" s="43"/>
      <c r="L43" s="1152">
        <v>0</v>
      </c>
      <c r="M43" s="43"/>
      <c r="N43" s="1152">
        <v>0</v>
      </c>
      <c r="O43" s="43"/>
      <c r="P43" s="1152">
        <v>0</v>
      </c>
      <c r="Q43" s="336"/>
      <c r="R43" s="1152">
        <f>1000+25*55</f>
        <v>2375</v>
      </c>
      <c r="S43" s="344"/>
      <c r="T43" s="1152">
        <f>1000+25*55</f>
        <v>2375</v>
      </c>
    </row>
    <row r="44" spans="1:20" ht="48" thickBot="1" x14ac:dyDescent="0.3">
      <c r="A44" s="711" t="s">
        <v>219</v>
      </c>
      <c r="B44" s="42"/>
      <c r="C44" s="698" t="s">
        <v>181</v>
      </c>
      <c r="D44" s="409">
        <v>100</v>
      </c>
      <c r="E44" s="491" t="s">
        <v>207</v>
      </c>
      <c r="F44" s="350">
        <v>0.02</v>
      </c>
      <c r="G44" s="42"/>
      <c r="H44" s="1086" t="s">
        <v>660</v>
      </c>
      <c r="I44" s="42"/>
      <c r="J44" s="41"/>
      <c r="K44" s="43"/>
      <c r="L44" s="51">
        <f t="shared" si="0"/>
        <v>0</v>
      </c>
      <c r="M44" s="43"/>
      <c r="N44" s="51">
        <f t="shared" si="1"/>
        <v>0</v>
      </c>
      <c r="O44" s="43"/>
      <c r="P44" s="51">
        <f t="shared" si="2"/>
        <v>0</v>
      </c>
      <c r="Q44" s="336"/>
      <c r="R44" s="51">
        <f t="shared" si="3"/>
        <v>17509.931999999997</v>
      </c>
      <c r="S44" s="344"/>
      <c r="T44" s="51">
        <f t="shared" si="4"/>
        <v>17860.130639999999</v>
      </c>
    </row>
    <row r="45" spans="1:20" ht="48" thickBot="1" x14ac:dyDescent="0.3">
      <c r="A45" s="711" t="s">
        <v>220</v>
      </c>
      <c r="B45" s="42"/>
      <c r="C45" s="698" t="s">
        <v>7</v>
      </c>
      <c r="D45" s="409"/>
      <c r="E45" s="491" t="s">
        <v>207</v>
      </c>
      <c r="F45" s="350"/>
      <c r="G45" s="42"/>
      <c r="H45" s="1087" t="s">
        <v>663</v>
      </c>
      <c r="I45" s="42"/>
      <c r="J45" s="41"/>
      <c r="K45" s="43"/>
      <c r="L45" s="1152">
        <v>0</v>
      </c>
      <c r="M45" s="43"/>
      <c r="N45" s="1152">
        <v>0</v>
      </c>
      <c r="O45" s="43"/>
      <c r="P45" s="1152">
        <v>0</v>
      </c>
      <c r="Q45" s="336"/>
      <c r="R45" s="1152">
        <f>SUM(Calculations!F70:F73)</f>
        <v>91350</v>
      </c>
      <c r="S45" s="344"/>
      <c r="T45" s="1152">
        <f>SUM(Calculations!G70:G73)</f>
        <v>91350</v>
      </c>
    </row>
    <row r="46" spans="1:20" ht="16.5" thickBot="1" x14ac:dyDescent="0.3">
      <c r="A46" s="711" t="s">
        <v>221</v>
      </c>
      <c r="B46" s="42"/>
      <c r="C46" s="698" t="s">
        <v>7</v>
      </c>
      <c r="D46" s="409"/>
      <c r="E46" s="491" t="s">
        <v>207</v>
      </c>
      <c r="F46" s="350"/>
      <c r="G46" s="42"/>
      <c r="H46" s="1088" t="s">
        <v>664</v>
      </c>
      <c r="I46" s="42"/>
      <c r="J46" s="1151">
        <v>0</v>
      </c>
      <c r="K46" s="43"/>
      <c r="L46" s="1151">
        <v>0</v>
      </c>
      <c r="M46" s="43"/>
      <c r="N46" s="1151">
        <v>0</v>
      </c>
      <c r="O46" s="43"/>
      <c r="P46" s="1151">
        <v>0</v>
      </c>
      <c r="Q46" s="336"/>
      <c r="R46" s="1151">
        <v>13200</v>
      </c>
      <c r="S46" s="344"/>
      <c r="T46" s="1151">
        <f>80*55</f>
        <v>4400</v>
      </c>
    </row>
    <row r="47" spans="1:20" ht="16.5" thickBot="1" x14ac:dyDescent="0.3">
      <c r="A47" s="711" t="s">
        <v>226</v>
      </c>
      <c r="B47" s="42"/>
      <c r="C47" s="698"/>
      <c r="D47" s="409"/>
      <c r="E47" s="491" t="s">
        <v>207</v>
      </c>
      <c r="F47" s="350"/>
      <c r="G47" s="42"/>
      <c r="H47" s="348"/>
      <c r="I47" s="42"/>
      <c r="J47" s="41"/>
      <c r="K47" s="43"/>
      <c r="L47" s="51">
        <f t="shared" si="0"/>
        <v>0</v>
      </c>
      <c r="M47" s="43"/>
      <c r="N47" s="51">
        <f t="shared" si="1"/>
        <v>0</v>
      </c>
      <c r="O47" s="43"/>
      <c r="P47" s="51">
        <f t="shared" si="2"/>
        <v>0</v>
      </c>
      <c r="Q47" s="336"/>
      <c r="R47" s="51">
        <f t="shared" si="3"/>
        <v>0</v>
      </c>
      <c r="S47" s="344"/>
      <c r="T47" s="51">
        <f t="shared" si="4"/>
        <v>0</v>
      </c>
    </row>
    <row r="48" spans="1:20" ht="16.5" thickBot="1" x14ac:dyDescent="0.3">
      <c r="A48" s="711" t="s">
        <v>222</v>
      </c>
      <c r="B48" s="42"/>
      <c r="C48" s="698"/>
      <c r="D48" s="409"/>
      <c r="E48" s="491" t="s">
        <v>207</v>
      </c>
      <c r="F48" s="350"/>
      <c r="G48" s="42"/>
      <c r="H48" s="348"/>
      <c r="I48" s="42"/>
      <c r="J48" s="41"/>
      <c r="K48" s="43"/>
      <c r="L48" s="51">
        <f t="shared" si="0"/>
        <v>0</v>
      </c>
      <c r="M48" s="43"/>
      <c r="N48" s="51">
        <f t="shared" si="1"/>
        <v>0</v>
      </c>
      <c r="O48" s="43"/>
      <c r="P48" s="51">
        <f t="shared" si="2"/>
        <v>0</v>
      </c>
      <c r="Q48" s="336"/>
      <c r="R48" s="51">
        <f t="shared" si="3"/>
        <v>0</v>
      </c>
      <c r="S48" s="344"/>
      <c r="T48" s="51">
        <f t="shared" si="4"/>
        <v>0</v>
      </c>
    </row>
    <row r="49" spans="1:20" ht="16.5" thickBot="1" x14ac:dyDescent="0.3">
      <c r="A49" s="711" t="s">
        <v>307</v>
      </c>
      <c r="B49" s="42"/>
      <c r="C49" s="698" t="s">
        <v>181</v>
      </c>
      <c r="D49" s="409">
        <v>250</v>
      </c>
      <c r="E49" s="491" t="s">
        <v>207</v>
      </c>
      <c r="F49" s="350">
        <v>0.02</v>
      </c>
      <c r="G49" s="42"/>
      <c r="H49" s="1090" t="s">
        <v>665</v>
      </c>
      <c r="I49" s="42"/>
      <c r="J49" s="41"/>
      <c r="K49" s="43"/>
      <c r="L49" s="51">
        <f t="shared" si="0"/>
        <v>0</v>
      </c>
      <c r="M49" s="43"/>
      <c r="N49" s="51">
        <f t="shared" si="1"/>
        <v>0</v>
      </c>
      <c r="O49" s="43"/>
      <c r="P49" s="51">
        <f t="shared" si="2"/>
        <v>0</v>
      </c>
      <c r="Q49" s="336"/>
      <c r="R49" s="51">
        <f t="shared" si="3"/>
        <v>43774.829999999994</v>
      </c>
      <c r="S49" s="344"/>
      <c r="T49" s="51">
        <f t="shared" si="4"/>
        <v>44650.3266</v>
      </c>
    </row>
    <row r="50" spans="1:20" ht="16.5" thickBot="1" x14ac:dyDescent="0.3">
      <c r="A50" s="711" t="s">
        <v>225</v>
      </c>
      <c r="B50" s="42"/>
      <c r="C50" s="698"/>
      <c r="D50" s="409"/>
      <c r="E50" s="491" t="s">
        <v>207</v>
      </c>
      <c r="F50" s="350"/>
      <c r="G50" s="42"/>
      <c r="H50" s="348"/>
      <c r="I50" s="42"/>
      <c r="J50" s="41"/>
      <c r="K50" s="43"/>
      <c r="L50" s="51">
        <f t="shared" si="0"/>
        <v>0</v>
      </c>
      <c r="M50" s="43"/>
      <c r="N50" s="51">
        <f t="shared" si="1"/>
        <v>0</v>
      </c>
      <c r="O50" s="43"/>
      <c r="P50" s="51">
        <f t="shared" si="2"/>
        <v>0</v>
      </c>
      <c r="Q50" s="336"/>
      <c r="R50" s="51">
        <f t="shared" si="3"/>
        <v>0</v>
      </c>
      <c r="S50" s="344"/>
      <c r="T50" s="51">
        <f t="shared" si="4"/>
        <v>0</v>
      </c>
    </row>
    <row r="51" spans="1:20" ht="34.5" customHeight="1" thickBot="1" x14ac:dyDescent="0.3">
      <c r="A51" s="713" t="s">
        <v>475</v>
      </c>
      <c r="B51" s="42"/>
      <c r="C51" s="493" t="s">
        <v>207</v>
      </c>
      <c r="D51" s="652" t="s">
        <v>207</v>
      </c>
      <c r="E51" s="491" t="s">
        <v>207</v>
      </c>
      <c r="F51" s="661" t="s">
        <v>207</v>
      </c>
      <c r="G51" s="42"/>
      <c r="H51" s="348"/>
      <c r="I51" s="42"/>
      <c r="J51" s="792">
        <v>0</v>
      </c>
      <c r="K51" s="43"/>
      <c r="L51" s="320">
        <f>'Contractual Clinicians'!C31</f>
        <v>0</v>
      </c>
      <c r="M51" s="43"/>
      <c r="N51" s="320">
        <f>'Contractual Clinicians'!D31</f>
        <v>0</v>
      </c>
      <c r="O51" s="43"/>
      <c r="P51" s="320">
        <f>'Contractual Clinicians'!E31</f>
        <v>0</v>
      </c>
      <c r="Q51" s="336"/>
      <c r="R51" s="320">
        <f>'Contractual Clinicians'!F31</f>
        <v>0</v>
      </c>
      <c r="S51" s="344"/>
      <c r="T51" s="320">
        <f>'Contractual Clinicians'!G31</f>
        <v>0</v>
      </c>
    </row>
    <row r="52" spans="1:20" ht="16.5" thickBot="1" x14ac:dyDescent="0.3">
      <c r="A52" s="713" t="s">
        <v>162</v>
      </c>
      <c r="B52" s="42"/>
      <c r="C52" s="698"/>
      <c r="D52" s="409"/>
      <c r="E52" s="491" t="s">
        <v>207</v>
      </c>
      <c r="F52" s="350"/>
      <c r="G52" s="42"/>
      <c r="H52" s="348"/>
      <c r="I52" s="42"/>
      <c r="J52" s="41"/>
      <c r="K52" s="43"/>
      <c r="L52" s="51">
        <f t="shared" si="0"/>
        <v>0</v>
      </c>
      <c r="M52" s="43"/>
      <c r="N52" s="51">
        <f t="shared" si="1"/>
        <v>0</v>
      </c>
      <c r="O52" s="43"/>
      <c r="P52" s="51">
        <f t="shared" si="2"/>
        <v>0</v>
      </c>
      <c r="Q52" s="336"/>
      <c r="R52" s="51">
        <f t="shared" si="3"/>
        <v>0</v>
      </c>
      <c r="S52" s="344"/>
      <c r="T52" s="51">
        <f t="shared" si="4"/>
        <v>0</v>
      </c>
    </row>
    <row r="53" spans="1:20" ht="16.5" thickBot="1" x14ac:dyDescent="0.3">
      <c r="A53" s="711" t="s">
        <v>432</v>
      </c>
      <c r="B53" s="42"/>
      <c r="C53" s="698"/>
      <c r="D53" s="421"/>
      <c r="E53" s="491" t="s">
        <v>207</v>
      </c>
      <c r="F53" s="350"/>
      <c r="G53" s="42"/>
      <c r="H53" s="348"/>
      <c r="I53" s="42"/>
      <c r="J53" s="41"/>
      <c r="K53" s="43"/>
      <c r="L53" s="51">
        <f t="shared" si="0"/>
        <v>0</v>
      </c>
      <c r="M53" s="43"/>
      <c r="N53" s="51">
        <f t="shared" si="1"/>
        <v>0</v>
      </c>
      <c r="O53" s="43"/>
      <c r="P53" s="51">
        <f t="shared" si="2"/>
        <v>0</v>
      </c>
      <c r="Q53" s="336"/>
      <c r="R53" s="51">
        <f t="shared" si="3"/>
        <v>0</v>
      </c>
      <c r="S53" s="344"/>
      <c r="T53" s="51">
        <f t="shared" si="4"/>
        <v>0</v>
      </c>
    </row>
    <row r="54" spans="1:20" ht="48" thickBot="1" x14ac:dyDescent="0.3">
      <c r="A54" s="1089" t="s">
        <v>666</v>
      </c>
      <c r="B54" s="42"/>
      <c r="C54" s="698"/>
      <c r="D54" s="421"/>
      <c r="E54" s="491" t="s">
        <v>207</v>
      </c>
      <c r="F54" s="350"/>
      <c r="G54" s="42"/>
      <c r="H54" s="1091" t="s">
        <v>667</v>
      </c>
      <c r="I54" s="42"/>
      <c r="J54" s="41"/>
      <c r="K54" s="43"/>
      <c r="L54" s="1152">
        <v>0</v>
      </c>
      <c r="M54" s="43"/>
      <c r="N54" s="1152">
        <v>0</v>
      </c>
      <c r="O54" s="43"/>
      <c r="P54" s="1152">
        <v>0</v>
      </c>
      <c r="Q54" s="336"/>
      <c r="R54" s="1152">
        <v>66000</v>
      </c>
      <c r="S54" s="344"/>
      <c r="T54" s="1152">
        <v>106000</v>
      </c>
    </row>
    <row r="55" spans="1:20" ht="16.5" thickBot="1" x14ac:dyDescent="0.3">
      <c r="A55" s="1154" t="s">
        <v>719</v>
      </c>
      <c r="B55" s="42"/>
      <c r="C55" s="698"/>
      <c r="D55" s="421"/>
      <c r="E55" s="491" t="s">
        <v>207</v>
      </c>
      <c r="F55" s="350"/>
      <c r="G55" s="42"/>
      <c r="H55" s="348"/>
      <c r="I55" s="42"/>
      <c r="J55" s="41"/>
      <c r="K55" s="43"/>
      <c r="L55" s="51">
        <f t="shared" si="0"/>
        <v>0</v>
      </c>
      <c r="M55" s="43"/>
      <c r="N55" s="51">
        <f t="shared" si="1"/>
        <v>0</v>
      </c>
      <c r="O55" s="43"/>
      <c r="P55" s="51">
        <f t="shared" si="2"/>
        <v>0</v>
      </c>
      <c r="Q55" s="336"/>
      <c r="R55" s="51">
        <f t="shared" si="3"/>
        <v>0</v>
      </c>
      <c r="S55" s="344"/>
      <c r="T55" s="51">
        <f t="shared" si="4"/>
        <v>0</v>
      </c>
    </row>
    <row r="56" spans="1:20" ht="16.5" thickBot="1" x14ac:dyDescent="0.3">
      <c r="A56" s="1154" t="s">
        <v>720</v>
      </c>
      <c r="B56" s="42"/>
      <c r="C56" s="698"/>
      <c r="D56" s="421"/>
      <c r="E56" s="491" t="s">
        <v>207</v>
      </c>
      <c r="F56" s="350"/>
      <c r="G56" s="42"/>
      <c r="H56" s="348"/>
      <c r="I56" s="42"/>
      <c r="J56" s="41"/>
      <c r="K56" s="43"/>
      <c r="L56" s="51">
        <f t="shared" si="0"/>
        <v>0</v>
      </c>
      <c r="M56" s="43"/>
      <c r="N56" s="51">
        <f t="shared" si="1"/>
        <v>0</v>
      </c>
      <c r="O56" s="43"/>
      <c r="P56" s="51">
        <f t="shared" si="2"/>
        <v>0</v>
      </c>
      <c r="Q56" s="336"/>
      <c r="R56" s="51">
        <f t="shared" si="3"/>
        <v>0</v>
      </c>
      <c r="S56" s="344"/>
      <c r="T56" s="51">
        <f t="shared" si="4"/>
        <v>0</v>
      </c>
    </row>
    <row r="57" spans="1:20" ht="16.5" thickBot="1" x14ac:dyDescent="0.3">
      <c r="A57" s="274"/>
      <c r="B57" s="42"/>
      <c r="C57" s="698"/>
      <c r="D57" s="421"/>
      <c r="E57" s="491" t="s">
        <v>207</v>
      </c>
      <c r="F57" s="350"/>
      <c r="G57" s="42"/>
      <c r="H57" s="348"/>
      <c r="I57" s="42"/>
      <c r="J57" s="41"/>
      <c r="K57" s="43"/>
      <c r="L57" s="51">
        <f t="shared" si="0"/>
        <v>0</v>
      </c>
      <c r="M57" s="43"/>
      <c r="N57" s="51">
        <f t="shared" si="1"/>
        <v>0</v>
      </c>
      <c r="O57" s="43"/>
      <c r="P57" s="51">
        <f t="shared" si="2"/>
        <v>0</v>
      </c>
      <c r="Q57" s="336"/>
      <c r="R57" s="51">
        <f t="shared" si="3"/>
        <v>0</v>
      </c>
      <c r="S57" s="344"/>
      <c r="T57" s="51">
        <f t="shared" si="4"/>
        <v>0</v>
      </c>
    </row>
    <row r="58" spans="1:20" ht="16.5" thickBot="1" x14ac:dyDescent="0.3">
      <c r="A58" s="274"/>
      <c r="B58" s="42"/>
      <c r="C58" s="698"/>
      <c r="D58" s="421"/>
      <c r="E58" s="491" t="s">
        <v>207</v>
      </c>
      <c r="F58" s="350"/>
      <c r="G58" s="42"/>
      <c r="H58" s="348"/>
      <c r="I58" s="42"/>
      <c r="J58" s="41"/>
      <c r="K58" s="43"/>
      <c r="L58" s="51">
        <f t="shared" si="0"/>
        <v>0</v>
      </c>
      <c r="M58" s="43"/>
      <c r="N58" s="51">
        <f t="shared" si="1"/>
        <v>0</v>
      </c>
      <c r="O58" s="43"/>
      <c r="P58" s="51">
        <f t="shared" si="2"/>
        <v>0</v>
      </c>
      <c r="Q58" s="336"/>
      <c r="R58" s="51">
        <f t="shared" si="3"/>
        <v>0</v>
      </c>
      <c r="S58" s="344"/>
      <c r="T58" s="51">
        <f t="shared" si="4"/>
        <v>0</v>
      </c>
    </row>
    <row r="59" spans="1:20" ht="16.5" thickBot="1" x14ac:dyDescent="0.3">
      <c r="A59" s="274"/>
      <c r="B59" s="42"/>
      <c r="C59" s="698"/>
      <c r="D59" s="421"/>
      <c r="E59" s="491" t="s">
        <v>207</v>
      </c>
      <c r="F59" s="350"/>
      <c r="G59" s="42"/>
      <c r="H59" s="348"/>
      <c r="I59" s="42"/>
      <c r="J59" s="41"/>
      <c r="K59" s="43"/>
      <c r="L59" s="51">
        <f t="shared" si="0"/>
        <v>0</v>
      </c>
      <c r="M59" s="43"/>
      <c r="N59" s="51">
        <f t="shared" si="1"/>
        <v>0</v>
      </c>
      <c r="O59" s="43"/>
      <c r="P59" s="51">
        <f t="shared" si="2"/>
        <v>0</v>
      </c>
      <c r="Q59" s="336"/>
      <c r="R59" s="51">
        <f t="shared" si="3"/>
        <v>0</v>
      </c>
      <c r="S59" s="344"/>
      <c r="T59" s="51">
        <f t="shared" si="4"/>
        <v>0</v>
      </c>
    </row>
    <row r="60" spans="1:20" ht="16.5" thickBot="1" x14ac:dyDescent="0.3">
      <c r="A60" s="274"/>
      <c r="B60" s="42"/>
      <c r="C60" s="698"/>
      <c r="D60" s="421"/>
      <c r="E60" s="491" t="s">
        <v>207</v>
      </c>
      <c r="F60" s="350"/>
      <c r="G60" s="42"/>
      <c r="H60" s="348"/>
      <c r="I60" s="42"/>
      <c r="J60" s="41"/>
      <c r="K60" s="43"/>
      <c r="L60" s="51">
        <f t="shared" si="0"/>
        <v>0</v>
      </c>
      <c r="M60" s="43"/>
      <c r="N60" s="51">
        <f t="shared" si="1"/>
        <v>0</v>
      </c>
      <c r="O60" s="43"/>
      <c r="P60" s="51">
        <f t="shared" si="2"/>
        <v>0</v>
      </c>
      <c r="Q60" s="336"/>
      <c r="R60" s="51">
        <f t="shared" si="3"/>
        <v>0</v>
      </c>
      <c r="S60" s="344"/>
      <c r="T60" s="51">
        <f t="shared" si="4"/>
        <v>0</v>
      </c>
    </row>
    <row r="61" spans="1:20" ht="16.5" thickBot="1" x14ac:dyDescent="0.3">
      <c r="A61" s="274"/>
      <c r="B61" s="42"/>
      <c r="C61" s="698"/>
      <c r="D61" s="421"/>
      <c r="E61" s="491" t="s">
        <v>207</v>
      </c>
      <c r="F61" s="350"/>
      <c r="G61" s="42"/>
      <c r="H61" s="348"/>
      <c r="I61" s="42"/>
      <c r="J61" s="41"/>
      <c r="K61" s="43"/>
      <c r="L61" s="51">
        <f t="shared" si="0"/>
        <v>0</v>
      </c>
      <c r="M61" s="43"/>
      <c r="N61" s="51">
        <f t="shared" si="1"/>
        <v>0</v>
      </c>
      <c r="O61" s="43"/>
      <c r="P61" s="51">
        <f t="shared" si="2"/>
        <v>0</v>
      </c>
      <c r="Q61" s="336"/>
      <c r="R61" s="51">
        <f t="shared" si="3"/>
        <v>0</v>
      </c>
      <c r="S61" s="344"/>
      <c r="T61" s="51">
        <f t="shared" si="4"/>
        <v>0</v>
      </c>
    </row>
    <row r="62" spans="1:20" ht="16.5" thickBot="1" x14ac:dyDescent="0.3">
      <c r="A62" s="274"/>
      <c r="B62" s="42"/>
      <c r="C62" s="698"/>
      <c r="D62" s="421"/>
      <c r="E62" s="491" t="s">
        <v>207</v>
      </c>
      <c r="F62" s="350"/>
      <c r="G62" s="42"/>
      <c r="H62" s="348"/>
      <c r="I62" s="42"/>
      <c r="J62" s="41"/>
      <c r="K62" s="43"/>
      <c r="L62" s="51">
        <f t="shared" si="0"/>
        <v>0</v>
      </c>
      <c r="M62" s="43"/>
      <c r="N62" s="51">
        <f t="shared" si="1"/>
        <v>0</v>
      </c>
      <c r="O62" s="43"/>
      <c r="P62" s="51">
        <f t="shared" si="2"/>
        <v>0</v>
      </c>
      <c r="Q62" s="336"/>
      <c r="R62" s="51">
        <f t="shared" si="3"/>
        <v>0</v>
      </c>
      <c r="S62" s="344"/>
      <c r="T62" s="51">
        <f t="shared" si="4"/>
        <v>0</v>
      </c>
    </row>
    <row r="63" spans="1:20" ht="16.5" thickBot="1" x14ac:dyDescent="0.3">
      <c r="A63" s="40"/>
      <c r="B63" s="42"/>
      <c r="C63" s="301"/>
      <c r="D63" s="301"/>
      <c r="E63" s="301"/>
      <c r="F63" s="301"/>
      <c r="G63" s="42"/>
      <c r="H63" s="287"/>
      <c r="I63" s="42"/>
      <c r="J63" s="47"/>
      <c r="K63" s="39"/>
      <c r="L63" s="47"/>
      <c r="M63" s="39"/>
      <c r="N63" s="47"/>
      <c r="O63" s="39"/>
      <c r="P63" s="47"/>
      <c r="Q63" s="335"/>
      <c r="R63" s="48"/>
      <c r="S63" s="344"/>
      <c r="T63" s="48"/>
    </row>
    <row r="64" spans="1:20" ht="16.5" thickBot="1" x14ac:dyDescent="0.3">
      <c r="B64" s="38"/>
      <c r="C64" s="300"/>
      <c r="D64" s="300"/>
      <c r="E64" s="300"/>
      <c r="F64" s="300"/>
      <c r="G64" s="38"/>
      <c r="H64" s="289" t="s">
        <v>172</v>
      </c>
      <c r="I64" s="38"/>
      <c r="J64" s="486">
        <f>SUM(J40:J62)</f>
        <v>0</v>
      </c>
      <c r="K64" s="359"/>
      <c r="L64" s="486">
        <f>SUM(L40:L62)</f>
        <v>0</v>
      </c>
      <c r="M64" s="359"/>
      <c r="N64" s="486">
        <f>SUM(N40:N62)</f>
        <v>0</v>
      </c>
      <c r="O64" s="359"/>
      <c r="P64" s="486">
        <f>SUM(P40:P62)</f>
        <v>0</v>
      </c>
      <c r="Q64" s="360"/>
      <c r="R64" s="486">
        <f>SUM(R40:R62)</f>
        <v>271856.11580000003</v>
      </c>
      <c r="S64" s="358"/>
      <c r="T64" s="486">
        <f>SUM(T40:T62)</f>
        <v>305034.73811599996</v>
      </c>
    </row>
    <row r="65" spans="1:20" ht="15.75" x14ac:dyDescent="0.25">
      <c r="A65" s="49"/>
      <c r="B65" s="50"/>
      <c r="C65" s="302"/>
      <c r="D65" s="302"/>
      <c r="E65" s="302"/>
      <c r="F65" s="302"/>
      <c r="G65" s="50"/>
      <c r="H65" s="287"/>
      <c r="I65" s="50"/>
      <c r="J65" s="44"/>
      <c r="K65" s="43"/>
      <c r="L65" s="44"/>
      <c r="M65" s="43"/>
      <c r="N65" s="44"/>
      <c r="O65" s="43"/>
      <c r="P65" s="44"/>
      <c r="Q65" s="336"/>
      <c r="R65" s="34"/>
      <c r="S65" s="345"/>
      <c r="T65" s="34"/>
    </row>
    <row r="66" spans="1:20" ht="15.75" x14ac:dyDescent="0.25">
      <c r="A66" s="49"/>
      <c r="B66" s="50"/>
      <c r="C66" s="302"/>
      <c r="D66" s="302"/>
      <c r="E66" s="302"/>
      <c r="F66" s="302"/>
      <c r="G66" s="50"/>
      <c r="H66" s="287"/>
      <c r="I66" s="50"/>
      <c r="J66" s="44"/>
      <c r="K66" s="43"/>
      <c r="L66" s="44"/>
      <c r="M66" s="43"/>
      <c r="N66" s="44"/>
      <c r="O66" s="43"/>
      <c r="P66" s="44"/>
      <c r="Q66" s="336"/>
      <c r="R66" s="34"/>
      <c r="S66" s="345"/>
      <c r="T66" s="34"/>
    </row>
    <row r="67" spans="1:20" ht="16.5" thickBot="1" x14ac:dyDescent="0.3">
      <c r="A67" s="49"/>
      <c r="B67" s="50"/>
      <c r="C67" s="302"/>
      <c r="D67" s="302"/>
      <c r="E67" s="302"/>
      <c r="F67" s="302"/>
      <c r="G67" s="50"/>
      <c r="H67" s="287"/>
      <c r="I67" s="50"/>
      <c r="J67" s="44"/>
      <c r="K67" s="43"/>
      <c r="L67" s="44"/>
      <c r="M67" s="43"/>
      <c r="N67" s="44"/>
      <c r="O67" s="43"/>
      <c r="P67" s="44"/>
      <c r="Q67" s="336"/>
      <c r="R67" s="34"/>
      <c r="S67" s="345"/>
      <c r="T67" s="34"/>
    </row>
    <row r="68" spans="1:20" ht="18.75" thickBot="1" x14ac:dyDescent="0.3">
      <c r="A68" s="288" t="s">
        <v>175</v>
      </c>
      <c r="B68" s="38"/>
      <c r="C68" s="300"/>
      <c r="D68" s="300"/>
      <c r="E68" s="300"/>
      <c r="F68" s="300"/>
      <c r="G68" s="38"/>
      <c r="H68" s="287"/>
      <c r="I68" s="38"/>
      <c r="J68" s="37"/>
      <c r="K68" s="39"/>
      <c r="L68" s="37"/>
      <c r="M68" s="39"/>
      <c r="N68" s="37"/>
      <c r="O68" s="322"/>
      <c r="P68" s="37"/>
      <c r="Q68" s="335"/>
      <c r="R68" s="32"/>
      <c r="S68" s="344"/>
      <c r="T68" s="32"/>
    </row>
    <row r="69" spans="1:20" ht="16.5" thickBot="1" x14ac:dyDescent="0.3">
      <c r="A69" s="714" t="s">
        <v>14</v>
      </c>
      <c r="B69" s="52"/>
      <c r="C69" s="492" t="s">
        <v>207</v>
      </c>
      <c r="D69" s="493" t="s">
        <v>207</v>
      </c>
      <c r="E69" s="493" t="s">
        <v>207</v>
      </c>
      <c r="F69" s="493" t="s">
        <v>207</v>
      </c>
      <c r="G69" s="52"/>
      <c r="H69" s="349"/>
      <c r="I69" s="52"/>
      <c r="J69" s="320">
        <f>Personnel!E189</f>
        <v>0</v>
      </c>
      <c r="K69" s="43"/>
      <c r="L69" s="320">
        <f>Personnel!G189</f>
        <v>0</v>
      </c>
      <c r="M69" s="321"/>
      <c r="N69" s="320">
        <f>Personnel!I189</f>
        <v>0</v>
      </c>
      <c r="O69" s="321"/>
      <c r="P69" s="320">
        <f>Personnel!K189</f>
        <v>0</v>
      </c>
      <c r="Q69" s="336"/>
      <c r="R69" s="320">
        <f>Personnel!M189</f>
        <v>745250</v>
      </c>
      <c r="S69" s="344"/>
      <c r="T69" s="320">
        <f>Personnel!O189</f>
        <v>760155</v>
      </c>
    </row>
    <row r="70" spans="1:20" ht="16.5" thickBot="1" x14ac:dyDescent="0.3">
      <c r="A70" s="716" t="s">
        <v>249</v>
      </c>
      <c r="B70" s="52"/>
      <c r="C70" s="492" t="s">
        <v>207</v>
      </c>
      <c r="D70" s="493" t="s">
        <v>207</v>
      </c>
      <c r="E70" s="493" t="s">
        <v>207</v>
      </c>
      <c r="F70" s="493" t="s">
        <v>207</v>
      </c>
      <c r="G70" s="52"/>
      <c r="H70" s="349"/>
      <c r="I70" s="52"/>
      <c r="J70" s="320">
        <v>0</v>
      </c>
      <c r="K70" s="43"/>
      <c r="L70" s="320">
        <f>Personnel!G197</f>
        <v>0</v>
      </c>
      <c r="M70" s="321"/>
      <c r="N70" s="320">
        <f>Personnel!I197</f>
        <v>0</v>
      </c>
      <c r="O70" s="321"/>
      <c r="P70" s="320">
        <f>Personnel!K197</f>
        <v>0</v>
      </c>
      <c r="Q70" s="336"/>
      <c r="R70" s="320">
        <f>Personnel!M197</f>
        <v>24552</v>
      </c>
      <c r="S70" s="344"/>
      <c r="T70" s="320">
        <f>Personnel!O197</f>
        <v>25043.040000000001</v>
      </c>
    </row>
    <row r="71" spans="1:20" ht="16.5" thickBot="1" x14ac:dyDescent="0.3">
      <c r="A71" s="715" t="s">
        <v>250</v>
      </c>
      <c r="B71" s="52"/>
      <c r="C71" s="492" t="s">
        <v>207</v>
      </c>
      <c r="D71" s="493" t="s">
        <v>207</v>
      </c>
      <c r="E71" s="493" t="s">
        <v>207</v>
      </c>
      <c r="F71" s="493" t="s">
        <v>207</v>
      </c>
      <c r="G71" s="52"/>
      <c r="H71" s="349"/>
      <c r="I71" s="52"/>
      <c r="J71" s="320">
        <v>0</v>
      </c>
      <c r="K71" s="43"/>
      <c r="L71" s="320">
        <f>Personnel!G195</f>
        <v>0</v>
      </c>
      <c r="M71" s="321"/>
      <c r="N71" s="320">
        <f>Personnel!I195</f>
        <v>0</v>
      </c>
      <c r="O71" s="321"/>
      <c r="P71" s="320">
        <f>Personnel!K195</f>
        <v>0</v>
      </c>
      <c r="Q71" s="336"/>
      <c r="R71" s="320">
        <f>Personnel!M195</f>
        <v>0</v>
      </c>
      <c r="S71" s="344"/>
      <c r="T71" s="320">
        <f>Personnel!O195</f>
        <v>0</v>
      </c>
    </row>
    <row r="72" spans="1:20" ht="16.5" thickBot="1" x14ac:dyDescent="0.3">
      <c r="A72" s="459" t="s">
        <v>164</v>
      </c>
      <c r="B72" s="52"/>
      <c r="C72" s="492" t="s">
        <v>207</v>
      </c>
      <c r="D72" s="493" t="s">
        <v>207</v>
      </c>
      <c r="E72" s="493" t="s">
        <v>207</v>
      </c>
      <c r="F72" s="493" t="s">
        <v>207</v>
      </c>
      <c r="G72" s="52"/>
      <c r="H72" s="349"/>
      <c r="I72" s="52"/>
      <c r="J72" s="51">
        <f>Personnel!E203</f>
        <v>0</v>
      </c>
      <c r="K72" s="43"/>
      <c r="L72" s="653">
        <f>Personnel!G203</f>
        <v>0</v>
      </c>
      <c r="M72" s="321"/>
      <c r="N72" s="653">
        <f>Personnel!I203</f>
        <v>0</v>
      </c>
      <c r="O72" s="321"/>
      <c r="P72" s="653">
        <f>Personnel!K203</f>
        <v>0</v>
      </c>
      <c r="Q72" s="336"/>
      <c r="R72" s="653">
        <f>Personnel!M203</f>
        <v>17270</v>
      </c>
      <c r="S72" s="345"/>
      <c r="T72" s="653">
        <f>Personnel!O203</f>
        <v>17615.399999999998</v>
      </c>
    </row>
    <row r="73" spans="1:20" ht="16.5" thickBot="1" x14ac:dyDescent="0.3">
      <c r="A73" s="458" t="s">
        <v>165</v>
      </c>
      <c r="B73" s="52"/>
      <c r="C73" s="492" t="s">
        <v>207</v>
      </c>
      <c r="D73" s="493" t="s">
        <v>207</v>
      </c>
      <c r="E73" s="493" t="s">
        <v>207</v>
      </c>
      <c r="F73" s="493" t="s">
        <v>207</v>
      </c>
      <c r="G73" s="52"/>
      <c r="H73" s="349"/>
      <c r="I73" s="52"/>
      <c r="J73" s="320">
        <f>Personnel!E199</f>
        <v>0</v>
      </c>
      <c r="K73" s="43"/>
      <c r="L73" s="320">
        <f>Personnel!G199</f>
        <v>0</v>
      </c>
      <c r="M73" s="321"/>
      <c r="N73" s="320">
        <f>Personnel!I199</f>
        <v>0</v>
      </c>
      <c r="O73" s="321"/>
      <c r="P73" s="320">
        <f>Personnel!K199</f>
        <v>0</v>
      </c>
      <c r="Q73" s="336"/>
      <c r="R73" s="320">
        <f>Personnel!M199</f>
        <v>24335</v>
      </c>
      <c r="S73" s="344"/>
      <c r="T73" s="320">
        <f>Personnel!O199</f>
        <v>24821.7</v>
      </c>
    </row>
    <row r="74" spans="1:20" ht="16.5" thickBot="1" x14ac:dyDescent="0.3">
      <c r="A74" s="711" t="s">
        <v>166</v>
      </c>
      <c r="B74" s="52"/>
      <c r="C74" s="492" t="s">
        <v>207</v>
      </c>
      <c r="D74" s="493" t="s">
        <v>207</v>
      </c>
      <c r="E74" s="493" t="s">
        <v>207</v>
      </c>
      <c r="F74" s="493" t="s">
        <v>207</v>
      </c>
      <c r="G74" s="52"/>
      <c r="H74" s="349"/>
      <c r="I74" s="52"/>
      <c r="J74" s="320">
        <f>Personnel!E201</f>
        <v>0</v>
      </c>
      <c r="K74" s="43"/>
      <c r="L74" s="320">
        <f>Personnel!G201</f>
        <v>0</v>
      </c>
      <c r="M74" s="321"/>
      <c r="N74" s="320">
        <f>Personnel!I201</f>
        <v>0</v>
      </c>
      <c r="O74" s="321"/>
      <c r="P74" s="320">
        <f>Personnel!K201</f>
        <v>0</v>
      </c>
      <c r="Q74" s="336"/>
      <c r="R74" s="320">
        <f>Personnel!M201</f>
        <v>10806.125</v>
      </c>
      <c r="S74" s="344"/>
      <c r="T74" s="320">
        <f>Personnel!O201</f>
        <v>11022.247500000001</v>
      </c>
    </row>
    <row r="75" spans="1:20" ht="48" thickBot="1" x14ac:dyDescent="0.3">
      <c r="A75" s="715" t="s">
        <v>163</v>
      </c>
      <c r="B75" s="52"/>
      <c r="C75" s="699" t="s">
        <v>179</v>
      </c>
      <c r="D75" s="347">
        <v>4800</v>
      </c>
      <c r="E75" s="350"/>
      <c r="F75" s="781">
        <v>0.02</v>
      </c>
      <c r="G75" s="52"/>
      <c r="H75" s="1092" t="s">
        <v>668</v>
      </c>
      <c r="I75" s="52"/>
      <c r="J75" s="51"/>
      <c r="K75" s="43"/>
      <c r="L75" s="51">
        <f>IF($C75="Per Employee",$L$175*$D75,IF($C75="% of Salaries",$E75*$L$176,IF($C75="Fixed Per Year",$D75,0)))</f>
        <v>0</v>
      </c>
      <c r="M75" s="321"/>
      <c r="N75" s="51">
        <f>IF($C75="Per Employee",$N$175*$D75,IF($C75="% of Salaries",$E75*$N$176,IF($C75="Fixed Per Year",$D75)))*(1+$F75)^1</f>
        <v>0</v>
      </c>
      <c r="O75" s="321"/>
      <c r="P75" s="51">
        <f>IF($C75="Per Employee",$P$175*$D75,IF($C75="% of Salaries",$E75*$P$176,IF($C75="Fixed Per Year",$D75)))*(1+$F75)^2</f>
        <v>0</v>
      </c>
      <c r="Q75" s="336"/>
      <c r="R75" s="51">
        <f>IF($C75="Per Employee",$R$175*$D75,IF($C75="% of Salaries",$E75*$R$176,IF($C75="Fixed Per Year",$D75)))*(1+$F75)^3</f>
        <v>80991.394560000001</v>
      </c>
      <c r="S75" s="345"/>
      <c r="T75" s="51">
        <f>IF($C75="Per Employee",$T$175*$D75,IF($C75="% of Salaries",$E75*$T$176,IF($C75="Fixed Per Year",$D75)))*(1+$F75)^4</f>
        <v>82611.222451199996</v>
      </c>
    </row>
    <row r="76" spans="1:20" ht="32.25" thickBot="1" x14ac:dyDescent="0.3">
      <c r="A76" s="458" t="s">
        <v>167</v>
      </c>
      <c r="B76" s="52"/>
      <c r="C76" s="699" t="s">
        <v>180</v>
      </c>
      <c r="D76" s="347"/>
      <c r="E76" s="350">
        <v>0.01</v>
      </c>
      <c r="F76" s="781"/>
      <c r="G76" s="52"/>
      <c r="H76" s="1093" t="s">
        <v>669</v>
      </c>
      <c r="I76" s="52"/>
      <c r="J76" s="51"/>
      <c r="K76" s="43"/>
      <c r="L76" s="51">
        <f t="shared" ref="L76:L81" si="5">IF($C76="Per Employee",$L$175*$D76,IF($C76="% of Salaries",$E76*$L$176,IF($C76="Fixed Per Year",$D76,0)))</f>
        <v>0</v>
      </c>
      <c r="M76" s="43"/>
      <c r="N76" s="51">
        <f t="shared" ref="N76:N90" si="6">IF($C76="Per Employee",$N$175*$D76,IF($C76="% of Salaries",$E76*$N$176,IF($C76="Fixed Per Year",$D76)))*(1+$F76)^1</f>
        <v>0</v>
      </c>
      <c r="O76" s="321"/>
      <c r="P76" s="51">
        <f t="shared" ref="P76:P90" si="7">IF($C76="Per Employee",$P$175*$D76,IF($C76="% of Salaries",$E76*$P$176,IF($C76="Fixed Per Year",$D76)))*(1+$F76)^2</f>
        <v>0</v>
      </c>
      <c r="Q76" s="336"/>
      <c r="R76" s="51">
        <f t="shared" ref="R76:R90" si="8">IF($C76="Per Employee",$R$175*$D76,IF($C76="% of Salaries",$E76*$R$176,IF($C76="Fixed Per Year",$D76)))*(1+$F76)^3</f>
        <v>7452.5</v>
      </c>
      <c r="S76" s="345"/>
      <c r="T76" s="51">
        <f t="shared" ref="T76:T90" si="9">IF($C76="Per Employee",$T$175*$D76,IF($C76="% of Salaries",$E76*$T$176,IF($C76="Fixed Per Year",$D76)))*(1+$F76)^4</f>
        <v>7601.55</v>
      </c>
    </row>
    <row r="77" spans="1:20" ht="32.25" thickBot="1" x14ac:dyDescent="0.3">
      <c r="A77" s="458" t="s">
        <v>177</v>
      </c>
      <c r="B77" s="52"/>
      <c r="C77" s="699" t="s">
        <v>180</v>
      </c>
      <c r="D77" s="347"/>
      <c r="E77" s="350">
        <v>0.01</v>
      </c>
      <c r="F77" s="781"/>
      <c r="G77" s="52"/>
      <c r="H77" s="1093" t="s">
        <v>669</v>
      </c>
      <c r="I77" s="52"/>
      <c r="J77" s="51"/>
      <c r="K77" s="43"/>
      <c r="L77" s="51">
        <f t="shared" si="5"/>
        <v>0</v>
      </c>
      <c r="M77" s="43"/>
      <c r="N77" s="51">
        <f t="shared" si="6"/>
        <v>0</v>
      </c>
      <c r="O77" s="43"/>
      <c r="P77" s="51">
        <f t="shared" si="7"/>
        <v>0</v>
      </c>
      <c r="Q77" s="336"/>
      <c r="R77" s="51">
        <f t="shared" si="8"/>
        <v>7452.5</v>
      </c>
      <c r="S77" s="344"/>
      <c r="T77" s="51">
        <f t="shared" si="9"/>
        <v>7601.55</v>
      </c>
    </row>
    <row r="78" spans="1:20" ht="16.5" thickBot="1" x14ac:dyDescent="0.3">
      <c r="A78" s="366"/>
      <c r="B78" s="52"/>
      <c r="C78" s="699"/>
      <c r="D78" s="347"/>
      <c r="E78" s="350"/>
      <c r="F78" s="781"/>
      <c r="G78" s="52"/>
      <c r="H78" s="349"/>
      <c r="I78" s="52"/>
      <c r="J78" s="51"/>
      <c r="K78" s="43"/>
      <c r="L78" s="51">
        <f t="shared" si="5"/>
        <v>0</v>
      </c>
      <c r="M78" s="43"/>
      <c r="N78" s="51">
        <f t="shared" si="6"/>
        <v>0</v>
      </c>
      <c r="O78" s="43"/>
      <c r="P78" s="51">
        <f t="shared" si="7"/>
        <v>0</v>
      </c>
      <c r="Q78" s="336"/>
      <c r="R78" s="51">
        <f t="shared" si="8"/>
        <v>0</v>
      </c>
      <c r="S78" s="344"/>
      <c r="T78" s="51">
        <f t="shared" si="9"/>
        <v>0</v>
      </c>
    </row>
    <row r="79" spans="1:20" ht="16.5" thickBot="1" x14ac:dyDescent="0.3">
      <c r="A79" s="366"/>
      <c r="B79" s="52"/>
      <c r="C79" s="699"/>
      <c r="D79" s="347"/>
      <c r="E79" s="350"/>
      <c r="F79" s="781"/>
      <c r="G79" s="52"/>
      <c r="H79" s="349"/>
      <c r="I79" s="52"/>
      <c r="J79" s="51"/>
      <c r="K79" s="43"/>
      <c r="L79" s="51">
        <f t="shared" si="5"/>
        <v>0</v>
      </c>
      <c r="M79" s="43"/>
      <c r="N79" s="51">
        <f t="shared" si="6"/>
        <v>0</v>
      </c>
      <c r="O79" s="43"/>
      <c r="P79" s="51">
        <f t="shared" si="7"/>
        <v>0</v>
      </c>
      <c r="Q79" s="336"/>
      <c r="R79" s="51">
        <f t="shared" si="8"/>
        <v>0</v>
      </c>
      <c r="S79" s="344"/>
      <c r="T79" s="51">
        <f t="shared" si="9"/>
        <v>0</v>
      </c>
    </row>
    <row r="80" spans="1:20" ht="16.5" thickBot="1" x14ac:dyDescent="0.3">
      <c r="A80" s="366"/>
      <c r="B80" s="52"/>
      <c r="C80" s="699"/>
      <c r="D80" s="347"/>
      <c r="E80" s="350"/>
      <c r="F80" s="781"/>
      <c r="G80" s="52"/>
      <c r="H80" s="349"/>
      <c r="I80" s="52"/>
      <c r="J80" s="51"/>
      <c r="K80" s="43"/>
      <c r="L80" s="51">
        <f t="shared" si="5"/>
        <v>0</v>
      </c>
      <c r="M80" s="43"/>
      <c r="N80" s="51">
        <f t="shared" si="6"/>
        <v>0</v>
      </c>
      <c r="O80" s="43"/>
      <c r="P80" s="51">
        <f t="shared" si="7"/>
        <v>0</v>
      </c>
      <c r="Q80" s="336"/>
      <c r="R80" s="51">
        <f t="shared" si="8"/>
        <v>0</v>
      </c>
      <c r="S80" s="344"/>
      <c r="T80" s="51">
        <f t="shared" si="9"/>
        <v>0</v>
      </c>
    </row>
    <row r="81" spans="1:20" ht="16.5" thickBot="1" x14ac:dyDescent="0.3">
      <c r="A81" s="274"/>
      <c r="C81" s="699"/>
      <c r="D81" s="347"/>
      <c r="E81" s="350"/>
      <c r="F81" s="781"/>
      <c r="H81" s="349"/>
      <c r="J81" s="51"/>
      <c r="L81" s="51">
        <f t="shared" si="5"/>
        <v>0</v>
      </c>
      <c r="N81" s="51">
        <f t="shared" si="6"/>
        <v>0</v>
      </c>
      <c r="P81" s="51">
        <f t="shared" si="7"/>
        <v>0</v>
      </c>
      <c r="R81" s="51">
        <f t="shared" si="8"/>
        <v>0</v>
      </c>
      <c r="T81" s="51">
        <f t="shared" si="9"/>
        <v>0</v>
      </c>
    </row>
    <row r="82" spans="1:20" ht="16.5" thickBot="1" x14ac:dyDescent="0.3">
      <c r="A82" s="871" t="s">
        <v>215</v>
      </c>
      <c r="B82" s="52"/>
      <c r="C82" s="492" t="s">
        <v>207</v>
      </c>
      <c r="D82" s="493" t="s">
        <v>207</v>
      </c>
      <c r="E82" s="493" t="s">
        <v>207</v>
      </c>
      <c r="F82" s="493" t="s">
        <v>207</v>
      </c>
      <c r="G82" s="52"/>
      <c r="H82" s="349"/>
      <c r="I82" s="52"/>
      <c r="J82" s="320">
        <v>0</v>
      </c>
      <c r="K82" s="43"/>
      <c r="L82" s="320">
        <v>0</v>
      </c>
      <c r="M82" s="43"/>
      <c r="N82" s="320">
        <v>0</v>
      </c>
      <c r="O82" s="43"/>
      <c r="P82" s="320">
        <v>0</v>
      </c>
      <c r="Q82" s="336"/>
      <c r="R82" s="320">
        <v>0</v>
      </c>
      <c r="S82" s="344"/>
      <c r="T82" s="320">
        <v>0</v>
      </c>
    </row>
    <row r="83" spans="1:20" ht="32.25" thickBot="1" x14ac:dyDescent="0.3">
      <c r="A83" s="712" t="s">
        <v>15</v>
      </c>
      <c r="B83" s="52"/>
      <c r="C83" s="699" t="s">
        <v>209</v>
      </c>
      <c r="D83" s="347">
        <v>1500</v>
      </c>
      <c r="E83" s="350"/>
      <c r="F83" s="781">
        <v>0.02</v>
      </c>
      <c r="G83" s="52"/>
      <c r="H83" s="1094" t="s">
        <v>670</v>
      </c>
      <c r="I83" s="52"/>
      <c r="J83" s="51"/>
      <c r="K83" s="43"/>
      <c r="L83" s="51">
        <v>0</v>
      </c>
      <c r="M83" s="43"/>
      <c r="N83" s="51">
        <v>0</v>
      </c>
      <c r="O83" s="43"/>
      <c r="P83" s="51">
        <v>0</v>
      </c>
      <c r="Q83" s="336"/>
      <c r="R83" s="51">
        <v>1561</v>
      </c>
      <c r="S83" s="344"/>
      <c r="T83" s="51">
        <v>1592</v>
      </c>
    </row>
    <row r="84" spans="1:20" ht="16.5" thickBot="1" x14ac:dyDescent="0.3">
      <c r="A84" s="711" t="s">
        <v>16</v>
      </c>
      <c r="B84" s="52"/>
      <c r="C84" s="699" t="s">
        <v>179</v>
      </c>
      <c r="D84" s="347">
        <v>1500</v>
      </c>
      <c r="E84" s="350"/>
      <c r="F84" s="781">
        <v>0.02</v>
      </c>
      <c r="G84" s="52"/>
      <c r="H84" s="349"/>
      <c r="I84" s="52"/>
      <c r="J84" s="51"/>
      <c r="K84" s="43"/>
      <c r="L84" s="51">
        <f t="shared" ref="L84:L90" si="10">IF($C84="Per Employee",$L$175*$D84,IF($C84="% of Salaries",$E84*$L$176,IF($C84="Fixed Per Year",$D84,0)))</f>
        <v>0</v>
      </c>
      <c r="M84" s="43"/>
      <c r="N84" s="51">
        <f t="shared" si="6"/>
        <v>0</v>
      </c>
      <c r="O84" s="43"/>
      <c r="P84" s="51">
        <f t="shared" si="7"/>
        <v>0</v>
      </c>
      <c r="Q84" s="336"/>
      <c r="R84" s="51">
        <f t="shared" si="8"/>
        <v>25309.810799999996</v>
      </c>
      <c r="S84" s="344"/>
      <c r="T84" s="51">
        <f t="shared" si="9"/>
        <v>25816.007015999996</v>
      </c>
    </row>
    <row r="85" spans="1:20" ht="16.5" thickBot="1" x14ac:dyDescent="0.3">
      <c r="A85" s="711" t="s">
        <v>216</v>
      </c>
      <c r="B85" s="52"/>
      <c r="C85" s="699"/>
      <c r="D85" s="347"/>
      <c r="E85" s="350"/>
      <c r="F85" s="781"/>
      <c r="G85" s="52"/>
      <c r="H85" s="349"/>
      <c r="I85" s="52"/>
      <c r="J85" s="51"/>
      <c r="K85" s="43"/>
      <c r="L85" s="51">
        <f t="shared" si="10"/>
        <v>0</v>
      </c>
      <c r="M85" s="43"/>
      <c r="N85" s="51">
        <f t="shared" si="6"/>
        <v>0</v>
      </c>
      <c r="O85" s="43"/>
      <c r="P85" s="51">
        <f t="shared" si="7"/>
        <v>0</v>
      </c>
      <c r="Q85" s="336"/>
      <c r="R85" s="51">
        <f t="shared" si="8"/>
        <v>0</v>
      </c>
      <c r="S85" s="344"/>
      <c r="T85" s="51">
        <f t="shared" si="9"/>
        <v>0</v>
      </c>
    </row>
    <row r="86" spans="1:20" ht="16.5" thickBot="1" x14ac:dyDescent="0.3">
      <c r="A86" s="711" t="s">
        <v>217</v>
      </c>
      <c r="B86" s="52"/>
      <c r="C86" s="699" t="s">
        <v>7</v>
      </c>
      <c r="D86" s="347"/>
      <c r="E86" s="350"/>
      <c r="F86" s="781">
        <v>0.02</v>
      </c>
      <c r="G86" s="52"/>
      <c r="H86" s="1096" t="s">
        <v>671</v>
      </c>
      <c r="I86" s="52"/>
      <c r="J86" s="51"/>
      <c r="K86" s="43"/>
      <c r="L86" s="1095">
        <v>0</v>
      </c>
      <c r="M86" s="43"/>
      <c r="N86" s="51">
        <f t="shared" si="6"/>
        <v>0</v>
      </c>
      <c r="O86" s="43"/>
      <c r="P86" s="51">
        <v>0</v>
      </c>
      <c r="Q86" s="336"/>
      <c r="R86" s="51">
        <v>3250</v>
      </c>
      <c r="S86" s="344"/>
      <c r="T86" s="51">
        <v>3250</v>
      </c>
    </row>
    <row r="87" spans="1:20" ht="16.5" thickBot="1" x14ac:dyDescent="0.3">
      <c r="A87" s="274"/>
      <c r="B87" s="52"/>
      <c r="C87" s="699"/>
      <c r="D87" s="347"/>
      <c r="E87" s="350"/>
      <c r="F87" s="781"/>
      <c r="G87" s="52"/>
      <c r="H87" s="349"/>
      <c r="I87" s="52"/>
      <c r="J87" s="51"/>
      <c r="K87" s="43"/>
      <c r="L87" s="51">
        <f t="shared" si="10"/>
        <v>0</v>
      </c>
      <c r="M87" s="43"/>
      <c r="N87" s="51">
        <f t="shared" si="6"/>
        <v>0</v>
      </c>
      <c r="O87" s="43"/>
      <c r="P87" s="51">
        <f t="shared" si="7"/>
        <v>0</v>
      </c>
      <c r="Q87" s="336"/>
      <c r="R87" s="51">
        <f t="shared" si="8"/>
        <v>0</v>
      </c>
      <c r="S87" s="344"/>
      <c r="T87" s="51">
        <f t="shared" si="9"/>
        <v>0</v>
      </c>
    </row>
    <row r="88" spans="1:20" ht="16.5" thickBot="1" x14ac:dyDescent="0.3">
      <c r="A88" s="274"/>
      <c r="B88" s="52"/>
      <c r="C88" s="699"/>
      <c r="D88" s="347"/>
      <c r="E88" s="350"/>
      <c r="F88" s="781"/>
      <c r="G88" s="52"/>
      <c r="H88" s="349"/>
      <c r="I88" s="52"/>
      <c r="J88" s="51"/>
      <c r="K88" s="43"/>
      <c r="L88" s="51">
        <f t="shared" si="10"/>
        <v>0</v>
      </c>
      <c r="M88" s="43"/>
      <c r="N88" s="51">
        <f t="shared" si="6"/>
        <v>0</v>
      </c>
      <c r="O88" s="43"/>
      <c r="P88" s="51">
        <f t="shared" si="7"/>
        <v>0</v>
      </c>
      <c r="Q88" s="336"/>
      <c r="R88" s="51">
        <f t="shared" si="8"/>
        <v>0</v>
      </c>
      <c r="S88" s="344"/>
      <c r="T88" s="51">
        <f t="shared" si="9"/>
        <v>0</v>
      </c>
    </row>
    <row r="89" spans="1:20" ht="16.5" thickBot="1" x14ac:dyDescent="0.3">
      <c r="A89" s="274"/>
      <c r="B89" s="52"/>
      <c r="C89" s="699"/>
      <c r="D89" s="347"/>
      <c r="E89" s="350"/>
      <c r="F89" s="781"/>
      <c r="G89" s="52"/>
      <c r="H89" s="349"/>
      <c r="I89" s="52"/>
      <c r="J89" s="51"/>
      <c r="K89" s="43"/>
      <c r="L89" s="51">
        <f t="shared" si="10"/>
        <v>0</v>
      </c>
      <c r="M89" s="43"/>
      <c r="N89" s="51">
        <f t="shared" si="6"/>
        <v>0</v>
      </c>
      <c r="O89" s="43"/>
      <c r="P89" s="51">
        <f t="shared" si="7"/>
        <v>0</v>
      </c>
      <c r="Q89" s="336"/>
      <c r="R89" s="51">
        <f t="shared" si="8"/>
        <v>0</v>
      </c>
      <c r="S89" s="344"/>
      <c r="T89" s="51">
        <f t="shared" si="9"/>
        <v>0</v>
      </c>
    </row>
    <row r="90" spans="1:20" ht="16.5" thickBot="1" x14ac:dyDescent="0.3">
      <c r="A90" s="274"/>
      <c r="B90" s="52"/>
      <c r="C90" s="699"/>
      <c r="D90" s="347"/>
      <c r="E90" s="350"/>
      <c r="F90" s="781"/>
      <c r="G90" s="52"/>
      <c r="H90" s="349"/>
      <c r="I90" s="52"/>
      <c r="J90" s="51"/>
      <c r="K90" s="43"/>
      <c r="L90" s="51">
        <f t="shared" si="10"/>
        <v>0</v>
      </c>
      <c r="M90" s="43"/>
      <c r="N90" s="51">
        <f t="shared" si="6"/>
        <v>0</v>
      </c>
      <c r="O90" s="43"/>
      <c r="P90" s="51">
        <f t="shared" si="7"/>
        <v>0</v>
      </c>
      <c r="Q90" s="336"/>
      <c r="R90" s="51">
        <f t="shared" si="8"/>
        <v>0</v>
      </c>
      <c r="S90" s="344"/>
      <c r="T90" s="51">
        <f t="shared" si="9"/>
        <v>0</v>
      </c>
    </row>
    <row r="91" spans="1:20" ht="16.5" thickBot="1" x14ac:dyDescent="0.3">
      <c r="A91" s="40"/>
      <c r="B91" s="42"/>
      <c r="C91" s="301"/>
      <c r="D91" s="301"/>
      <c r="E91" s="301"/>
      <c r="F91" s="301"/>
      <c r="G91" s="42"/>
      <c r="H91" s="287"/>
      <c r="I91" s="42"/>
      <c r="J91" s="47"/>
      <c r="K91" s="39"/>
      <c r="L91" s="47"/>
      <c r="M91" s="39"/>
      <c r="N91" s="47"/>
      <c r="O91" s="39"/>
      <c r="P91" s="47"/>
      <c r="Q91" s="335"/>
      <c r="R91" s="48"/>
      <c r="S91" s="344"/>
      <c r="T91" s="48"/>
    </row>
    <row r="92" spans="1:20" ht="16.5" thickBot="1" x14ac:dyDescent="0.3">
      <c r="B92" s="38"/>
      <c r="C92" s="300"/>
      <c r="D92" s="300"/>
      <c r="E92" s="300"/>
      <c r="F92" s="300"/>
      <c r="G92" s="38"/>
      <c r="H92" s="289" t="s">
        <v>173</v>
      </c>
      <c r="I92" s="38"/>
      <c r="J92" s="487">
        <f>SUM(J69:J90)</f>
        <v>0</v>
      </c>
      <c r="K92" s="361"/>
      <c r="L92" s="487">
        <f>SUM(L69:L90)</f>
        <v>0</v>
      </c>
      <c r="M92" s="361"/>
      <c r="N92" s="487">
        <f>SUM(N69:N90)</f>
        <v>0</v>
      </c>
      <c r="O92" s="361"/>
      <c r="P92" s="487">
        <f>SUM(P69:P90)</f>
        <v>0</v>
      </c>
      <c r="Q92" s="362"/>
      <c r="R92" s="487">
        <f>SUM(R69:R90)</f>
        <v>948230.33036000002</v>
      </c>
      <c r="S92" s="358"/>
      <c r="T92" s="487">
        <f>SUM(T69:T90)</f>
        <v>967129.71696720016</v>
      </c>
    </row>
    <row r="93" spans="1:20" ht="16.5" thickBot="1" x14ac:dyDescent="0.3">
      <c r="A93" s="49"/>
      <c r="B93" s="50"/>
      <c r="C93" s="302"/>
      <c r="D93" s="302"/>
      <c r="E93" s="302"/>
      <c r="F93" s="302"/>
      <c r="G93" s="50"/>
      <c r="H93" s="287"/>
      <c r="I93" s="50"/>
      <c r="J93" s="44"/>
      <c r="K93" s="43"/>
      <c r="L93" s="44"/>
      <c r="M93" s="43"/>
      <c r="N93" s="44"/>
      <c r="O93" s="43"/>
      <c r="P93" s="44"/>
      <c r="Q93" s="336"/>
      <c r="R93" s="34"/>
      <c r="S93" s="345"/>
      <c r="T93" s="34"/>
    </row>
    <row r="94" spans="1:20" ht="18.75" thickBot="1" x14ac:dyDescent="0.3">
      <c r="A94" s="288" t="s">
        <v>174</v>
      </c>
      <c r="B94" s="38"/>
      <c r="C94" s="300"/>
      <c r="D94" s="300"/>
      <c r="E94" s="300"/>
      <c r="F94" s="300"/>
      <c r="G94" s="38"/>
      <c r="H94" s="287"/>
      <c r="I94" s="38"/>
      <c r="J94" s="37"/>
      <c r="K94" s="39"/>
      <c r="L94" s="37"/>
      <c r="M94" s="39"/>
      <c r="N94" s="37"/>
      <c r="O94" s="39"/>
      <c r="P94" s="37"/>
      <c r="Q94" s="335"/>
      <c r="R94" s="32"/>
      <c r="S94" s="344"/>
      <c r="T94" s="32"/>
    </row>
    <row r="95" spans="1:20" ht="48" thickBot="1" x14ac:dyDescent="0.3">
      <c r="A95" s="717" t="s">
        <v>229</v>
      </c>
      <c r="B95" s="42"/>
      <c r="C95" s="698" t="s">
        <v>179</v>
      </c>
      <c r="D95" s="347">
        <v>200</v>
      </c>
      <c r="E95" s="491" t="s">
        <v>207</v>
      </c>
      <c r="F95" s="350">
        <v>0.02</v>
      </c>
      <c r="G95" s="42"/>
      <c r="H95" s="1097" t="s">
        <v>660</v>
      </c>
      <c r="I95" s="42"/>
      <c r="J95" s="51"/>
      <c r="K95" s="43"/>
      <c r="L95" s="51">
        <f>IF($C95="Per Employee",$L$175*$D95,IF($C95="Per Pupil",$D95*$L$177,IF($C95="Fixed Per Year",$D95,0)))</f>
        <v>0</v>
      </c>
      <c r="M95" s="43"/>
      <c r="N95" s="51">
        <f>IF($C95="Per Employee",$N$175*$D95,IF($C95="Per Pupil",$D95*$N$177,IF($C95="Fixed Per Year",$D95)))*(1+$F95)^1</f>
        <v>0</v>
      </c>
      <c r="O95" s="43"/>
      <c r="P95" s="51">
        <f>IF($C95="Per Employee",$P$175*$D95,IF($C95="Per Pupil",$D95*$P$177,IF($C95="Fixed Per Year",$D95)))*(1+$F95)^2</f>
        <v>0</v>
      </c>
      <c r="Q95" s="336"/>
      <c r="R95" s="51">
        <f>IF($C95="Per Employee",$R$175*$D95,IF($C95="Per Pupil",$D95*$R$177,IF($C95="Fixed Per Year",$D95)))*(1+$F95)^3</f>
        <v>3374.6414399999994</v>
      </c>
      <c r="S95" s="344"/>
      <c r="T95" s="51">
        <f>IF($C95="Per Employee",$T$175*$D95,IF($C95="Per Pupil",$D95*$T$177,IF($C95="Fixed Per Year",$D95)))*(1+$F95)^4</f>
        <v>3442.1342687999995</v>
      </c>
    </row>
    <row r="96" spans="1:20" ht="48" thickBot="1" x14ac:dyDescent="0.3">
      <c r="A96" s="718" t="s">
        <v>221</v>
      </c>
      <c r="B96" s="42"/>
      <c r="C96" s="698" t="s">
        <v>7</v>
      </c>
      <c r="D96" s="347"/>
      <c r="E96" s="491" t="s">
        <v>207</v>
      </c>
      <c r="F96" s="350"/>
      <c r="G96" s="42"/>
      <c r="H96" s="1098" t="s">
        <v>672</v>
      </c>
      <c r="I96" s="42"/>
      <c r="J96" s="51">
        <v>0</v>
      </c>
      <c r="K96" s="43"/>
      <c r="L96" s="51">
        <v>0</v>
      </c>
      <c r="M96" s="43"/>
      <c r="N96" s="51">
        <v>0</v>
      </c>
      <c r="O96" s="43"/>
      <c r="P96" s="51">
        <v>0</v>
      </c>
      <c r="Q96" s="336"/>
      <c r="R96" s="51">
        <v>9900</v>
      </c>
      <c r="S96" s="344"/>
      <c r="T96" s="51">
        <v>500</v>
      </c>
    </row>
    <row r="97" spans="1:20" ht="32.25" thickBot="1" x14ac:dyDescent="0.3">
      <c r="A97" s="718" t="s">
        <v>227</v>
      </c>
      <c r="B97" s="42"/>
      <c r="C97" s="698" t="s">
        <v>209</v>
      </c>
      <c r="D97" s="347">
        <v>20000</v>
      </c>
      <c r="E97" s="491" t="s">
        <v>207</v>
      </c>
      <c r="F97" s="350">
        <v>0.02</v>
      </c>
      <c r="G97" s="42"/>
      <c r="H97" s="1098" t="s">
        <v>673</v>
      </c>
      <c r="I97" s="42"/>
      <c r="J97" s="51"/>
      <c r="K97" s="43"/>
      <c r="L97" s="51">
        <v>0</v>
      </c>
      <c r="M97" s="43"/>
      <c r="N97" s="51">
        <v>0</v>
      </c>
      <c r="O97" s="43"/>
      <c r="P97" s="51">
        <v>0</v>
      </c>
      <c r="Q97" s="336"/>
      <c r="R97" s="51">
        <v>20808</v>
      </c>
      <c r="S97" s="344"/>
      <c r="T97" s="51">
        <v>21224</v>
      </c>
    </row>
    <row r="98" spans="1:20" ht="16.5" thickBot="1" x14ac:dyDescent="0.3">
      <c r="A98" s="718" t="s">
        <v>228</v>
      </c>
      <c r="B98" s="42"/>
      <c r="C98" s="698" t="s">
        <v>179</v>
      </c>
      <c r="D98" s="347">
        <v>1000</v>
      </c>
      <c r="E98" s="491" t="s">
        <v>207</v>
      </c>
      <c r="F98" s="350">
        <v>0</v>
      </c>
      <c r="G98" s="42"/>
      <c r="H98" s="1098" t="s">
        <v>674</v>
      </c>
      <c r="I98" s="42"/>
      <c r="J98" s="51"/>
      <c r="K98" s="43"/>
      <c r="L98" s="51">
        <f t="shared" ref="L98:L114" si="11">IF($C98="Per Employee",$L$175*$D98,IF($C98="Per Pupil",$D98*$L$177,IF($C98="Fixed Per Year",$D98,0)))</f>
        <v>0</v>
      </c>
      <c r="M98" s="43"/>
      <c r="N98" s="51">
        <v>0</v>
      </c>
      <c r="O98" s="43"/>
      <c r="P98" s="51">
        <v>0</v>
      </c>
      <c r="Q98" s="336"/>
      <c r="R98" s="51">
        <v>1000</v>
      </c>
      <c r="S98" s="344"/>
      <c r="T98" s="51">
        <v>1000</v>
      </c>
    </row>
    <row r="99" spans="1:20" ht="16.5" thickBot="1" x14ac:dyDescent="0.3">
      <c r="A99" s="718" t="s">
        <v>230</v>
      </c>
      <c r="B99" s="42"/>
      <c r="C99" s="698" t="s">
        <v>181</v>
      </c>
      <c r="D99" s="347">
        <v>33</v>
      </c>
      <c r="E99" s="491" t="s">
        <v>207</v>
      </c>
      <c r="F99" s="350"/>
      <c r="G99" s="42"/>
      <c r="H99" s="1099" t="s">
        <v>675</v>
      </c>
      <c r="I99" s="42"/>
      <c r="J99" s="51"/>
      <c r="K99" s="43"/>
      <c r="L99" s="51">
        <f t="shared" si="11"/>
        <v>0</v>
      </c>
      <c r="M99" s="43"/>
      <c r="N99" s="51">
        <f t="shared" ref="N99:N114" si="12">IF($C99="Per Employee",$N$175*$D99,IF($C99="Per Pupil",$D99*$N$177,IF($C99="Fixed Per Year",$D99)))*(1+$F99)^1</f>
        <v>0</v>
      </c>
      <c r="O99" s="43"/>
      <c r="P99" s="51">
        <f t="shared" ref="P99:P114" si="13">IF($C99="Per Employee",$P$175*$D99,IF($C99="Per Pupil",$D99*$P$177,IF($C99="Fixed Per Year",$D99)))*(1+$F99)^2</f>
        <v>0</v>
      </c>
      <c r="Q99" s="336"/>
      <c r="R99" s="51">
        <f t="shared" ref="R99:R114" si="14">IF($C99="Per Employee",$R$175*$D99,IF($C99="Per Pupil",$D99*$R$177,IF($C99="Fixed Per Year",$D99)))*(1+$F99)^3</f>
        <v>5445</v>
      </c>
      <c r="S99" s="344"/>
      <c r="T99" s="51">
        <f t="shared" ref="T99:T114" si="15">IF($C99="Per Employee",$T$175*$D99,IF($C99="Per Pupil",$D99*$T$177,IF($C99="Fixed Per Year",$D99)))*(1+$F99)^4</f>
        <v>5445</v>
      </c>
    </row>
    <row r="100" spans="1:20" ht="16.5" thickBot="1" x14ac:dyDescent="0.3">
      <c r="A100" s="718" t="s">
        <v>232</v>
      </c>
      <c r="B100" s="42"/>
      <c r="C100" s="698" t="s">
        <v>181</v>
      </c>
      <c r="D100" s="347">
        <v>33</v>
      </c>
      <c r="E100" s="491" t="s">
        <v>207</v>
      </c>
      <c r="F100" s="350"/>
      <c r="G100" s="42"/>
      <c r="H100" s="1099" t="s">
        <v>675</v>
      </c>
      <c r="I100" s="42"/>
      <c r="J100" s="51"/>
      <c r="K100" s="43"/>
      <c r="L100" s="51">
        <f t="shared" si="11"/>
        <v>0</v>
      </c>
      <c r="M100" s="43"/>
      <c r="N100" s="51">
        <f t="shared" si="12"/>
        <v>0</v>
      </c>
      <c r="O100" s="43"/>
      <c r="P100" s="51">
        <f t="shared" si="13"/>
        <v>0</v>
      </c>
      <c r="Q100" s="336"/>
      <c r="R100" s="51">
        <f t="shared" si="14"/>
        <v>5445</v>
      </c>
      <c r="S100" s="344"/>
      <c r="T100" s="51">
        <f t="shared" si="15"/>
        <v>5445</v>
      </c>
    </row>
    <row r="101" spans="1:20" ht="63.75" thickBot="1" x14ac:dyDescent="0.3">
      <c r="A101" s="718" t="s">
        <v>231</v>
      </c>
      <c r="B101" s="42"/>
      <c r="C101" s="698" t="s">
        <v>179</v>
      </c>
      <c r="D101" s="347">
        <v>208</v>
      </c>
      <c r="E101" s="491" t="s">
        <v>207</v>
      </c>
      <c r="F101" s="350">
        <v>0.02</v>
      </c>
      <c r="G101" s="42"/>
      <c r="H101" s="1098" t="s">
        <v>676</v>
      </c>
      <c r="I101" s="42"/>
      <c r="J101" s="51"/>
      <c r="K101" s="43"/>
      <c r="L101" s="51">
        <f t="shared" si="11"/>
        <v>0</v>
      </c>
      <c r="M101" s="43"/>
      <c r="N101" s="51">
        <f t="shared" si="12"/>
        <v>0</v>
      </c>
      <c r="O101" s="43"/>
      <c r="P101" s="51">
        <f t="shared" si="13"/>
        <v>0</v>
      </c>
      <c r="Q101" s="336"/>
      <c r="R101" s="51">
        <f t="shared" si="14"/>
        <v>3509.6270975999996</v>
      </c>
      <c r="S101" s="344"/>
      <c r="T101" s="51">
        <f t="shared" si="15"/>
        <v>3579.8196395519999</v>
      </c>
    </row>
    <row r="102" spans="1:20" ht="48" thickBot="1" x14ac:dyDescent="0.3">
      <c r="A102" s="718" t="s">
        <v>18</v>
      </c>
      <c r="B102" s="42"/>
      <c r="C102" s="698" t="s">
        <v>181</v>
      </c>
      <c r="D102" s="347">
        <v>25</v>
      </c>
      <c r="E102" s="491" t="s">
        <v>207</v>
      </c>
      <c r="F102" s="350">
        <v>0.02</v>
      </c>
      <c r="G102" s="42"/>
      <c r="H102" s="1098" t="s">
        <v>660</v>
      </c>
      <c r="I102" s="42"/>
      <c r="J102" s="51"/>
      <c r="K102" s="43"/>
      <c r="L102" s="51">
        <f t="shared" si="11"/>
        <v>0</v>
      </c>
      <c r="M102" s="43"/>
      <c r="N102" s="51">
        <f t="shared" si="12"/>
        <v>0</v>
      </c>
      <c r="O102" s="43"/>
      <c r="P102" s="51">
        <f t="shared" si="13"/>
        <v>0</v>
      </c>
      <c r="Q102" s="336"/>
      <c r="R102" s="51">
        <f t="shared" si="14"/>
        <v>4377.4829999999993</v>
      </c>
      <c r="S102" s="344"/>
      <c r="T102" s="51">
        <f t="shared" si="15"/>
        <v>4465.0326599999999</v>
      </c>
    </row>
    <row r="103" spans="1:20" ht="32.25" thickBot="1" x14ac:dyDescent="0.3">
      <c r="A103" s="718" t="s">
        <v>233</v>
      </c>
      <c r="B103" s="42"/>
      <c r="C103" s="698" t="s">
        <v>209</v>
      </c>
      <c r="D103" s="347">
        <v>1500</v>
      </c>
      <c r="E103" s="491" t="s">
        <v>207</v>
      </c>
      <c r="F103" s="350">
        <v>0.02</v>
      </c>
      <c r="G103" s="42"/>
      <c r="H103" s="1098" t="s">
        <v>677</v>
      </c>
      <c r="I103" s="42"/>
      <c r="J103" s="51"/>
      <c r="K103" s="43"/>
      <c r="L103" s="51">
        <v>0</v>
      </c>
      <c r="M103" s="43"/>
      <c r="N103" s="51">
        <v>0</v>
      </c>
      <c r="O103" s="43"/>
      <c r="P103" s="51">
        <v>0</v>
      </c>
      <c r="Q103" s="336"/>
      <c r="R103" s="51">
        <v>1561</v>
      </c>
      <c r="S103" s="344"/>
      <c r="T103" s="51">
        <v>1592</v>
      </c>
    </row>
    <row r="104" spans="1:20" ht="48" thickBot="1" x14ac:dyDescent="0.3">
      <c r="A104" s="718" t="s">
        <v>234</v>
      </c>
      <c r="B104" s="42"/>
      <c r="C104" s="698" t="s">
        <v>7</v>
      </c>
      <c r="D104" s="347">
        <v>5000</v>
      </c>
      <c r="E104" s="491" t="s">
        <v>207</v>
      </c>
      <c r="F104" s="350">
        <v>0.02</v>
      </c>
      <c r="G104" s="42"/>
      <c r="H104" s="1099" t="s">
        <v>678</v>
      </c>
      <c r="I104" s="42"/>
      <c r="J104" s="51"/>
      <c r="K104" s="43"/>
      <c r="L104" s="51">
        <f t="shared" si="11"/>
        <v>0</v>
      </c>
      <c r="M104" s="43"/>
      <c r="N104" s="51">
        <f t="shared" si="12"/>
        <v>0</v>
      </c>
      <c r="O104" s="43"/>
      <c r="P104" s="51">
        <f t="shared" si="13"/>
        <v>0</v>
      </c>
      <c r="Q104" s="336"/>
      <c r="R104" s="51">
        <f t="shared" si="14"/>
        <v>0</v>
      </c>
      <c r="S104" s="344"/>
      <c r="T104" s="51">
        <f t="shared" si="15"/>
        <v>0</v>
      </c>
    </row>
    <row r="105" spans="1:20" ht="48" thickBot="1" x14ac:dyDescent="0.3">
      <c r="A105" s="718" t="s">
        <v>235</v>
      </c>
      <c r="B105" s="42"/>
      <c r="C105" s="698" t="s">
        <v>179</v>
      </c>
      <c r="D105" s="347">
        <v>80</v>
      </c>
      <c r="E105" s="491" t="s">
        <v>207</v>
      </c>
      <c r="F105" s="350">
        <v>0.02</v>
      </c>
      <c r="G105" s="42"/>
      <c r="H105" s="1098" t="s">
        <v>660</v>
      </c>
      <c r="I105" s="42"/>
      <c r="J105" s="51"/>
      <c r="K105" s="43"/>
      <c r="L105" s="51">
        <f t="shared" si="11"/>
        <v>0</v>
      </c>
      <c r="M105" s="43"/>
      <c r="N105" s="51">
        <f t="shared" si="12"/>
        <v>0</v>
      </c>
      <c r="O105" s="43"/>
      <c r="P105" s="51">
        <f t="shared" si="13"/>
        <v>0</v>
      </c>
      <c r="Q105" s="336"/>
      <c r="R105" s="51">
        <f t="shared" si="14"/>
        <v>1349.8565759999999</v>
      </c>
      <c r="S105" s="344"/>
      <c r="T105" s="51">
        <f t="shared" si="15"/>
        <v>1376.8537075199999</v>
      </c>
    </row>
    <row r="106" spans="1:20" ht="48" thickBot="1" x14ac:dyDescent="0.3">
      <c r="A106" s="718" t="s">
        <v>457</v>
      </c>
      <c r="B106" s="42"/>
      <c r="C106" s="940" t="s">
        <v>7</v>
      </c>
      <c r="D106" s="941" t="s">
        <v>207</v>
      </c>
      <c r="E106" s="491" t="s">
        <v>207</v>
      </c>
      <c r="F106" s="942" t="s">
        <v>207</v>
      </c>
      <c r="G106" s="42"/>
      <c r="H106" s="1004" t="s">
        <v>528</v>
      </c>
      <c r="I106" s="42"/>
      <c r="J106" s="943">
        <v>0</v>
      </c>
      <c r="K106" s="43"/>
      <c r="L106" s="320">
        <f>((L10+L11+L12+L13+L17+L21)*0.03)+(L20*0.0267)</f>
        <v>0</v>
      </c>
      <c r="M106" s="43"/>
      <c r="N106" s="320">
        <f>((N10+N11+N12+N13+N17+N21)*0.03)+(N20*0.0267)</f>
        <v>0</v>
      </c>
      <c r="O106" s="43"/>
      <c r="P106" s="320">
        <f>((P10+P11+P12+P13+P17+P21)*0.03)+(P20*0.0267)</f>
        <v>0</v>
      </c>
      <c r="Q106" s="336"/>
      <c r="R106" s="320">
        <f>((R10+R11+R12+R13+R17+R21)*0.03)+(R20*0.0267)</f>
        <v>50984.100269999995</v>
      </c>
      <c r="S106" s="344"/>
      <c r="T106" s="320">
        <f>((T10+T11+T12+T13+T17+T21)*0.03)+(T20*0.0267)</f>
        <v>51082.069769999987</v>
      </c>
    </row>
    <row r="107" spans="1:20" ht="48" thickBot="1" x14ac:dyDescent="0.3">
      <c r="A107" s="1100" t="s">
        <v>648</v>
      </c>
      <c r="B107" s="46"/>
      <c r="C107" s="698" t="s">
        <v>7</v>
      </c>
      <c r="D107" s="347"/>
      <c r="E107" s="491" t="s">
        <v>207</v>
      </c>
      <c r="F107" s="350"/>
      <c r="G107" s="46"/>
      <c r="H107" s="1101" t="s">
        <v>663</v>
      </c>
      <c r="I107" s="46"/>
      <c r="J107" s="51"/>
      <c r="K107" s="43"/>
      <c r="L107" s="51">
        <f t="shared" si="11"/>
        <v>0</v>
      </c>
      <c r="M107" s="43"/>
      <c r="N107" s="51">
        <f t="shared" si="12"/>
        <v>0</v>
      </c>
      <c r="O107" s="43"/>
      <c r="P107" s="51">
        <f t="shared" si="13"/>
        <v>0</v>
      </c>
      <c r="Q107" s="336"/>
      <c r="R107" s="51">
        <f t="shared" si="14"/>
        <v>0</v>
      </c>
      <c r="S107" s="344"/>
      <c r="T107" s="51">
        <f t="shared" si="15"/>
        <v>0</v>
      </c>
    </row>
    <row r="108" spans="1:20" ht="16.5" thickBot="1" x14ac:dyDescent="0.3">
      <c r="A108" s="286"/>
      <c r="B108" s="46"/>
      <c r="C108" s="698"/>
      <c r="D108" s="347"/>
      <c r="E108" s="491" t="s">
        <v>207</v>
      </c>
      <c r="F108" s="350"/>
      <c r="G108" s="46"/>
      <c r="H108" s="349"/>
      <c r="I108" s="46"/>
      <c r="J108" s="51"/>
      <c r="K108" s="43"/>
      <c r="L108" s="51">
        <f t="shared" si="11"/>
        <v>0</v>
      </c>
      <c r="M108" s="43"/>
      <c r="N108" s="51">
        <f t="shared" si="12"/>
        <v>0</v>
      </c>
      <c r="O108" s="43"/>
      <c r="P108" s="51">
        <f t="shared" si="13"/>
        <v>0</v>
      </c>
      <c r="Q108" s="336"/>
      <c r="R108" s="51">
        <f t="shared" si="14"/>
        <v>0</v>
      </c>
      <c r="S108" s="344"/>
      <c r="T108" s="51">
        <f t="shared" si="15"/>
        <v>0</v>
      </c>
    </row>
    <row r="109" spans="1:20" ht="16.5" thickBot="1" x14ac:dyDescent="0.3">
      <c r="A109" s="286"/>
      <c r="B109" s="46"/>
      <c r="C109" s="698"/>
      <c r="D109" s="347"/>
      <c r="E109" s="491" t="s">
        <v>207</v>
      </c>
      <c r="F109" s="350"/>
      <c r="G109" s="46"/>
      <c r="H109" s="349"/>
      <c r="I109" s="46"/>
      <c r="J109" s="51"/>
      <c r="K109" s="43"/>
      <c r="L109" s="51">
        <f t="shared" si="11"/>
        <v>0</v>
      </c>
      <c r="M109" s="43"/>
      <c r="N109" s="51">
        <f t="shared" si="12"/>
        <v>0</v>
      </c>
      <c r="O109" s="43"/>
      <c r="P109" s="51">
        <f t="shared" si="13"/>
        <v>0</v>
      </c>
      <c r="Q109" s="336"/>
      <c r="R109" s="51">
        <f t="shared" si="14"/>
        <v>0</v>
      </c>
      <c r="S109" s="344"/>
      <c r="T109" s="51">
        <f t="shared" si="15"/>
        <v>0</v>
      </c>
    </row>
    <row r="110" spans="1:20" ht="16.5" thickBot="1" x14ac:dyDescent="0.3">
      <c r="A110" s="286"/>
      <c r="B110" s="46"/>
      <c r="C110" s="698"/>
      <c r="D110" s="347"/>
      <c r="E110" s="491" t="s">
        <v>207</v>
      </c>
      <c r="F110" s="350"/>
      <c r="G110" s="46"/>
      <c r="H110" s="349"/>
      <c r="I110" s="46"/>
      <c r="J110" s="51"/>
      <c r="K110" s="43"/>
      <c r="L110" s="51">
        <f t="shared" si="11"/>
        <v>0</v>
      </c>
      <c r="M110" s="43"/>
      <c r="N110" s="51">
        <f t="shared" si="12"/>
        <v>0</v>
      </c>
      <c r="O110" s="43"/>
      <c r="P110" s="51">
        <f t="shared" si="13"/>
        <v>0</v>
      </c>
      <c r="Q110" s="336"/>
      <c r="R110" s="51">
        <f t="shared" si="14"/>
        <v>0</v>
      </c>
      <c r="S110" s="344"/>
      <c r="T110" s="51">
        <f t="shared" si="15"/>
        <v>0</v>
      </c>
    </row>
    <row r="111" spans="1:20" ht="16.5" thickBot="1" x14ac:dyDescent="0.3">
      <c r="A111" s="286"/>
      <c r="B111" s="46"/>
      <c r="C111" s="698"/>
      <c r="D111" s="347"/>
      <c r="E111" s="491" t="s">
        <v>207</v>
      </c>
      <c r="F111" s="350"/>
      <c r="G111" s="46"/>
      <c r="H111" s="349"/>
      <c r="I111" s="46"/>
      <c r="J111" s="51"/>
      <c r="K111" s="43"/>
      <c r="L111" s="51">
        <f t="shared" si="11"/>
        <v>0</v>
      </c>
      <c r="M111" s="43"/>
      <c r="N111" s="51">
        <f t="shared" si="12"/>
        <v>0</v>
      </c>
      <c r="O111" s="43"/>
      <c r="P111" s="51">
        <f t="shared" si="13"/>
        <v>0</v>
      </c>
      <c r="Q111" s="336"/>
      <c r="R111" s="51">
        <f t="shared" si="14"/>
        <v>0</v>
      </c>
      <c r="S111" s="344"/>
      <c r="T111" s="51">
        <f t="shared" si="15"/>
        <v>0</v>
      </c>
    </row>
    <row r="112" spans="1:20" ht="16.5" thickBot="1" x14ac:dyDescent="0.3">
      <c r="A112" s="286"/>
      <c r="B112" s="46"/>
      <c r="C112" s="698"/>
      <c r="D112" s="347"/>
      <c r="E112" s="491" t="s">
        <v>207</v>
      </c>
      <c r="F112" s="350"/>
      <c r="G112" s="46"/>
      <c r="H112" s="349"/>
      <c r="I112" s="46"/>
      <c r="J112" s="51"/>
      <c r="K112" s="43"/>
      <c r="L112" s="51">
        <f t="shared" si="11"/>
        <v>0</v>
      </c>
      <c r="M112" s="43"/>
      <c r="N112" s="51">
        <f t="shared" si="12"/>
        <v>0</v>
      </c>
      <c r="O112" s="43"/>
      <c r="P112" s="51">
        <f t="shared" si="13"/>
        <v>0</v>
      </c>
      <c r="Q112" s="336"/>
      <c r="R112" s="51">
        <f t="shared" si="14"/>
        <v>0</v>
      </c>
      <c r="S112" s="344"/>
      <c r="T112" s="51">
        <f t="shared" si="15"/>
        <v>0</v>
      </c>
    </row>
    <row r="113" spans="1:20" ht="16.5" thickBot="1" x14ac:dyDescent="0.3">
      <c r="A113" s="286"/>
      <c r="B113" s="46"/>
      <c r="C113" s="698"/>
      <c r="D113" s="347"/>
      <c r="E113" s="491" t="s">
        <v>207</v>
      </c>
      <c r="F113" s="350"/>
      <c r="G113" s="46"/>
      <c r="H113" s="349"/>
      <c r="I113" s="46"/>
      <c r="J113" s="51"/>
      <c r="K113" s="43"/>
      <c r="L113" s="51">
        <f t="shared" si="11"/>
        <v>0</v>
      </c>
      <c r="M113" s="43"/>
      <c r="N113" s="51">
        <f t="shared" si="12"/>
        <v>0</v>
      </c>
      <c r="O113" s="43"/>
      <c r="P113" s="51">
        <f t="shared" si="13"/>
        <v>0</v>
      </c>
      <c r="Q113" s="336"/>
      <c r="R113" s="51">
        <f t="shared" si="14"/>
        <v>0</v>
      </c>
      <c r="S113" s="344"/>
      <c r="T113" s="51">
        <f t="shared" si="15"/>
        <v>0</v>
      </c>
    </row>
    <row r="114" spans="1:20" ht="16.5" thickBot="1" x14ac:dyDescent="0.3">
      <c r="A114" s="286"/>
      <c r="B114" s="46"/>
      <c r="C114" s="698"/>
      <c r="D114" s="347"/>
      <c r="E114" s="491" t="s">
        <v>207</v>
      </c>
      <c r="F114" s="350"/>
      <c r="G114" s="46"/>
      <c r="H114" s="349"/>
      <c r="I114" s="46"/>
      <c r="J114" s="51"/>
      <c r="K114" s="43"/>
      <c r="L114" s="51">
        <f t="shared" si="11"/>
        <v>0</v>
      </c>
      <c r="M114" s="43"/>
      <c r="N114" s="51">
        <f t="shared" si="12"/>
        <v>0</v>
      </c>
      <c r="O114" s="43"/>
      <c r="P114" s="51">
        <f t="shared" si="13"/>
        <v>0</v>
      </c>
      <c r="Q114" s="336"/>
      <c r="R114" s="51">
        <f t="shared" si="14"/>
        <v>0</v>
      </c>
      <c r="S114" s="344"/>
      <c r="T114" s="51">
        <f t="shared" si="15"/>
        <v>0</v>
      </c>
    </row>
    <row r="115" spans="1:20" ht="16.5" thickBot="1" x14ac:dyDescent="0.3">
      <c r="A115" s="40"/>
      <c r="B115" s="42"/>
      <c r="C115" s="301"/>
      <c r="D115" s="301"/>
      <c r="E115" s="301"/>
      <c r="F115" s="301"/>
      <c r="G115" s="42"/>
      <c r="H115" s="287"/>
      <c r="I115" s="42"/>
      <c r="J115" s="47"/>
      <c r="K115" s="39"/>
      <c r="L115" s="47"/>
      <c r="M115" s="39"/>
      <c r="N115" s="47"/>
      <c r="O115" s="39"/>
      <c r="P115" s="47"/>
      <c r="Q115" s="335"/>
      <c r="R115" s="48"/>
      <c r="S115" s="344"/>
      <c r="T115" s="48"/>
    </row>
    <row r="116" spans="1:20" ht="16.5" thickBot="1" x14ac:dyDescent="0.3">
      <c r="B116" s="38"/>
      <c r="C116" s="300"/>
      <c r="D116" s="300"/>
      <c r="E116" s="300"/>
      <c r="F116" s="300"/>
      <c r="G116" s="38"/>
      <c r="H116" s="289" t="s">
        <v>19</v>
      </c>
      <c r="I116" s="38"/>
      <c r="J116" s="487">
        <f>SUM(J95:J114)</f>
        <v>0</v>
      </c>
      <c r="K116" s="361"/>
      <c r="L116" s="487">
        <f>SUM(L95:L114)</f>
        <v>0</v>
      </c>
      <c r="M116" s="361"/>
      <c r="N116" s="487">
        <f>SUM(N95:N114)</f>
        <v>0</v>
      </c>
      <c r="O116" s="361"/>
      <c r="P116" s="487">
        <f>SUM(P95:P114)</f>
        <v>0</v>
      </c>
      <c r="Q116" s="362"/>
      <c r="R116" s="487">
        <f>SUM(R95:R114)</f>
        <v>107754.70838359999</v>
      </c>
      <c r="S116" s="358"/>
      <c r="T116" s="487">
        <f>SUM(T95:T114)</f>
        <v>99151.910045871977</v>
      </c>
    </row>
    <row r="117" spans="1:20" ht="16.5" thickBot="1" x14ac:dyDescent="0.3">
      <c r="A117" s="53"/>
      <c r="B117" s="55"/>
      <c r="C117" s="304"/>
      <c r="D117" s="304"/>
      <c r="E117" s="304"/>
      <c r="F117" s="304"/>
      <c r="G117" s="55"/>
      <c r="H117" s="287"/>
      <c r="I117" s="55"/>
      <c r="J117" s="54"/>
      <c r="K117" s="43"/>
      <c r="L117" s="54"/>
      <c r="M117" s="43"/>
      <c r="N117" s="54"/>
      <c r="O117" s="43"/>
      <c r="P117" s="54"/>
      <c r="Q117" s="336"/>
      <c r="R117" s="54"/>
      <c r="S117" s="345"/>
      <c r="T117" s="54"/>
    </row>
    <row r="118" spans="1:20" ht="18.75" customHeight="1" thickBot="1" x14ac:dyDescent="0.3">
      <c r="A118" s="289" t="s">
        <v>241</v>
      </c>
      <c r="B118" s="38"/>
      <c r="C118" s="300"/>
      <c r="D118" s="300"/>
      <c r="E118" s="300"/>
      <c r="F118" s="300"/>
      <c r="G118" s="38"/>
      <c r="H118" s="287"/>
      <c r="I118" s="38"/>
      <c r="J118" s="37"/>
      <c r="K118" s="39"/>
      <c r="L118" s="37"/>
      <c r="M118" s="39"/>
      <c r="N118" s="37"/>
      <c r="O118" s="39"/>
      <c r="P118" s="37"/>
      <c r="Q118" s="335"/>
      <c r="R118" s="32"/>
      <c r="S118" s="344"/>
      <c r="T118" s="32"/>
    </row>
    <row r="119" spans="1:20" ht="32.25" thickBot="1" x14ac:dyDescent="0.3">
      <c r="A119" s="712" t="s">
        <v>398</v>
      </c>
      <c r="B119" s="42"/>
      <c r="C119" s="698" t="s">
        <v>7</v>
      </c>
      <c r="D119" s="347"/>
      <c r="E119" s="494" t="s">
        <v>207</v>
      </c>
      <c r="F119" s="350">
        <v>0</v>
      </c>
      <c r="G119" s="42"/>
      <c r="H119" s="1102" t="s">
        <v>679</v>
      </c>
      <c r="I119" s="42"/>
      <c r="J119" s="41"/>
      <c r="K119" s="43"/>
      <c r="L119" s="1150">
        <v>0</v>
      </c>
      <c r="M119" s="43"/>
      <c r="N119" s="1150">
        <v>0</v>
      </c>
      <c r="O119" s="43"/>
      <c r="P119" s="1150">
        <v>0</v>
      </c>
      <c r="Q119" s="336"/>
      <c r="R119" s="1150">
        <f>Calculations!$B$80*Calculations!$C$80</f>
        <v>188000</v>
      </c>
      <c r="S119" s="344"/>
      <c r="T119" s="1150">
        <f>Calculations!$B$80*Calculations!$C$80</f>
        <v>188000</v>
      </c>
    </row>
    <row r="120" spans="1:20" ht="63.75" thickBot="1" x14ac:dyDescent="0.3">
      <c r="A120" s="711" t="s">
        <v>21</v>
      </c>
      <c r="B120" s="42"/>
      <c r="C120" s="698" t="s">
        <v>209</v>
      </c>
      <c r="D120" s="347">
        <v>47000</v>
      </c>
      <c r="E120" s="494" t="s">
        <v>207</v>
      </c>
      <c r="F120" s="350">
        <v>0.02</v>
      </c>
      <c r="G120" s="42"/>
      <c r="H120" s="1102" t="s">
        <v>680</v>
      </c>
      <c r="I120" s="42"/>
      <c r="J120" s="41"/>
      <c r="K120" s="43"/>
      <c r="L120" s="51">
        <v>0</v>
      </c>
      <c r="M120" s="43"/>
      <c r="N120" s="51">
        <v>0</v>
      </c>
      <c r="O120" s="43"/>
      <c r="P120" s="51">
        <v>0</v>
      </c>
      <c r="Q120" s="336"/>
      <c r="R120" s="51">
        <f t="shared" ref="R120:R136" si="16">IF($C120="Per Employee",$R$175*$D120,IF($C120="Per Pupil",$D120*$R$177,IF($C120="Fixed Per Year",$D120)))*(1+$F120)^3</f>
        <v>49876.775999999998</v>
      </c>
      <c r="S120" s="344"/>
      <c r="T120" s="51">
        <f t="shared" ref="T120:T136" si="17">IF($C120="Per Employee",$T$175*$D120,IF($C120="Per Pupil",$D120*$T$177,IF($C120="Fixed Per Year",$D120)))*(1+$F120)^4</f>
        <v>50874.311519999996</v>
      </c>
    </row>
    <row r="121" spans="1:20" ht="16.5" thickBot="1" x14ac:dyDescent="0.3">
      <c r="A121" s="711" t="s">
        <v>237</v>
      </c>
      <c r="B121" s="42"/>
      <c r="C121" s="698" t="s">
        <v>209</v>
      </c>
      <c r="D121" s="347">
        <v>23500</v>
      </c>
      <c r="E121" s="494" t="s">
        <v>207</v>
      </c>
      <c r="F121" s="350">
        <v>0.02</v>
      </c>
      <c r="G121" s="42"/>
      <c r="H121" s="1102" t="s">
        <v>681</v>
      </c>
      <c r="I121" s="42"/>
      <c r="J121" s="41"/>
      <c r="K121" s="43"/>
      <c r="L121" s="51">
        <v>0</v>
      </c>
      <c r="M121" s="43"/>
      <c r="N121" s="51">
        <v>0</v>
      </c>
      <c r="O121" s="43"/>
      <c r="P121" s="51">
        <v>0</v>
      </c>
      <c r="Q121" s="336"/>
      <c r="R121" s="51">
        <f t="shared" si="16"/>
        <v>24938.387999999999</v>
      </c>
      <c r="S121" s="344"/>
      <c r="T121" s="51">
        <f t="shared" si="17"/>
        <v>25437.155759999998</v>
      </c>
    </row>
    <row r="122" spans="1:20" ht="63.75" thickBot="1" x14ac:dyDescent="0.3">
      <c r="A122" s="711" t="s">
        <v>17</v>
      </c>
      <c r="B122" s="42"/>
      <c r="C122" s="698" t="s">
        <v>209</v>
      </c>
      <c r="D122" s="347">
        <v>1175</v>
      </c>
      <c r="E122" s="494" t="s">
        <v>207</v>
      </c>
      <c r="F122" s="350">
        <v>0.02</v>
      </c>
      <c r="G122" s="42"/>
      <c r="H122" s="1102" t="s">
        <v>682</v>
      </c>
      <c r="I122" s="42"/>
      <c r="J122" s="41"/>
      <c r="K122" s="43"/>
      <c r="L122" s="51">
        <v>0</v>
      </c>
      <c r="M122" s="43"/>
      <c r="N122" s="51">
        <v>0</v>
      </c>
      <c r="O122" s="43"/>
      <c r="P122" s="51">
        <v>0</v>
      </c>
      <c r="Q122" s="336"/>
      <c r="R122" s="51">
        <f t="shared" si="16"/>
        <v>1246.9194</v>
      </c>
      <c r="S122" s="344"/>
      <c r="T122" s="51">
        <f t="shared" si="17"/>
        <v>1271.857788</v>
      </c>
    </row>
    <row r="123" spans="1:20" ht="32.25" thickBot="1" x14ac:dyDescent="0.3">
      <c r="A123" s="711" t="s">
        <v>168</v>
      </c>
      <c r="B123" s="42"/>
      <c r="C123" s="698" t="s">
        <v>209</v>
      </c>
      <c r="D123" s="347">
        <v>39950</v>
      </c>
      <c r="E123" s="494" t="s">
        <v>207</v>
      </c>
      <c r="F123" s="350">
        <v>0.02</v>
      </c>
      <c r="G123" s="42"/>
      <c r="H123" s="1102" t="s">
        <v>683</v>
      </c>
      <c r="I123" s="42"/>
      <c r="J123" s="41"/>
      <c r="K123" s="43"/>
      <c r="L123" s="51">
        <v>0</v>
      </c>
      <c r="M123" s="43"/>
      <c r="N123" s="51">
        <v>0</v>
      </c>
      <c r="O123" s="43"/>
      <c r="P123" s="51">
        <v>0</v>
      </c>
      <c r="Q123" s="336"/>
      <c r="R123" s="51">
        <f t="shared" si="16"/>
        <v>42395.259599999998</v>
      </c>
      <c r="S123" s="344"/>
      <c r="T123" s="51">
        <f t="shared" si="17"/>
        <v>43243.164791999996</v>
      </c>
    </row>
    <row r="124" spans="1:20" ht="32.25" thickBot="1" x14ac:dyDescent="0.3">
      <c r="A124" s="711" t="s">
        <v>169</v>
      </c>
      <c r="B124" s="42"/>
      <c r="C124" s="698" t="s">
        <v>209</v>
      </c>
      <c r="D124" s="347">
        <v>35250</v>
      </c>
      <c r="E124" s="494" t="s">
        <v>207</v>
      </c>
      <c r="F124" s="350">
        <v>0.02</v>
      </c>
      <c r="G124" s="42"/>
      <c r="H124" s="1102" t="s">
        <v>684</v>
      </c>
      <c r="I124" s="42"/>
      <c r="J124" s="41"/>
      <c r="K124" s="43"/>
      <c r="L124" s="51">
        <v>0</v>
      </c>
      <c r="M124" s="43"/>
      <c r="N124" s="51">
        <v>0</v>
      </c>
      <c r="O124" s="43"/>
      <c r="P124" s="51">
        <v>0</v>
      </c>
      <c r="Q124" s="336"/>
      <c r="R124" s="51">
        <f t="shared" si="16"/>
        <v>37407.581999999995</v>
      </c>
      <c r="S124" s="344"/>
      <c r="T124" s="51">
        <f t="shared" si="17"/>
        <v>38155.733639999999</v>
      </c>
    </row>
    <row r="125" spans="1:20" ht="79.5" thickBot="1" x14ac:dyDescent="0.3">
      <c r="A125" s="711" t="s">
        <v>239</v>
      </c>
      <c r="B125" s="42"/>
      <c r="C125" s="698" t="s">
        <v>209</v>
      </c>
      <c r="D125" s="347">
        <v>9400</v>
      </c>
      <c r="E125" s="494" t="s">
        <v>207</v>
      </c>
      <c r="F125" s="350">
        <v>0.02</v>
      </c>
      <c r="G125" s="42"/>
      <c r="H125" s="1102" t="s">
        <v>685</v>
      </c>
      <c r="I125" s="42"/>
      <c r="J125" s="41"/>
      <c r="K125" s="43"/>
      <c r="L125" s="51">
        <v>0</v>
      </c>
      <c r="M125" s="43"/>
      <c r="N125" s="51">
        <v>0</v>
      </c>
      <c r="O125" s="43"/>
      <c r="P125" s="51">
        <v>0</v>
      </c>
      <c r="Q125" s="336"/>
      <c r="R125" s="51">
        <f t="shared" si="16"/>
        <v>9975.3552</v>
      </c>
      <c r="S125" s="344"/>
      <c r="T125" s="51">
        <f t="shared" si="17"/>
        <v>10174.862304</v>
      </c>
    </row>
    <row r="126" spans="1:20" ht="95.25" thickBot="1" x14ac:dyDescent="0.3">
      <c r="A126" s="711" t="s">
        <v>240</v>
      </c>
      <c r="B126" s="46"/>
      <c r="C126" s="698" t="s">
        <v>209</v>
      </c>
      <c r="D126" s="347">
        <v>15275</v>
      </c>
      <c r="E126" s="494" t="s">
        <v>207</v>
      </c>
      <c r="F126" s="350">
        <v>0.02</v>
      </c>
      <c r="G126" s="46"/>
      <c r="H126" s="1102" t="s">
        <v>686</v>
      </c>
      <c r="I126" s="46"/>
      <c r="J126" s="41"/>
      <c r="K126" s="43"/>
      <c r="L126" s="51">
        <v>0</v>
      </c>
      <c r="M126" s="43"/>
      <c r="N126" s="51">
        <v>0</v>
      </c>
      <c r="O126" s="43"/>
      <c r="P126" s="51">
        <v>0</v>
      </c>
      <c r="Q126" s="336"/>
      <c r="R126" s="51">
        <f t="shared" si="16"/>
        <v>16209.9522</v>
      </c>
      <c r="S126" s="344"/>
      <c r="T126" s="51">
        <f t="shared" si="17"/>
        <v>16534.151244000001</v>
      </c>
    </row>
    <row r="127" spans="1:20" ht="16.5" thickBot="1" x14ac:dyDescent="0.3">
      <c r="A127" s="719" t="s">
        <v>22</v>
      </c>
      <c r="B127" s="46"/>
      <c r="C127" s="698"/>
      <c r="D127" s="347"/>
      <c r="E127" s="494" t="s">
        <v>207</v>
      </c>
      <c r="F127" s="350"/>
      <c r="G127" s="46"/>
      <c r="H127" s="349"/>
      <c r="I127" s="46"/>
      <c r="J127" s="41"/>
      <c r="K127" s="43"/>
      <c r="L127" s="51">
        <f t="shared" ref="L127:L136" si="18">IF($C127="Per Employee",$L$175*$D127,IF($C127="Per Pupil",$D127*$L$177,IF($C127="Fixed Per Year",$D127,0)))</f>
        <v>0</v>
      </c>
      <c r="M127" s="43"/>
      <c r="N127" s="51">
        <f t="shared" ref="N127:N136" si="19">IF($C127="Per Employee",$N$175*$D127,IF($C127="Per Pupil",$D127*$N$177,IF($C127="Fixed Per Year",$D127)))*(1+$F127)^1</f>
        <v>0</v>
      </c>
      <c r="O127" s="43"/>
      <c r="P127" s="51">
        <f t="shared" ref="P127:P136" si="20">IF($C127="Per Employee",$P$175*$D127,IF($C127="Per Pupil",$D127*$P$177,IF($C127="Fixed Per Year",$D127)))*(1+$F127)^2</f>
        <v>0</v>
      </c>
      <c r="Q127" s="336"/>
      <c r="R127" s="51">
        <f t="shared" si="16"/>
        <v>0</v>
      </c>
      <c r="S127" s="344"/>
      <c r="T127" s="51">
        <f t="shared" si="17"/>
        <v>0</v>
      </c>
    </row>
    <row r="128" spans="1:20" ht="16.5" thickBot="1" x14ac:dyDescent="0.3">
      <c r="A128" s="711" t="s">
        <v>238</v>
      </c>
      <c r="B128" s="46"/>
      <c r="C128" s="698" t="s">
        <v>7</v>
      </c>
      <c r="D128" s="347"/>
      <c r="E128" s="494" t="s">
        <v>207</v>
      </c>
      <c r="F128" s="350"/>
      <c r="G128" s="46"/>
      <c r="H128" s="349"/>
      <c r="I128" s="46"/>
      <c r="J128" s="41"/>
      <c r="K128" s="43"/>
      <c r="L128" s="1150">
        <v>0</v>
      </c>
      <c r="M128" s="43"/>
      <c r="N128" s="1150">
        <v>0</v>
      </c>
      <c r="O128" s="43"/>
      <c r="P128" s="1150">
        <v>0</v>
      </c>
      <c r="Q128" s="336"/>
      <c r="R128" s="1150">
        <f>Loans!$B$18</f>
        <v>9646.5325853411468</v>
      </c>
      <c r="S128" s="344"/>
      <c r="T128" s="1150">
        <f>Loans!$B$18</f>
        <v>9646.5325853411468</v>
      </c>
    </row>
    <row r="129" spans="1:20" ht="16.5" thickBot="1" x14ac:dyDescent="0.3">
      <c r="A129" s="274"/>
      <c r="B129" s="46"/>
      <c r="C129" s="698"/>
      <c r="D129" s="347"/>
      <c r="E129" s="494" t="s">
        <v>207</v>
      </c>
      <c r="F129" s="350"/>
      <c r="G129" s="46"/>
      <c r="H129" s="349"/>
      <c r="I129" s="46"/>
      <c r="J129" s="41"/>
      <c r="K129" s="43"/>
      <c r="L129" s="51">
        <f t="shared" si="18"/>
        <v>0</v>
      </c>
      <c r="M129" s="43"/>
      <c r="N129" s="51">
        <f t="shared" si="19"/>
        <v>0</v>
      </c>
      <c r="O129" s="43"/>
      <c r="P129" s="51">
        <f t="shared" si="20"/>
        <v>0</v>
      </c>
      <c r="Q129" s="336"/>
      <c r="R129" s="51">
        <f t="shared" si="16"/>
        <v>0</v>
      </c>
      <c r="S129" s="344"/>
      <c r="T129" s="51">
        <f t="shared" si="17"/>
        <v>0</v>
      </c>
    </row>
    <row r="130" spans="1:20" ht="16.5" thickBot="1" x14ac:dyDescent="0.3">
      <c r="A130" s="274"/>
      <c r="B130" s="46"/>
      <c r="C130" s="698"/>
      <c r="D130" s="347"/>
      <c r="E130" s="494" t="s">
        <v>207</v>
      </c>
      <c r="F130" s="350"/>
      <c r="G130" s="46"/>
      <c r="H130" s="349"/>
      <c r="I130" s="46"/>
      <c r="J130" s="41"/>
      <c r="K130" s="43"/>
      <c r="L130" s="51">
        <f t="shared" si="18"/>
        <v>0</v>
      </c>
      <c r="M130" s="43"/>
      <c r="N130" s="51">
        <f t="shared" si="19"/>
        <v>0</v>
      </c>
      <c r="O130" s="43"/>
      <c r="P130" s="51">
        <f t="shared" si="20"/>
        <v>0</v>
      </c>
      <c r="Q130" s="336"/>
      <c r="R130" s="51">
        <f t="shared" si="16"/>
        <v>0</v>
      </c>
      <c r="S130" s="344"/>
      <c r="T130" s="51">
        <f t="shared" si="17"/>
        <v>0</v>
      </c>
    </row>
    <row r="131" spans="1:20" ht="16.5" thickBot="1" x14ac:dyDescent="0.3">
      <c r="A131" s="274"/>
      <c r="B131" s="46"/>
      <c r="C131" s="698"/>
      <c r="D131" s="347"/>
      <c r="E131" s="494" t="s">
        <v>207</v>
      </c>
      <c r="F131" s="350"/>
      <c r="G131" s="46"/>
      <c r="H131" s="349"/>
      <c r="I131" s="46"/>
      <c r="J131" s="41"/>
      <c r="K131" s="43"/>
      <c r="L131" s="51">
        <f t="shared" si="18"/>
        <v>0</v>
      </c>
      <c r="M131" s="43"/>
      <c r="N131" s="51">
        <f t="shared" si="19"/>
        <v>0</v>
      </c>
      <c r="O131" s="43"/>
      <c r="P131" s="51">
        <f t="shared" si="20"/>
        <v>0</v>
      </c>
      <c r="Q131" s="336"/>
      <c r="R131" s="51">
        <f t="shared" si="16"/>
        <v>0</v>
      </c>
      <c r="S131" s="344"/>
      <c r="T131" s="51">
        <f t="shared" si="17"/>
        <v>0</v>
      </c>
    </row>
    <row r="132" spans="1:20" ht="16.5" thickBot="1" x14ac:dyDescent="0.3">
      <c r="A132" s="274"/>
      <c r="B132" s="46"/>
      <c r="C132" s="698"/>
      <c r="D132" s="347"/>
      <c r="E132" s="494" t="s">
        <v>207</v>
      </c>
      <c r="F132" s="350"/>
      <c r="G132" s="46"/>
      <c r="H132" s="349"/>
      <c r="I132" s="46"/>
      <c r="J132" s="41"/>
      <c r="K132" s="43"/>
      <c r="L132" s="51">
        <f t="shared" si="18"/>
        <v>0</v>
      </c>
      <c r="M132" s="43"/>
      <c r="N132" s="51">
        <f t="shared" si="19"/>
        <v>0</v>
      </c>
      <c r="O132" s="43"/>
      <c r="P132" s="51">
        <f t="shared" si="20"/>
        <v>0</v>
      </c>
      <c r="Q132" s="336"/>
      <c r="R132" s="51">
        <f t="shared" si="16"/>
        <v>0</v>
      </c>
      <c r="S132" s="344"/>
      <c r="T132" s="51">
        <f t="shared" si="17"/>
        <v>0</v>
      </c>
    </row>
    <row r="133" spans="1:20" ht="16.5" thickBot="1" x14ac:dyDescent="0.3">
      <c r="A133" s="274"/>
      <c r="B133" s="46"/>
      <c r="C133" s="698"/>
      <c r="D133" s="347"/>
      <c r="E133" s="494" t="s">
        <v>207</v>
      </c>
      <c r="F133" s="350"/>
      <c r="G133" s="46"/>
      <c r="H133" s="349"/>
      <c r="I133" s="46"/>
      <c r="J133" s="41"/>
      <c r="K133" s="43"/>
      <c r="L133" s="51">
        <f t="shared" si="18"/>
        <v>0</v>
      </c>
      <c r="M133" s="43"/>
      <c r="N133" s="51">
        <f t="shared" si="19"/>
        <v>0</v>
      </c>
      <c r="O133" s="43"/>
      <c r="P133" s="51">
        <f t="shared" si="20"/>
        <v>0</v>
      </c>
      <c r="Q133" s="336"/>
      <c r="R133" s="51">
        <f t="shared" si="16"/>
        <v>0</v>
      </c>
      <c r="S133" s="344"/>
      <c r="T133" s="51">
        <f t="shared" si="17"/>
        <v>0</v>
      </c>
    </row>
    <row r="134" spans="1:20" ht="16.5" thickBot="1" x14ac:dyDescent="0.3">
      <c r="A134" s="274"/>
      <c r="B134" s="46"/>
      <c r="C134" s="698"/>
      <c r="D134" s="347"/>
      <c r="E134" s="494" t="s">
        <v>207</v>
      </c>
      <c r="F134" s="350"/>
      <c r="G134" s="46"/>
      <c r="H134" s="349"/>
      <c r="I134" s="46"/>
      <c r="J134" s="41"/>
      <c r="K134" s="43"/>
      <c r="L134" s="51">
        <f t="shared" si="18"/>
        <v>0</v>
      </c>
      <c r="M134" s="43"/>
      <c r="N134" s="51">
        <f t="shared" si="19"/>
        <v>0</v>
      </c>
      <c r="O134" s="43"/>
      <c r="P134" s="51">
        <f t="shared" si="20"/>
        <v>0</v>
      </c>
      <c r="Q134" s="336"/>
      <c r="R134" s="51">
        <f t="shared" si="16"/>
        <v>0</v>
      </c>
      <c r="S134" s="344"/>
      <c r="T134" s="51">
        <f t="shared" si="17"/>
        <v>0</v>
      </c>
    </row>
    <row r="135" spans="1:20" ht="16.5" thickBot="1" x14ac:dyDescent="0.3">
      <c r="A135" s="274"/>
      <c r="B135" s="46"/>
      <c r="C135" s="698"/>
      <c r="D135" s="347"/>
      <c r="E135" s="494" t="s">
        <v>207</v>
      </c>
      <c r="F135" s="350"/>
      <c r="G135" s="46"/>
      <c r="H135" s="349"/>
      <c r="I135" s="46"/>
      <c r="J135" s="41"/>
      <c r="K135" s="43"/>
      <c r="L135" s="51">
        <f t="shared" si="18"/>
        <v>0</v>
      </c>
      <c r="M135" s="43"/>
      <c r="N135" s="51">
        <f t="shared" si="19"/>
        <v>0</v>
      </c>
      <c r="O135" s="43"/>
      <c r="P135" s="51">
        <f t="shared" si="20"/>
        <v>0</v>
      </c>
      <c r="Q135" s="336"/>
      <c r="R135" s="51">
        <f t="shared" si="16"/>
        <v>0</v>
      </c>
      <c r="S135" s="344"/>
      <c r="T135" s="51">
        <f t="shared" si="17"/>
        <v>0</v>
      </c>
    </row>
    <row r="136" spans="1:20" ht="16.5" thickBot="1" x14ac:dyDescent="0.3">
      <c r="A136" s="274"/>
      <c r="B136" s="46"/>
      <c r="C136" s="698"/>
      <c r="D136" s="347"/>
      <c r="E136" s="494" t="s">
        <v>207</v>
      </c>
      <c r="F136" s="350"/>
      <c r="G136" s="46"/>
      <c r="H136" s="349"/>
      <c r="I136" s="46"/>
      <c r="J136" s="41"/>
      <c r="K136" s="43"/>
      <c r="L136" s="51">
        <f t="shared" si="18"/>
        <v>0</v>
      </c>
      <c r="M136" s="43"/>
      <c r="N136" s="51">
        <f t="shared" si="19"/>
        <v>0</v>
      </c>
      <c r="O136" s="43"/>
      <c r="P136" s="51">
        <f t="shared" si="20"/>
        <v>0</v>
      </c>
      <c r="Q136" s="336"/>
      <c r="R136" s="51">
        <f t="shared" si="16"/>
        <v>0</v>
      </c>
      <c r="S136" s="344"/>
      <c r="T136" s="51">
        <f t="shared" si="17"/>
        <v>0</v>
      </c>
    </row>
    <row r="137" spans="1:20" ht="16.5" thickBot="1" x14ac:dyDescent="0.3">
      <c r="A137" s="45"/>
      <c r="B137" s="46"/>
      <c r="C137" s="303"/>
      <c r="D137" s="303"/>
      <c r="E137" s="303"/>
      <c r="F137" s="303"/>
      <c r="G137" s="46"/>
      <c r="H137" s="287"/>
      <c r="I137" s="46"/>
      <c r="J137" s="54"/>
      <c r="K137" s="43"/>
      <c r="L137" s="54"/>
      <c r="M137" s="43"/>
      <c r="N137" s="54"/>
      <c r="O137" s="43"/>
      <c r="P137" s="54"/>
      <c r="Q137" s="336"/>
      <c r="R137" s="56"/>
      <c r="S137" s="345"/>
      <c r="T137" s="56"/>
    </row>
    <row r="138" spans="1:20" ht="16.5" thickBot="1" x14ac:dyDescent="0.3">
      <c r="B138" s="38"/>
      <c r="C138" s="300"/>
      <c r="D138" s="300"/>
      <c r="E138" s="300"/>
      <c r="F138" s="300"/>
      <c r="G138" s="38"/>
      <c r="H138" s="289" t="s">
        <v>20</v>
      </c>
      <c r="I138" s="38"/>
      <c r="J138" s="487">
        <f>SUM(J119:J136)</f>
        <v>0</v>
      </c>
      <c r="K138" s="361"/>
      <c r="L138" s="487">
        <f>SUM(L119:L136)</f>
        <v>0</v>
      </c>
      <c r="M138" s="361"/>
      <c r="N138" s="487">
        <f>SUM(N119:N136)</f>
        <v>0</v>
      </c>
      <c r="O138" s="361"/>
      <c r="P138" s="487">
        <f>SUM(P119:P136)</f>
        <v>0</v>
      </c>
      <c r="Q138" s="362"/>
      <c r="R138" s="487">
        <f>SUM(R119:R136)</f>
        <v>379696.76498534111</v>
      </c>
      <c r="S138" s="358"/>
      <c r="T138" s="487">
        <f>SUM(T119:T136)</f>
        <v>383337.76963334111</v>
      </c>
    </row>
    <row r="139" spans="1:20" ht="16.5" thickBot="1" x14ac:dyDescent="0.3">
      <c r="A139" s="57"/>
      <c r="B139" s="58"/>
      <c r="C139" s="305"/>
      <c r="D139" s="305"/>
      <c r="E139" s="305"/>
      <c r="F139" s="305"/>
      <c r="G139" s="58"/>
      <c r="H139" s="287"/>
      <c r="I139" s="58"/>
      <c r="J139" s="54"/>
      <c r="K139" s="59"/>
      <c r="L139" s="54"/>
      <c r="M139" s="59"/>
      <c r="N139" s="54"/>
      <c r="O139" s="59"/>
      <c r="P139" s="54"/>
      <c r="Q139" s="338"/>
      <c r="R139" s="56"/>
      <c r="S139" s="346"/>
      <c r="T139" s="56"/>
    </row>
    <row r="140" spans="1:20" ht="18.75" customHeight="1" thickBot="1" x14ac:dyDescent="0.3">
      <c r="A140" s="289" t="s">
        <v>236</v>
      </c>
      <c r="B140" s="38"/>
      <c r="C140" s="698"/>
      <c r="D140" s="347"/>
      <c r="E140" s="494" t="s">
        <v>207</v>
      </c>
      <c r="F140" s="350"/>
      <c r="G140" s="38"/>
      <c r="H140" s="369" t="str">
        <f>A140</f>
        <v>Education Management Organization Fee</v>
      </c>
      <c r="I140" s="38"/>
      <c r="J140" s="460"/>
      <c r="K140" s="363"/>
      <c r="L140" s="351">
        <f>IF($C140="Per Employee",$L$175*$D140,IF($C140="Per Pupil",$D140*$L$177,IF($C140="Fixed Per Year",$D140,0)))</f>
        <v>0</v>
      </c>
      <c r="M140" s="43"/>
      <c r="N140" s="351">
        <f>IF($C140="Per Employee",$N$175*$D140,IF($C140="Per Pupil",$D140*$N$177,IF($C140="Fixed Per Year",$D140)))*(1+$F140)^1</f>
        <v>0</v>
      </c>
      <c r="O140" s="43"/>
      <c r="P140" s="351">
        <f>IF($C140="Per Employee",$P$175*$D140,IF($C140="Per Pupil",$D140*$P$177,IF($C140="Fixed Per Year",$D140)))*(1+$F140)^2</f>
        <v>0</v>
      </c>
      <c r="Q140" s="336"/>
      <c r="R140" s="351">
        <f>IF($C140="Per Employee",$R$175*$D140,IF($C140="Per Pupil",$D140*$R$177,IF($C140="Fixed Per Year",$D140)))*(1+$F140)^3</f>
        <v>0</v>
      </c>
      <c r="S140" s="344"/>
      <c r="T140" s="351">
        <f>IF($C140="Per Employee",$T$175*$D140,IF($C140="Per Pupil",$D140*$T$177,IF($C140="Fixed Per Year",$D140)))*(1+$F140)^4</f>
        <v>0</v>
      </c>
    </row>
    <row r="141" spans="1:20" ht="16.5" thickBot="1" x14ac:dyDescent="0.3">
      <c r="A141" s="57"/>
      <c r="B141" s="58"/>
      <c r="C141" s="305"/>
      <c r="D141" s="305"/>
      <c r="E141" s="305"/>
      <c r="F141" s="305"/>
      <c r="G141" s="58"/>
      <c r="H141" s="287"/>
      <c r="I141" s="58"/>
      <c r="J141" s="54"/>
      <c r="K141" s="59"/>
      <c r="L141" s="54"/>
      <c r="M141" s="59"/>
      <c r="N141" s="54"/>
      <c r="O141" s="59"/>
      <c r="P141" s="54"/>
      <c r="Q141" s="338"/>
      <c r="R141" s="56"/>
      <c r="S141" s="346"/>
      <c r="T141" s="56"/>
    </row>
    <row r="142" spans="1:20" ht="18.75" customHeight="1" thickBot="1" x14ac:dyDescent="0.3">
      <c r="A142" s="367" t="s">
        <v>242</v>
      </c>
      <c r="B142" s="55"/>
      <c r="C142" s="304"/>
      <c r="D142" s="304"/>
      <c r="E142" s="304"/>
      <c r="F142" s="304"/>
      <c r="G142" s="55"/>
      <c r="H142" s="287"/>
      <c r="I142" s="55"/>
      <c r="J142" s="44"/>
      <c r="K142" s="43"/>
      <c r="L142" s="44"/>
      <c r="M142" s="43"/>
      <c r="N142" s="44"/>
      <c r="O142" s="43"/>
      <c r="P142" s="44"/>
      <c r="Q142" s="336"/>
      <c r="R142" s="34"/>
      <c r="S142" s="345"/>
      <c r="T142" s="34"/>
    </row>
    <row r="143" spans="1:20" ht="16.5" thickBot="1" x14ac:dyDescent="0.3">
      <c r="A143" s="717" t="s">
        <v>22</v>
      </c>
      <c r="B143" s="42"/>
      <c r="C143" s="698" t="s">
        <v>181</v>
      </c>
      <c r="D143" s="347">
        <v>70</v>
      </c>
      <c r="E143" s="494" t="s">
        <v>207</v>
      </c>
      <c r="F143" s="350"/>
      <c r="G143" s="42"/>
      <c r="H143" s="1147" t="s">
        <v>717</v>
      </c>
      <c r="I143" s="42"/>
      <c r="J143" s="41"/>
      <c r="K143" s="43"/>
      <c r="L143" s="1136">
        <v>0</v>
      </c>
      <c r="M143" s="43"/>
      <c r="N143" s="1144">
        <v>0</v>
      </c>
      <c r="O143" s="43"/>
      <c r="P143" s="1144">
        <v>0</v>
      </c>
      <c r="Q143" s="336"/>
      <c r="R143" s="1144">
        <f>'Central Ops Cost'!H79</f>
        <v>11550</v>
      </c>
      <c r="S143" s="344"/>
      <c r="T143" s="1144">
        <f>'Central Ops Cost'!J79</f>
        <v>11550</v>
      </c>
    </row>
    <row r="144" spans="1:20" ht="16.5" thickBot="1" x14ac:dyDescent="0.3">
      <c r="A144" s="718" t="s">
        <v>243</v>
      </c>
      <c r="B144" s="42"/>
      <c r="C144" s="698"/>
      <c r="D144" s="347"/>
      <c r="E144" s="494" t="s">
        <v>207</v>
      </c>
      <c r="F144" s="350"/>
      <c r="G144" s="42"/>
      <c r="H144" s="349"/>
      <c r="I144" s="42"/>
      <c r="J144" s="41"/>
      <c r="K144" s="43"/>
      <c r="L144" s="51">
        <f t="shared" ref="L144:L155" si="21">IF($C144="Per Employee",$L$175*$D144,IF($C144="Per Pupil",$D144*$L$177,IF($C144="Fixed Per Year",$D144,0)))</f>
        <v>0</v>
      </c>
      <c r="M144" s="43"/>
      <c r="N144" s="51">
        <f t="shared" ref="N144:N155" si="22">IF($C144="Per Employee",$N$175*$D144,IF($C144="Per Pupil",$D144*$N$177,IF($C144="Fixed Per Year",$D144)))*(1+$F144)^1</f>
        <v>0</v>
      </c>
      <c r="O144" s="43"/>
      <c r="P144" s="51">
        <f t="shared" ref="P144:P155" si="23">IF($C144="Per Employee",$P$175*$D144,IF($C144="Per Pupil",$D144*$P$177,IF($C144="Fixed Per Year",$D144)))*(1+$F144)^2</f>
        <v>0</v>
      </c>
      <c r="Q144" s="336"/>
      <c r="R144" s="51">
        <f t="shared" ref="R144:R155" si="24">IF($C144="Per Employee",$R$175*$D144,IF($C144="Per Pupil",$D144*$R$177,IF($C144="Fixed Per Year",$D144)))*(1+$F144)^3</f>
        <v>0</v>
      </c>
      <c r="S144" s="344"/>
      <c r="T144" s="51">
        <f t="shared" ref="T144:T155" si="25">IF($C144="Per Employee",$T$175*$D144,IF($C144="Per Pupil",$D144*$T$177,IF($C144="Fixed Per Year",$D144)))*(1+$F144)^4</f>
        <v>0</v>
      </c>
    </row>
    <row r="145" spans="1:20" ht="16.5" thickBot="1" x14ac:dyDescent="0.3">
      <c r="A145" s="718" t="s">
        <v>55</v>
      </c>
      <c r="B145" s="42"/>
      <c r="C145" s="698"/>
      <c r="D145" s="347"/>
      <c r="E145" s="494" t="s">
        <v>207</v>
      </c>
      <c r="F145" s="350"/>
      <c r="G145" s="42"/>
      <c r="H145" s="349"/>
      <c r="I145" s="42"/>
      <c r="J145" s="41"/>
      <c r="K145" s="43"/>
      <c r="L145" s="51">
        <f t="shared" si="21"/>
        <v>0</v>
      </c>
      <c r="M145" s="43"/>
      <c r="N145" s="51">
        <f t="shared" si="22"/>
        <v>0</v>
      </c>
      <c r="O145" s="43"/>
      <c r="P145" s="51">
        <f t="shared" si="23"/>
        <v>0</v>
      </c>
      <c r="Q145" s="336"/>
      <c r="R145" s="51">
        <f t="shared" si="24"/>
        <v>0</v>
      </c>
      <c r="S145" s="344"/>
      <c r="T145" s="51">
        <f t="shared" si="25"/>
        <v>0</v>
      </c>
    </row>
    <row r="146" spans="1:20" ht="32.25" thickBot="1" x14ac:dyDescent="0.3">
      <c r="A146" s="718" t="s">
        <v>244</v>
      </c>
      <c r="B146" s="42"/>
      <c r="C146" s="698" t="s">
        <v>7</v>
      </c>
      <c r="D146" s="347"/>
      <c r="E146" s="494" t="s">
        <v>207</v>
      </c>
      <c r="F146" s="350"/>
      <c r="G146" s="42"/>
      <c r="H146" s="1103" t="s">
        <v>687</v>
      </c>
      <c r="I146" s="42"/>
      <c r="J146" s="41"/>
      <c r="K146" s="43"/>
      <c r="L146" s="1146">
        <v>0</v>
      </c>
      <c r="M146" s="43"/>
      <c r="N146" s="51">
        <f t="shared" si="22"/>
        <v>0</v>
      </c>
      <c r="O146" s="43"/>
      <c r="P146" s="51">
        <f t="shared" si="23"/>
        <v>0</v>
      </c>
      <c r="Q146" s="336"/>
      <c r="R146" s="51">
        <f t="shared" si="24"/>
        <v>0</v>
      </c>
      <c r="S146" s="344"/>
      <c r="T146" s="51">
        <f t="shared" si="25"/>
        <v>0</v>
      </c>
    </row>
    <row r="147" spans="1:20" ht="16.5" thickBot="1" x14ac:dyDescent="0.3">
      <c r="A147" s="718" t="s">
        <v>23</v>
      </c>
      <c r="B147" s="42"/>
      <c r="C147" s="698"/>
      <c r="D147" s="347"/>
      <c r="E147" s="494" t="s">
        <v>207</v>
      </c>
      <c r="F147" s="350"/>
      <c r="G147" s="42"/>
      <c r="H147" s="349"/>
      <c r="I147" s="42"/>
      <c r="J147" s="41"/>
      <c r="K147" s="43"/>
      <c r="L147" s="51">
        <f t="shared" si="21"/>
        <v>0</v>
      </c>
      <c r="M147" s="43"/>
      <c r="N147" s="51">
        <f t="shared" si="22"/>
        <v>0</v>
      </c>
      <c r="O147" s="43"/>
      <c r="P147" s="51">
        <f t="shared" si="23"/>
        <v>0</v>
      </c>
      <c r="Q147" s="336"/>
      <c r="R147" s="51">
        <f t="shared" si="24"/>
        <v>0</v>
      </c>
      <c r="S147" s="344"/>
      <c r="T147" s="51">
        <f t="shared" si="25"/>
        <v>0</v>
      </c>
    </row>
    <row r="148" spans="1:20" ht="16.5" thickBot="1" x14ac:dyDescent="0.3">
      <c r="A148" s="1137" t="s">
        <v>714</v>
      </c>
      <c r="B148" s="42"/>
      <c r="C148" s="698" t="s">
        <v>7</v>
      </c>
      <c r="D148" s="347"/>
      <c r="E148" s="494" t="s">
        <v>207</v>
      </c>
      <c r="F148" s="350"/>
      <c r="G148" s="42"/>
      <c r="H148" s="1147" t="s">
        <v>718</v>
      </c>
      <c r="I148" s="42"/>
      <c r="J148" s="1145">
        <v>0</v>
      </c>
      <c r="K148" s="43"/>
      <c r="L148" s="1145">
        <v>0</v>
      </c>
      <c r="M148" s="43"/>
      <c r="N148" s="1145">
        <v>0</v>
      </c>
      <c r="O148" s="43"/>
      <c r="P148" s="1145">
        <v>0</v>
      </c>
      <c r="Q148" s="336"/>
      <c r="R148" s="1145">
        <f>'Central Ops Cost'!F76</f>
        <v>143315.28699689105</v>
      </c>
      <c r="S148" s="344"/>
      <c r="T148" s="1145">
        <f>'Central Ops Cost'!G76</f>
        <v>146181.5927368289</v>
      </c>
    </row>
    <row r="149" spans="1:20" ht="16.5" thickBot="1" x14ac:dyDescent="0.3">
      <c r="A149" s="286"/>
      <c r="B149" s="42"/>
      <c r="C149" s="698"/>
      <c r="D149" s="347"/>
      <c r="E149" s="494" t="s">
        <v>207</v>
      </c>
      <c r="F149" s="350"/>
      <c r="G149" s="42"/>
      <c r="H149" s="349"/>
      <c r="I149" s="42"/>
      <c r="J149" s="41"/>
      <c r="K149" s="43"/>
      <c r="L149" s="51">
        <f t="shared" si="21"/>
        <v>0</v>
      </c>
      <c r="M149" s="43"/>
      <c r="N149" s="51">
        <f t="shared" si="22"/>
        <v>0</v>
      </c>
      <c r="O149" s="43"/>
      <c r="P149" s="51">
        <f t="shared" si="23"/>
        <v>0</v>
      </c>
      <c r="Q149" s="336"/>
      <c r="R149" s="51">
        <f t="shared" si="24"/>
        <v>0</v>
      </c>
      <c r="S149" s="344"/>
      <c r="T149" s="51">
        <f t="shared" si="25"/>
        <v>0</v>
      </c>
    </row>
    <row r="150" spans="1:20" ht="16.5" thickBot="1" x14ac:dyDescent="0.3">
      <c r="A150" s="286"/>
      <c r="B150" s="42"/>
      <c r="C150" s="698"/>
      <c r="D150" s="347"/>
      <c r="E150" s="494" t="s">
        <v>207</v>
      </c>
      <c r="F150" s="350"/>
      <c r="G150" s="42"/>
      <c r="H150" s="349"/>
      <c r="I150" s="42"/>
      <c r="J150" s="41"/>
      <c r="K150" s="43"/>
      <c r="L150" s="51">
        <f t="shared" si="21"/>
        <v>0</v>
      </c>
      <c r="M150" s="43"/>
      <c r="N150" s="51">
        <f t="shared" si="22"/>
        <v>0</v>
      </c>
      <c r="O150" s="43"/>
      <c r="P150" s="51">
        <f t="shared" si="23"/>
        <v>0</v>
      </c>
      <c r="Q150" s="336"/>
      <c r="R150" s="51">
        <f t="shared" si="24"/>
        <v>0</v>
      </c>
      <c r="S150" s="344"/>
      <c r="T150" s="51">
        <f t="shared" si="25"/>
        <v>0</v>
      </c>
    </row>
    <row r="151" spans="1:20" ht="16.5" thickBot="1" x14ac:dyDescent="0.3">
      <c r="A151" s="286"/>
      <c r="B151" s="42"/>
      <c r="C151" s="698"/>
      <c r="D151" s="347"/>
      <c r="E151" s="494" t="s">
        <v>207</v>
      </c>
      <c r="F151" s="350"/>
      <c r="G151" s="42"/>
      <c r="H151" s="349"/>
      <c r="I151" s="42"/>
      <c r="J151" s="41"/>
      <c r="K151" s="43"/>
      <c r="L151" s="51">
        <f t="shared" si="21"/>
        <v>0</v>
      </c>
      <c r="M151" s="43"/>
      <c r="N151" s="51">
        <f t="shared" si="22"/>
        <v>0</v>
      </c>
      <c r="O151" s="43"/>
      <c r="P151" s="51">
        <f t="shared" si="23"/>
        <v>0</v>
      </c>
      <c r="Q151" s="336"/>
      <c r="R151" s="51">
        <f t="shared" si="24"/>
        <v>0</v>
      </c>
      <c r="S151" s="344"/>
      <c r="T151" s="51">
        <f t="shared" si="25"/>
        <v>0</v>
      </c>
    </row>
    <row r="152" spans="1:20" ht="16.5" thickBot="1" x14ac:dyDescent="0.3">
      <c r="A152" s="286"/>
      <c r="B152" s="42"/>
      <c r="C152" s="698"/>
      <c r="D152" s="347"/>
      <c r="E152" s="494" t="s">
        <v>207</v>
      </c>
      <c r="F152" s="350"/>
      <c r="G152" s="42"/>
      <c r="H152" s="349"/>
      <c r="I152" s="42"/>
      <c r="J152" s="41"/>
      <c r="K152" s="43"/>
      <c r="L152" s="51">
        <f t="shared" si="21"/>
        <v>0</v>
      </c>
      <c r="M152" s="43"/>
      <c r="N152" s="51">
        <f t="shared" si="22"/>
        <v>0</v>
      </c>
      <c r="O152" s="43"/>
      <c r="P152" s="51">
        <f t="shared" si="23"/>
        <v>0</v>
      </c>
      <c r="Q152" s="336"/>
      <c r="R152" s="51">
        <f t="shared" si="24"/>
        <v>0</v>
      </c>
      <c r="S152" s="344"/>
      <c r="T152" s="51">
        <f t="shared" si="25"/>
        <v>0</v>
      </c>
    </row>
    <row r="153" spans="1:20" ht="16.5" thickBot="1" x14ac:dyDescent="0.3">
      <c r="A153" s="286"/>
      <c r="B153" s="46"/>
      <c r="C153" s="698"/>
      <c r="D153" s="347"/>
      <c r="E153" s="494" t="s">
        <v>207</v>
      </c>
      <c r="F153" s="350"/>
      <c r="G153" s="46"/>
      <c r="H153" s="349"/>
      <c r="I153" s="46"/>
      <c r="J153" s="41"/>
      <c r="K153" s="43"/>
      <c r="L153" s="51">
        <f t="shared" si="21"/>
        <v>0</v>
      </c>
      <c r="M153" s="43"/>
      <c r="N153" s="51">
        <f t="shared" si="22"/>
        <v>0</v>
      </c>
      <c r="O153" s="43"/>
      <c r="P153" s="51">
        <f t="shared" si="23"/>
        <v>0</v>
      </c>
      <c r="Q153" s="336"/>
      <c r="R153" s="51">
        <f t="shared" si="24"/>
        <v>0</v>
      </c>
      <c r="S153" s="344"/>
      <c r="T153" s="51">
        <f t="shared" si="25"/>
        <v>0</v>
      </c>
    </row>
    <row r="154" spans="1:20" ht="16.5" thickBot="1" x14ac:dyDescent="0.3">
      <c r="A154" s="286"/>
      <c r="B154" s="46"/>
      <c r="C154" s="698"/>
      <c r="D154" s="347"/>
      <c r="E154" s="494" t="s">
        <v>207</v>
      </c>
      <c r="F154" s="350"/>
      <c r="G154" s="46"/>
      <c r="H154" s="349"/>
      <c r="I154" s="46"/>
      <c r="J154" s="41"/>
      <c r="K154" s="43"/>
      <c r="L154" s="51">
        <f t="shared" si="21"/>
        <v>0</v>
      </c>
      <c r="M154" s="43"/>
      <c r="N154" s="51">
        <f t="shared" si="22"/>
        <v>0</v>
      </c>
      <c r="O154" s="43"/>
      <c r="P154" s="51">
        <f t="shared" si="23"/>
        <v>0</v>
      </c>
      <c r="Q154" s="336"/>
      <c r="R154" s="51">
        <f t="shared" si="24"/>
        <v>0</v>
      </c>
      <c r="S154" s="344"/>
      <c r="T154" s="51">
        <f t="shared" si="25"/>
        <v>0</v>
      </c>
    </row>
    <row r="155" spans="1:20" ht="16.5" thickBot="1" x14ac:dyDescent="0.3">
      <c r="A155" s="286"/>
      <c r="B155" s="46"/>
      <c r="C155" s="698"/>
      <c r="D155" s="347"/>
      <c r="E155" s="494" t="s">
        <v>207</v>
      </c>
      <c r="F155" s="350"/>
      <c r="G155" s="46"/>
      <c r="H155" s="349"/>
      <c r="I155" s="46"/>
      <c r="J155" s="41"/>
      <c r="K155" s="43"/>
      <c r="L155" s="51">
        <f t="shared" si="21"/>
        <v>0</v>
      </c>
      <c r="M155" s="43"/>
      <c r="N155" s="51">
        <f t="shared" si="22"/>
        <v>0</v>
      </c>
      <c r="O155" s="43"/>
      <c r="P155" s="51">
        <f t="shared" si="23"/>
        <v>0</v>
      </c>
      <c r="Q155" s="336"/>
      <c r="R155" s="51">
        <f t="shared" si="24"/>
        <v>0</v>
      </c>
      <c r="S155" s="344"/>
      <c r="T155" s="51">
        <f t="shared" si="25"/>
        <v>0</v>
      </c>
    </row>
    <row r="156" spans="1:20" ht="16.5" thickBot="1" x14ac:dyDescent="0.3">
      <c r="A156" s="40"/>
      <c r="B156" s="42"/>
      <c r="C156" s="301"/>
      <c r="D156" s="301"/>
      <c r="E156" s="301"/>
      <c r="F156" s="301"/>
      <c r="G156" s="42"/>
      <c r="H156" s="287"/>
      <c r="I156" s="42"/>
      <c r="J156" s="47"/>
      <c r="K156" s="39"/>
      <c r="L156" s="47"/>
      <c r="M156" s="39"/>
      <c r="N156" s="47"/>
      <c r="O156" s="39"/>
      <c r="P156" s="47"/>
      <c r="Q156" s="335"/>
      <c r="R156" s="48"/>
      <c r="S156" s="344"/>
      <c r="T156" s="48"/>
    </row>
    <row r="157" spans="1:20" ht="16.5" thickBot="1" x14ac:dyDescent="0.3">
      <c r="B157" s="38"/>
      <c r="C157" s="300"/>
      <c r="D157" s="300"/>
      <c r="E157" s="300"/>
      <c r="F157" s="300"/>
      <c r="G157" s="38"/>
      <c r="H157" s="289" t="s">
        <v>24</v>
      </c>
      <c r="I157" s="38"/>
      <c r="J157" s="486">
        <f>SUM(J143:J155)</f>
        <v>0</v>
      </c>
      <c r="K157" s="359"/>
      <c r="L157" s="486">
        <f>SUM(L143:L155)</f>
        <v>0</v>
      </c>
      <c r="M157" s="359"/>
      <c r="N157" s="486">
        <f>SUM(N143:N155)</f>
        <v>0</v>
      </c>
      <c r="O157" s="359"/>
      <c r="P157" s="486">
        <f>SUM(P143:P155)</f>
        <v>0</v>
      </c>
      <c r="Q157" s="360"/>
      <c r="R157" s="486">
        <f>SUM(R143:R155)</f>
        <v>154865.28699689105</v>
      </c>
      <c r="S157" s="358"/>
      <c r="T157" s="486">
        <f>SUM(T143:T155)</f>
        <v>157731.5927368289</v>
      </c>
    </row>
    <row r="158" spans="1:20" ht="16.5" thickBot="1" x14ac:dyDescent="0.3">
      <c r="B158" s="62"/>
      <c r="C158" s="306"/>
      <c r="D158" s="306"/>
      <c r="E158" s="306"/>
      <c r="F158" s="306"/>
      <c r="G158" s="62"/>
      <c r="H158" s="61"/>
      <c r="I158" s="62"/>
      <c r="J158" s="29"/>
      <c r="K158" s="63"/>
      <c r="L158" s="29"/>
      <c r="M158" s="63"/>
      <c r="N158" s="29"/>
      <c r="O158" s="63"/>
      <c r="P158" s="29"/>
      <c r="Q158" s="331"/>
      <c r="R158" s="56"/>
      <c r="S158" s="346"/>
      <c r="T158" s="56"/>
    </row>
    <row r="159" spans="1:20" ht="16.5" thickBot="1" x14ac:dyDescent="0.3">
      <c r="B159" s="64"/>
      <c r="C159" s="307"/>
      <c r="D159" s="307"/>
      <c r="E159" s="307"/>
      <c r="F159" s="307"/>
      <c r="G159" s="64"/>
      <c r="H159" s="292" t="s">
        <v>25</v>
      </c>
      <c r="I159" s="64"/>
      <c r="J159" s="486">
        <f>J64+J92+J116+J138+J140+J157</f>
        <v>0</v>
      </c>
      <c r="K159" s="353"/>
      <c r="L159" s="486">
        <f>L64+L92+L116+L138+L140+L157</f>
        <v>0</v>
      </c>
      <c r="M159" s="353"/>
      <c r="N159" s="486">
        <f>N64+N92+N116+N138+N140+N157</f>
        <v>0</v>
      </c>
      <c r="O159" s="353"/>
      <c r="P159" s="486">
        <f>P64+P92+P116+P138+P140+P157</f>
        <v>0</v>
      </c>
      <c r="Q159" s="354"/>
      <c r="R159" s="486">
        <f>R64+R92+R116+R138+R140+R157</f>
        <v>1862403.2065258322</v>
      </c>
      <c r="S159" s="355"/>
      <c r="T159" s="486">
        <f>T64+T92+T116+T138+T140+T157</f>
        <v>1912385.7274992422</v>
      </c>
    </row>
    <row r="160" spans="1:20" ht="16.5" thickBot="1" x14ac:dyDescent="0.3">
      <c r="A160" s="61"/>
      <c r="B160" s="62"/>
      <c r="C160" s="306"/>
      <c r="D160" s="306"/>
      <c r="E160" s="306"/>
      <c r="F160" s="306"/>
      <c r="G160" s="62"/>
      <c r="H160" s="287"/>
      <c r="I160" s="62"/>
      <c r="J160" s="29"/>
      <c r="K160" s="63"/>
      <c r="L160" s="29"/>
      <c r="M160" s="63"/>
      <c r="N160" s="29"/>
      <c r="O160" s="63"/>
      <c r="P160" s="29"/>
      <c r="Q160" s="331"/>
      <c r="R160" s="56"/>
      <c r="S160" s="346"/>
      <c r="T160" s="56"/>
    </row>
    <row r="161" spans="1:20" ht="16.5" thickBot="1" x14ac:dyDescent="0.3">
      <c r="B161" s="374"/>
      <c r="C161" s="374"/>
      <c r="D161" s="374"/>
      <c r="E161" s="374"/>
      <c r="F161" s="374"/>
      <c r="G161" s="374"/>
      <c r="H161" s="375" t="s">
        <v>30</v>
      </c>
      <c r="I161" s="368"/>
      <c r="J161" s="488">
        <f>J35-J159</f>
        <v>152000</v>
      </c>
      <c r="K161" s="352"/>
      <c r="L161" s="488" t="e">
        <f>L35-L159</f>
        <v>#DIV/0!</v>
      </c>
      <c r="M161" s="352"/>
      <c r="N161" s="488" t="e">
        <f>N35-N159</f>
        <v>#DIV/0!</v>
      </c>
      <c r="O161" s="353"/>
      <c r="P161" s="488" t="e">
        <f>P35-P159</f>
        <v>#DIV/0!</v>
      </c>
      <c r="Q161" s="354"/>
      <c r="R161" s="488">
        <f>R35-R159</f>
        <v>340417.80247416743</v>
      </c>
      <c r="S161" s="934"/>
      <c r="T161" s="488">
        <f>T35-T159</f>
        <v>110367.93150075758</v>
      </c>
    </row>
    <row r="162" spans="1:20" ht="16.5" thickBot="1" x14ac:dyDescent="0.3">
      <c r="A162" s="60"/>
      <c r="B162" s="56"/>
      <c r="C162" s="306"/>
      <c r="D162" s="306"/>
      <c r="E162" s="306"/>
      <c r="F162" s="306"/>
      <c r="G162" s="56"/>
      <c r="H162" s="371"/>
      <c r="I162" s="56"/>
      <c r="J162" s="56"/>
      <c r="K162" s="56"/>
      <c r="L162" s="56"/>
      <c r="M162" s="56"/>
      <c r="N162" s="56"/>
      <c r="O162" s="56"/>
      <c r="P162" s="56"/>
      <c r="Q162" s="339"/>
      <c r="R162" s="56"/>
      <c r="S162" s="346"/>
      <c r="T162" s="56"/>
    </row>
    <row r="163" spans="1:20" ht="16.5" thickBot="1" x14ac:dyDescent="0.3">
      <c r="A163" s="60"/>
      <c r="B163" s="56"/>
      <c r="C163" s="306"/>
      <c r="D163" s="306"/>
      <c r="E163" s="306"/>
      <c r="F163" s="306"/>
      <c r="G163" s="56"/>
      <c r="H163" s="372" t="s">
        <v>434</v>
      </c>
      <c r="I163" s="56"/>
      <c r="J163" s="485">
        <f>0</f>
        <v>0</v>
      </c>
      <c r="K163" s="56"/>
      <c r="L163" s="489">
        <f>J165</f>
        <v>152000</v>
      </c>
      <c r="M163" s="654"/>
      <c r="N163" s="489" t="e">
        <f>L165</f>
        <v>#DIV/0!</v>
      </c>
      <c r="O163" s="654"/>
      <c r="P163" s="489" t="e">
        <f>N165</f>
        <v>#DIV/0!</v>
      </c>
      <c r="Q163" s="655"/>
      <c r="R163" s="489" t="e">
        <f>P165</f>
        <v>#DIV/0!</v>
      </c>
      <c r="S163" s="655"/>
      <c r="T163" s="489" t="e">
        <f>R165</f>
        <v>#DIV/0!</v>
      </c>
    </row>
    <row r="164" spans="1:20" ht="16.5" thickBot="1" x14ac:dyDescent="0.3">
      <c r="A164" s="66"/>
      <c r="B164" s="67"/>
      <c r="D164" s="309"/>
      <c r="E164" s="309"/>
      <c r="F164" s="309"/>
      <c r="G164" s="67"/>
      <c r="H164" s="373" t="s">
        <v>435</v>
      </c>
      <c r="I164" s="67"/>
      <c r="J164" s="489">
        <f>J161</f>
        <v>152000</v>
      </c>
      <c r="K164" s="68"/>
      <c r="L164" s="489" t="e">
        <f>L161</f>
        <v>#DIV/0!</v>
      </c>
      <c r="M164" s="656"/>
      <c r="N164" s="489" t="e">
        <f>N161</f>
        <v>#DIV/0!</v>
      </c>
      <c r="O164" s="656"/>
      <c r="P164" s="489" t="e">
        <f>P161</f>
        <v>#DIV/0!</v>
      </c>
      <c r="Q164" s="657"/>
      <c r="R164" s="489">
        <f>R161</f>
        <v>340417.80247416743</v>
      </c>
      <c r="S164" s="657"/>
      <c r="T164" s="489">
        <f>T161</f>
        <v>110367.93150075758</v>
      </c>
    </row>
    <row r="165" spans="1:20" ht="16.5" thickBot="1" x14ac:dyDescent="0.3">
      <c r="A165" s="35"/>
      <c r="B165" s="65"/>
      <c r="D165" s="308"/>
      <c r="E165" s="308"/>
      <c r="F165" s="308"/>
      <c r="G165" s="65"/>
      <c r="H165" s="454" t="s">
        <v>436</v>
      </c>
      <c r="I165" s="65"/>
      <c r="J165" s="489">
        <f>J163+J164</f>
        <v>152000</v>
      </c>
      <c r="K165" s="65"/>
      <c r="L165" s="489" t="e">
        <f>L163+L164</f>
        <v>#DIV/0!</v>
      </c>
      <c r="M165" s="658"/>
      <c r="N165" s="489" t="e">
        <f>N163+N164</f>
        <v>#DIV/0!</v>
      </c>
      <c r="O165" s="658"/>
      <c r="P165" s="489" t="e">
        <f>P163+P164</f>
        <v>#DIV/0!</v>
      </c>
      <c r="Q165" s="659"/>
      <c r="R165" s="489" t="e">
        <f>R163+R164</f>
        <v>#DIV/0!</v>
      </c>
      <c r="S165" s="660"/>
      <c r="T165" s="489" t="e">
        <f>T163+T164</f>
        <v>#DIV/0!</v>
      </c>
    </row>
    <row r="166" spans="1:20" ht="15.75" x14ac:dyDescent="0.25">
      <c r="A166" s="35"/>
      <c r="B166" s="35"/>
      <c r="D166" s="310"/>
      <c r="E166" s="310"/>
      <c r="F166" s="310"/>
      <c r="G166" s="35"/>
      <c r="H166" s="35"/>
      <c r="I166" s="35"/>
      <c r="J166" s="69"/>
      <c r="K166" s="35"/>
      <c r="L166" s="69"/>
      <c r="M166" s="35"/>
      <c r="N166" s="69"/>
      <c r="O166" s="35"/>
      <c r="P166" s="69"/>
      <c r="Q166" s="340"/>
      <c r="R166" s="69"/>
      <c r="S166" s="345"/>
    </row>
    <row r="167" spans="1:20" ht="15.75" x14ac:dyDescent="0.25">
      <c r="A167" s="35"/>
      <c r="B167" s="35"/>
      <c r="D167" s="310"/>
      <c r="E167" s="310"/>
      <c r="F167" s="310"/>
      <c r="G167" s="35"/>
      <c r="H167" s="35"/>
      <c r="I167" s="35"/>
      <c r="J167" s="69"/>
      <c r="K167" s="35"/>
      <c r="L167" s="69"/>
      <c r="M167" s="35"/>
      <c r="N167" s="69"/>
      <c r="O167" s="35"/>
      <c r="P167" s="69"/>
      <c r="Q167" s="340"/>
      <c r="R167" s="69"/>
      <c r="S167" s="345"/>
    </row>
    <row r="168" spans="1:20" ht="15.75" x14ac:dyDescent="0.25">
      <c r="A168" s="35"/>
      <c r="B168" s="35"/>
      <c r="D168" s="310"/>
      <c r="E168" s="310"/>
      <c r="F168" s="310"/>
      <c r="G168" s="35"/>
      <c r="H168" s="35"/>
      <c r="I168" s="35"/>
      <c r="J168" s="69"/>
      <c r="K168" s="35"/>
      <c r="L168" s="69"/>
      <c r="M168" s="35"/>
      <c r="N168" s="69"/>
      <c r="O168" s="35"/>
      <c r="P168" s="69"/>
      <c r="Q168" s="340"/>
      <c r="R168" s="69"/>
      <c r="S168" s="345"/>
    </row>
    <row r="169" spans="1:20" x14ac:dyDescent="0.2">
      <c r="D169" s="5"/>
      <c r="E169" s="5"/>
      <c r="F169" s="5"/>
    </row>
    <row r="171" spans="1:20" x14ac:dyDescent="0.2">
      <c r="H171" s="164"/>
      <c r="I171" s="164"/>
    </row>
    <row r="172" spans="1:20" ht="13.5" thickBot="1" x14ac:dyDescent="0.25">
      <c r="H172" s="164"/>
      <c r="I172" s="164"/>
    </row>
    <row r="173" spans="1:20" ht="13.5" thickBot="1" x14ac:dyDescent="0.25">
      <c r="H173" s="319"/>
      <c r="I173" s="319"/>
      <c r="J173" s="1186" t="s">
        <v>360</v>
      </c>
      <c r="K173" s="1187"/>
      <c r="L173" s="1187"/>
      <c r="M173" s="1187"/>
      <c r="N173" s="1187"/>
      <c r="O173" s="1187"/>
      <c r="P173" s="1187"/>
      <c r="Q173" s="1187"/>
      <c r="R173" s="1187"/>
      <c r="S173" s="1187"/>
      <c r="T173" s="1188"/>
    </row>
    <row r="174" spans="1:20" ht="17.100000000000001" customHeight="1" thickBot="1" x14ac:dyDescent="0.25">
      <c r="H174" s="164"/>
      <c r="I174" s="164"/>
      <c r="J174" s="318" t="s">
        <v>171</v>
      </c>
      <c r="K174" s="791"/>
      <c r="L174" s="315">
        <f>L9</f>
        <v>2017</v>
      </c>
      <c r="M174" s="461"/>
      <c r="N174" s="315">
        <f>N9</f>
        <v>2018</v>
      </c>
      <c r="O174" s="461"/>
      <c r="P174" s="315">
        <f>P9</f>
        <v>2019</v>
      </c>
      <c r="Q174" s="461"/>
      <c r="R174" s="315">
        <f>R9</f>
        <v>2020</v>
      </c>
      <c r="S174" s="461"/>
      <c r="T174" s="315">
        <f>T9</f>
        <v>2021</v>
      </c>
    </row>
    <row r="175" spans="1:20" ht="40.5" customHeight="1" thickBot="1" x14ac:dyDescent="0.25">
      <c r="H175" s="97"/>
      <c r="I175" s="97"/>
      <c r="J175" s="318" t="s">
        <v>182</v>
      </c>
      <c r="K175" s="791"/>
      <c r="L175" s="490">
        <f>Personnel!G191</f>
        <v>0</v>
      </c>
      <c r="M175" s="791"/>
      <c r="N175" s="490">
        <f>Personnel!I191</f>
        <v>0</v>
      </c>
      <c r="O175" s="791"/>
      <c r="P175" s="490">
        <f>Personnel!K191</f>
        <v>0</v>
      </c>
      <c r="Q175" s="791"/>
      <c r="R175" s="490">
        <f>Personnel!M191</f>
        <v>15.899999999999999</v>
      </c>
      <c r="S175" s="791"/>
      <c r="T175" s="490">
        <f>Personnel!O191</f>
        <v>15.899999999999999</v>
      </c>
    </row>
    <row r="176" spans="1:20" ht="40.5" customHeight="1" thickBot="1" x14ac:dyDescent="0.25">
      <c r="H176" s="97"/>
      <c r="I176" s="97"/>
      <c r="J176" s="318" t="s">
        <v>183</v>
      </c>
      <c r="K176" s="791"/>
      <c r="L176" s="390">
        <f>Personnel!G189</f>
        <v>0</v>
      </c>
      <c r="M176" s="791"/>
      <c r="N176" s="390">
        <f>Personnel!I189</f>
        <v>0</v>
      </c>
      <c r="O176" s="791"/>
      <c r="P176" s="390">
        <f>Personnel!K189</f>
        <v>0</v>
      </c>
      <c r="Q176" s="791"/>
      <c r="R176" s="390">
        <f>Personnel!M189</f>
        <v>745250</v>
      </c>
      <c r="S176" s="791"/>
      <c r="T176" s="390">
        <f>Personnel!O189</f>
        <v>760155</v>
      </c>
    </row>
    <row r="177" spans="3:20" ht="40.5" customHeight="1" thickBot="1" x14ac:dyDescent="0.25">
      <c r="H177" s="97"/>
      <c r="I177" s="97"/>
      <c r="J177" s="318" t="s">
        <v>247</v>
      </c>
      <c r="K177" s="462"/>
      <c r="L177" s="490">
        <f>'Revenues-Fed, State, &amp; Expan. '!E97</f>
        <v>0</v>
      </c>
      <c r="M177" s="462"/>
      <c r="N177" s="490">
        <f>'Revenues-Fed, State, &amp; Expan. '!G97</f>
        <v>0</v>
      </c>
      <c r="O177" s="462"/>
      <c r="P177" s="490">
        <f>'Revenues-Fed, State, &amp; Expan. '!I97</f>
        <v>0</v>
      </c>
      <c r="Q177" s="462"/>
      <c r="R177" s="490">
        <f>'Revenues-Fed, State, &amp; Expan. '!K97</f>
        <v>165</v>
      </c>
      <c r="S177" s="462"/>
      <c r="T177" s="490">
        <f>'Revenues-Fed, State, &amp; Expan. '!M97</f>
        <v>165</v>
      </c>
    </row>
    <row r="178" spans="3:20" x14ac:dyDescent="0.2">
      <c r="H178" s="97"/>
      <c r="I178" s="97"/>
    </row>
    <row r="180" spans="3:20" hidden="1" x14ac:dyDescent="0.2">
      <c r="C180" s="5">
        <v>2015</v>
      </c>
    </row>
    <row r="181" spans="3:20" hidden="1" x14ac:dyDescent="0.2">
      <c r="C181" s="5">
        <v>2016</v>
      </c>
    </row>
    <row r="184" spans="3:20" ht="15.75" hidden="1" x14ac:dyDescent="0.25">
      <c r="C184" s="299" t="s">
        <v>178</v>
      </c>
    </row>
    <row r="185" spans="3:20" ht="15.75" hidden="1" x14ac:dyDescent="0.25">
      <c r="C185" s="309" t="s">
        <v>181</v>
      </c>
    </row>
    <row r="186" spans="3:20" ht="15.75" hidden="1" x14ac:dyDescent="0.25">
      <c r="C186" s="299"/>
    </row>
    <row r="187" spans="3:20" ht="15.75" hidden="1" x14ac:dyDescent="0.25">
      <c r="C187" s="308"/>
    </row>
    <row r="188" spans="3:20" ht="15.75" hidden="1" x14ac:dyDescent="0.25">
      <c r="C188" s="310"/>
    </row>
    <row r="189" spans="3:20" ht="15.75" hidden="1" x14ac:dyDescent="0.25">
      <c r="C189" s="310" t="s">
        <v>209</v>
      </c>
    </row>
    <row r="190" spans="3:20" ht="15.75" hidden="1" x14ac:dyDescent="0.25">
      <c r="C190" s="310" t="s">
        <v>180</v>
      </c>
    </row>
    <row r="191" spans="3:20" hidden="1" x14ac:dyDescent="0.2">
      <c r="C191" s="5" t="s">
        <v>179</v>
      </c>
    </row>
    <row r="192" spans="3:20" hidden="1" x14ac:dyDescent="0.2">
      <c r="C192" s="5" t="s">
        <v>7</v>
      </c>
    </row>
    <row r="193" spans="3:3" hidden="1" x14ac:dyDescent="0.2"/>
    <row r="194" spans="3:3" hidden="1" x14ac:dyDescent="0.2"/>
    <row r="195" spans="3:3" hidden="1" x14ac:dyDescent="0.2">
      <c r="C195" s="5" t="s">
        <v>209</v>
      </c>
    </row>
    <row r="196" spans="3:3" hidden="1" x14ac:dyDescent="0.2">
      <c r="C196" s="5" t="s">
        <v>181</v>
      </c>
    </row>
    <row r="197" spans="3:3" hidden="1" x14ac:dyDescent="0.2">
      <c r="C197" s="5" t="s">
        <v>179</v>
      </c>
    </row>
    <row r="198" spans="3:3" hidden="1" x14ac:dyDescent="0.2">
      <c r="C198" s="5" t="s">
        <v>7</v>
      </c>
    </row>
    <row r="199" spans="3:3" hidden="1" x14ac:dyDescent="0.2"/>
    <row r="200" spans="3:3" hidden="1" x14ac:dyDescent="0.2"/>
    <row r="201" spans="3:3" hidden="1" x14ac:dyDescent="0.2">
      <c r="C201" s="5" t="s">
        <v>0</v>
      </c>
    </row>
    <row r="202" spans="3:3" hidden="1" x14ac:dyDescent="0.2">
      <c r="C202" s="5" t="s">
        <v>433</v>
      </c>
    </row>
    <row r="203" spans="3:3" hidden="1" x14ac:dyDescent="0.2"/>
  </sheetData>
  <sheetProtection password="CC59" sheet="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phoneticPr fontId="22" type="noConversion"/>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ageMargins left="0" right="0" top="0" bottom="0" header="0.3" footer="0.3"/>
  <pageSetup paperSize="5"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7"/>
  <sheetViews>
    <sheetView tabSelected="1" topLeftCell="A147" workbookViewId="0">
      <selection activeCell="F74" sqref="F74"/>
    </sheetView>
  </sheetViews>
  <sheetFormatPr defaultRowHeight="12.75" x14ac:dyDescent="0.2"/>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37" customWidth="1"/>
    <col min="12" max="12" width="18.7109375" customWidth="1"/>
    <col min="13" max="13" width="3.42578125" style="337" customWidth="1"/>
    <col min="14" max="14" width="18.7109375" customWidth="1"/>
    <col min="15" max="15" width="9.140625" style="4"/>
    <col min="16" max="20" width="12.28515625" style="702" customWidth="1"/>
    <col min="21" max="21" width="9.140625" style="4"/>
    <col min="22" max="23" width="12.7109375" style="4" bestFit="1" customWidth="1"/>
    <col min="24" max="24" width="14.140625" style="4" bestFit="1" customWidth="1"/>
    <col min="25" max="26" width="12.7109375" style="4" bestFit="1" customWidth="1"/>
  </cols>
  <sheetData>
    <row r="1" spans="1:20" ht="22.5" customHeight="1" thickBot="1" x14ac:dyDescent="0.25">
      <c r="A1" s="709" t="str">
        <f>'Budget with Assumptions'!A2</f>
        <v>Connected Future Academy Campus 5</v>
      </c>
      <c r="B1" s="15"/>
      <c r="C1" s="15"/>
      <c r="D1" s="16"/>
      <c r="E1" s="16"/>
      <c r="F1" s="16"/>
      <c r="G1" s="16"/>
      <c r="H1" s="16"/>
      <c r="I1" s="16"/>
      <c r="J1" s="16"/>
      <c r="K1" s="324"/>
      <c r="L1" s="14"/>
      <c r="M1" s="341"/>
    </row>
    <row r="2" spans="1:20" ht="23.25" customHeight="1" thickBot="1" x14ac:dyDescent="0.25">
      <c r="A2" s="710" t="s">
        <v>352</v>
      </c>
      <c r="B2" s="15"/>
      <c r="C2" s="15"/>
      <c r="D2" s="17"/>
      <c r="E2" s="17"/>
      <c r="F2" s="17"/>
      <c r="G2" s="17"/>
      <c r="H2" s="17"/>
      <c r="I2" s="17"/>
      <c r="J2" s="17"/>
      <c r="K2" s="325"/>
      <c r="L2" s="18"/>
      <c r="M2" s="342"/>
    </row>
    <row r="3" spans="1:20" ht="16.5" customHeight="1" x14ac:dyDescent="0.35">
      <c r="A3" s="21"/>
      <c r="B3" s="21"/>
      <c r="C3" s="21"/>
    </row>
    <row r="4" spans="1:20" ht="16.5" customHeight="1" x14ac:dyDescent="0.35">
      <c r="A4" s="21"/>
      <c r="B4" s="21"/>
      <c r="C4" s="21"/>
    </row>
    <row r="5" spans="1:20" ht="16.5" customHeight="1" x14ac:dyDescent="0.35">
      <c r="A5" s="21"/>
      <c r="B5" s="21"/>
      <c r="C5" s="21"/>
    </row>
    <row r="6" spans="1:20" ht="16.5" customHeight="1" thickBot="1" x14ac:dyDescent="0.4">
      <c r="A6" s="21"/>
      <c r="B6" s="21"/>
      <c r="C6" s="21"/>
    </row>
    <row r="7" spans="1:20" ht="30" customHeight="1" thickBot="1" x14ac:dyDescent="0.3">
      <c r="A7" s="72"/>
      <c r="B7" s="70"/>
      <c r="C7" s="70"/>
      <c r="D7" s="1283" t="s">
        <v>170</v>
      </c>
    </row>
    <row r="8" spans="1:20" ht="27.75" customHeight="1" thickBot="1" x14ac:dyDescent="0.4">
      <c r="A8" s="2"/>
      <c r="B8" s="70"/>
      <c r="C8" s="70"/>
      <c r="D8" s="1284"/>
      <c r="E8" s="21"/>
      <c r="F8" s="1263" t="s">
        <v>507</v>
      </c>
      <c r="G8" s="1264"/>
      <c r="H8" s="1264"/>
      <c r="I8" s="1264"/>
      <c r="J8" s="1264"/>
      <c r="K8" s="1264"/>
      <c r="L8" s="1264"/>
      <c r="M8" s="1264"/>
      <c r="N8" s="1265"/>
      <c r="P8" s="1280" t="s">
        <v>349</v>
      </c>
      <c r="Q8" s="1281"/>
      <c r="R8" s="1281"/>
      <c r="S8" s="1281"/>
      <c r="T8" s="1282"/>
    </row>
    <row r="9" spans="1:20" ht="23.25" thickBot="1" x14ac:dyDescent="0.35">
      <c r="A9" s="290" t="s">
        <v>176</v>
      </c>
      <c r="B9" s="2"/>
      <c r="C9" s="2"/>
      <c r="D9" s="1007">
        <f>'Budget with Assumptions'!J9</f>
        <v>2016</v>
      </c>
      <c r="E9" s="70"/>
      <c r="F9" s="364">
        <f>'Budget with Assumptions'!L9</f>
        <v>2017</v>
      </c>
      <c r="G9" s="329"/>
      <c r="H9" s="364">
        <f>'Budget with Assumptions'!N9</f>
        <v>2018</v>
      </c>
      <c r="I9" s="329"/>
      <c r="J9" s="364">
        <f>'Budget with Assumptions'!P9</f>
        <v>2019</v>
      </c>
      <c r="K9" s="329"/>
      <c r="L9" s="364">
        <f>'Budget with Assumptions'!R9</f>
        <v>2020</v>
      </c>
      <c r="M9" s="343"/>
      <c r="N9" s="364">
        <f>'Budget with Assumptions'!T9</f>
        <v>2021</v>
      </c>
      <c r="P9" s="914">
        <f>'Budget with Assumptions'!L9</f>
        <v>2017</v>
      </c>
      <c r="Q9" s="914">
        <f>'Budget with Assumptions'!N9</f>
        <v>2018</v>
      </c>
      <c r="R9" s="914">
        <f>'Budget with Assumptions'!P9</f>
        <v>2019</v>
      </c>
      <c r="S9" s="914">
        <f>'Budget with Assumptions'!R9</f>
        <v>2020</v>
      </c>
      <c r="T9" s="914">
        <f>'Budget with Assumptions'!T9</f>
        <v>2021</v>
      </c>
    </row>
    <row r="10" spans="1:20" ht="18" x14ac:dyDescent="0.25">
      <c r="A10" s="455" t="str">
        <f>'Budget with Assumptions'!A10</f>
        <v>SBB &amp; Non-SBB ( Grades K-3)</v>
      </c>
      <c r="B10" s="24"/>
      <c r="C10" s="24"/>
      <c r="D10" s="365">
        <f>'Budget with Assumptions'!J10</f>
        <v>0</v>
      </c>
      <c r="E10" s="891"/>
      <c r="F10" s="365">
        <f>'Budget with Assumptions'!L10</f>
        <v>0</v>
      </c>
      <c r="G10" s="743"/>
      <c r="H10" s="365">
        <f>'Budget with Assumptions'!N10</f>
        <v>0</v>
      </c>
      <c r="I10" s="743"/>
      <c r="J10" s="365">
        <f>'Budget with Assumptions'!P10</f>
        <v>0</v>
      </c>
      <c r="K10" s="876"/>
      <c r="L10" s="365">
        <f>'Budget with Assumptions'!R10</f>
        <v>0</v>
      </c>
      <c r="M10" s="876"/>
      <c r="N10" s="365">
        <f>'Budget with Assumptions'!T10</f>
        <v>0</v>
      </c>
      <c r="P10" s="915" t="e">
        <f>F10/$F$35</f>
        <v>#DIV/0!</v>
      </c>
      <c r="Q10" s="915" t="e">
        <f>H10/$H$35</f>
        <v>#DIV/0!</v>
      </c>
      <c r="R10" s="915" t="e">
        <f>J10/$J$35</f>
        <v>#DIV/0!</v>
      </c>
      <c r="S10" s="915">
        <f>L10/$L$35</f>
        <v>0</v>
      </c>
      <c r="T10" s="915">
        <f>N10/$N$35</f>
        <v>0</v>
      </c>
    </row>
    <row r="11" spans="1:20" ht="15.75" x14ac:dyDescent="0.25">
      <c r="A11" s="455" t="str">
        <f>'Budget with Assumptions'!A11</f>
        <v>SBB &amp; Non-SBB (Grades 4-8)</v>
      </c>
      <c r="B11" s="24"/>
      <c r="C11" s="24"/>
      <c r="D11" s="365">
        <f>'Budget with Assumptions'!J11</f>
        <v>0</v>
      </c>
      <c r="E11" s="892"/>
      <c r="F11" s="365">
        <f>'Budget with Assumptions'!L11</f>
        <v>0</v>
      </c>
      <c r="G11" s="893"/>
      <c r="H11" s="365">
        <f>'Budget with Assumptions'!N11</f>
        <v>0</v>
      </c>
      <c r="I11" s="893"/>
      <c r="J11" s="365">
        <f>'Budget with Assumptions'!P11</f>
        <v>0</v>
      </c>
      <c r="K11" s="894"/>
      <c r="L11" s="365">
        <f>'Budget with Assumptions'!R11</f>
        <v>0</v>
      </c>
      <c r="M11" s="890"/>
      <c r="N11" s="365">
        <f>'Budget with Assumptions'!T11</f>
        <v>0</v>
      </c>
      <c r="P11" s="916" t="e">
        <f>F11/$F$35</f>
        <v>#DIV/0!</v>
      </c>
      <c r="Q11" s="916" t="e">
        <f>H11/$H$35</f>
        <v>#DIV/0!</v>
      </c>
      <c r="R11" s="915" t="e">
        <f t="shared" ref="R11:R33" si="0">J11/$J$35</f>
        <v>#DIV/0!</v>
      </c>
      <c r="S11" s="915">
        <f t="shared" ref="S11:S33" si="1">L11/$L$35</f>
        <v>0</v>
      </c>
      <c r="T11" s="915">
        <f t="shared" ref="T11:T33" si="2">N11/$N$35</f>
        <v>0</v>
      </c>
    </row>
    <row r="12" spans="1:20" ht="31.5" x14ac:dyDescent="0.25">
      <c r="A12" s="777" t="str">
        <f>'Budget with Assumptions'!A12</f>
        <v>SBB &amp; Non-SBB (Grades 6-8)-This only for schools that have HS grades with grades 6-8.</v>
      </c>
      <c r="B12" s="24"/>
      <c r="C12" s="24"/>
      <c r="D12" s="365">
        <f>'Budget with Assumptions'!J12</f>
        <v>0</v>
      </c>
      <c r="E12" s="892"/>
      <c r="F12" s="365">
        <f>'Budget with Assumptions'!L12</f>
        <v>0</v>
      </c>
      <c r="G12" s="893"/>
      <c r="H12" s="365">
        <f>'Budget with Assumptions'!N12</f>
        <v>0</v>
      </c>
      <c r="I12" s="893"/>
      <c r="J12" s="365">
        <f>'Budget with Assumptions'!P12</f>
        <v>0</v>
      </c>
      <c r="K12" s="894"/>
      <c r="L12" s="365">
        <f>'Budget with Assumptions'!R12</f>
        <v>0</v>
      </c>
      <c r="M12" s="890"/>
      <c r="N12" s="365">
        <f>'Budget with Assumptions'!T12</f>
        <v>0</v>
      </c>
      <c r="P12" s="916" t="e">
        <f t="shared" ref="P12:P33" si="3">F12/$F$35</f>
        <v>#DIV/0!</v>
      </c>
      <c r="Q12" s="916" t="e">
        <f t="shared" ref="Q12:Q33" si="4">H12/$H$35</f>
        <v>#DIV/0!</v>
      </c>
      <c r="R12" s="915" t="e">
        <f t="shared" si="0"/>
        <v>#DIV/0!</v>
      </c>
      <c r="S12" s="915">
        <f t="shared" si="1"/>
        <v>0</v>
      </c>
      <c r="T12" s="915">
        <f t="shared" si="2"/>
        <v>0</v>
      </c>
    </row>
    <row r="13" spans="1:20" ht="15.75" x14ac:dyDescent="0.25">
      <c r="A13" s="455" t="str">
        <f>'Budget with Assumptions'!A13</f>
        <v>SBB &amp; Non-SBB (High School)</v>
      </c>
      <c r="B13" s="24"/>
      <c r="C13" s="24"/>
      <c r="D13" s="365">
        <f>'Budget with Assumptions'!J13</f>
        <v>0</v>
      </c>
      <c r="E13" s="892"/>
      <c r="F13" s="365">
        <f>'Budget with Assumptions'!L13</f>
        <v>0</v>
      </c>
      <c r="G13" s="893"/>
      <c r="H13" s="365">
        <f>'Budget with Assumptions'!N13</f>
        <v>0</v>
      </c>
      <c r="I13" s="893"/>
      <c r="J13" s="365">
        <f>'Budget with Assumptions'!P13</f>
        <v>0</v>
      </c>
      <c r="K13" s="894"/>
      <c r="L13" s="365">
        <f>'Budget with Assumptions'!R13</f>
        <v>1413481.5089999998</v>
      </c>
      <c r="M13" s="890"/>
      <c r="N13" s="365">
        <f>'Budget with Assumptions'!T13</f>
        <v>1413481.5089999998</v>
      </c>
      <c r="P13" s="916" t="e">
        <f t="shared" si="3"/>
        <v>#DIV/0!</v>
      </c>
      <c r="Q13" s="916" t="e">
        <f t="shared" si="4"/>
        <v>#DIV/0!</v>
      </c>
      <c r="R13" s="915" t="e">
        <f t="shared" si="0"/>
        <v>#DIV/0!</v>
      </c>
      <c r="S13" s="915">
        <f t="shared" si="1"/>
        <v>0.64166879797540555</v>
      </c>
      <c r="T13" s="915">
        <f t="shared" si="2"/>
        <v>0.69879073149163939</v>
      </c>
    </row>
    <row r="14" spans="1:20" ht="15.75" x14ac:dyDescent="0.25">
      <c r="A14" s="455" t="str">
        <f>'Budget with Assumptions'!A14</f>
        <v>CPS Start-up Funds</v>
      </c>
      <c r="B14" s="24"/>
      <c r="C14" s="24"/>
      <c r="D14" s="365">
        <f>'Budget with Assumptions'!J14</f>
        <v>0</v>
      </c>
      <c r="E14" s="892"/>
      <c r="F14" s="365">
        <f>'Budget with Assumptions'!L14</f>
        <v>118750</v>
      </c>
      <c r="G14" s="893"/>
      <c r="H14" s="365">
        <f>'Budget with Assumptions'!N14</f>
        <v>0</v>
      </c>
      <c r="I14" s="893"/>
      <c r="J14" s="365">
        <f>'Budget with Assumptions'!P14</f>
        <v>0</v>
      </c>
      <c r="K14" s="894"/>
      <c r="L14" s="365">
        <f>'Budget with Assumptions'!R14</f>
        <v>0</v>
      </c>
      <c r="M14" s="890"/>
      <c r="N14" s="365">
        <f>'Budget with Assumptions'!T14</f>
        <v>0</v>
      </c>
      <c r="P14" s="916" t="e">
        <f t="shared" si="3"/>
        <v>#DIV/0!</v>
      </c>
      <c r="Q14" s="916" t="e">
        <f t="shared" si="4"/>
        <v>#DIV/0!</v>
      </c>
      <c r="R14" s="915" t="e">
        <f t="shared" si="0"/>
        <v>#DIV/0!</v>
      </c>
      <c r="S14" s="915">
        <f t="shared" si="1"/>
        <v>0</v>
      </c>
      <c r="T14" s="915">
        <f t="shared" si="2"/>
        <v>0</v>
      </c>
    </row>
    <row r="15" spans="1:20" ht="15.75" x14ac:dyDescent="0.25">
      <c r="A15" s="455" t="str">
        <f>'Budget with Assumptions'!A15</f>
        <v>CPS Expansion Funds</v>
      </c>
      <c r="B15" s="24"/>
      <c r="C15" s="24"/>
      <c r="D15" s="365">
        <f>'Budget with Assumptions'!J15</f>
        <v>0</v>
      </c>
      <c r="E15" s="892"/>
      <c r="F15" s="365">
        <f>'Budget with Assumptions'!L15</f>
        <v>0</v>
      </c>
      <c r="G15" s="895"/>
      <c r="H15" s="365">
        <f>'Budget with Assumptions'!N15</f>
        <v>0</v>
      </c>
      <c r="I15" s="895"/>
      <c r="J15" s="365">
        <f>'Budget with Assumptions'!P15</f>
        <v>0</v>
      </c>
      <c r="K15" s="896"/>
      <c r="L15" s="365">
        <f>'Budget with Assumptions'!R15</f>
        <v>0</v>
      </c>
      <c r="M15" s="657"/>
      <c r="N15" s="365">
        <f>'Budget with Assumptions'!T15</f>
        <v>0</v>
      </c>
      <c r="P15" s="916" t="e">
        <f t="shared" si="3"/>
        <v>#DIV/0!</v>
      </c>
      <c r="Q15" s="916" t="e">
        <f t="shared" si="4"/>
        <v>#DIV/0!</v>
      </c>
      <c r="R15" s="915" t="e">
        <f t="shared" si="0"/>
        <v>#DIV/0!</v>
      </c>
      <c r="S15" s="915">
        <f t="shared" si="1"/>
        <v>0</v>
      </c>
      <c r="T15" s="915">
        <f t="shared" si="2"/>
        <v>0</v>
      </c>
    </row>
    <row r="16" spans="1:20" ht="15.75" x14ac:dyDescent="0.25">
      <c r="A16" s="455" t="str">
        <f>'Budget with Assumptions'!A16</f>
        <v xml:space="preserve">Non-CPS Facility Supplement </v>
      </c>
      <c r="B16" s="24"/>
      <c r="C16" s="24"/>
      <c r="D16" s="365">
        <f>'Budget with Assumptions'!J16</f>
        <v>0</v>
      </c>
      <c r="E16" s="892"/>
      <c r="F16" s="365">
        <f>'Budget with Assumptions'!L16</f>
        <v>0</v>
      </c>
      <c r="G16" s="893"/>
      <c r="H16" s="365">
        <f>'Budget with Assumptions'!N16</f>
        <v>0</v>
      </c>
      <c r="I16" s="893"/>
      <c r="J16" s="365">
        <f>'Budget with Assumptions'!P16</f>
        <v>0</v>
      </c>
      <c r="K16" s="894"/>
      <c r="L16" s="365">
        <f>'Budget with Assumptions'!R16</f>
        <v>123750</v>
      </c>
      <c r="M16" s="890"/>
      <c r="N16" s="365">
        <f>'Budget with Assumptions'!T16</f>
        <v>123750</v>
      </c>
      <c r="P16" s="916" t="e">
        <f t="shared" si="3"/>
        <v>#DIV/0!</v>
      </c>
      <c r="Q16" s="916" t="e">
        <f t="shared" si="4"/>
        <v>#DIV/0!</v>
      </c>
      <c r="R16" s="915" t="e">
        <f t="shared" si="0"/>
        <v>#DIV/0!</v>
      </c>
      <c r="S16" s="915">
        <f t="shared" si="1"/>
        <v>5.6177964298687155E-2</v>
      </c>
      <c r="T16" s="915">
        <f t="shared" si="2"/>
        <v>6.1178977207327852E-2</v>
      </c>
    </row>
    <row r="17" spans="1:26" ht="15.75" x14ac:dyDescent="0.25">
      <c r="A17" s="455" t="str">
        <f>'Budget with Assumptions'!A17</f>
        <v>SGSA</v>
      </c>
      <c r="B17" s="24"/>
      <c r="C17" s="24"/>
      <c r="D17" s="365">
        <f>'Budget with Assumptions'!J17</f>
        <v>0</v>
      </c>
      <c r="E17" s="892"/>
      <c r="F17" s="365">
        <f>'Budget with Assumptions'!L17</f>
        <v>0</v>
      </c>
      <c r="G17" s="893"/>
      <c r="H17" s="365">
        <f>'Budget with Assumptions'!N17</f>
        <v>0</v>
      </c>
      <c r="I17" s="893"/>
      <c r="J17" s="365">
        <f>'Budget with Assumptions'!P17</f>
        <v>0</v>
      </c>
      <c r="K17" s="894"/>
      <c r="L17" s="365">
        <f>'Budget with Assumptions'!R17</f>
        <v>122706</v>
      </c>
      <c r="M17" s="890"/>
      <c r="N17" s="365">
        <f>'Budget with Assumptions'!T17</f>
        <v>122706</v>
      </c>
      <c r="P17" s="916" t="e">
        <f t="shared" si="3"/>
        <v>#DIV/0!</v>
      </c>
      <c r="Q17" s="916" t="e">
        <f t="shared" si="4"/>
        <v>#DIV/0!</v>
      </c>
      <c r="R17" s="915" t="e">
        <f t="shared" si="0"/>
        <v>#DIV/0!</v>
      </c>
      <c r="S17" s="915">
        <f t="shared" si="1"/>
        <v>5.5704026563512782E-2</v>
      </c>
      <c r="T17" s="915">
        <f t="shared" si="2"/>
        <v>6.0662849108706035E-2</v>
      </c>
    </row>
    <row r="18" spans="1:26" ht="15.75" x14ac:dyDescent="0.25">
      <c r="A18" s="455" t="str">
        <f>'Budget with Assumptions'!A18</f>
        <v>NCLB-Title 1</v>
      </c>
      <c r="B18" s="24"/>
      <c r="C18" s="24"/>
      <c r="D18" s="365">
        <f>'Budget with Assumptions'!J18</f>
        <v>0</v>
      </c>
      <c r="E18" s="892"/>
      <c r="F18" s="365" t="e">
        <f>'Budget with Assumptions'!L18</f>
        <v>#DIV/0!</v>
      </c>
      <c r="G18" s="893"/>
      <c r="H18" s="365" t="e">
        <f>'Budget with Assumptions'!N18</f>
        <v>#DIV/0!</v>
      </c>
      <c r="I18" s="893"/>
      <c r="J18" s="365" t="e">
        <f>'Budget with Assumptions'!P18</f>
        <v>#DIV/0!</v>
      </c>
      <c r="K18" s="894"/>
      <c r="L18" s="365">
        <f>'Budget with Assumptions'!R18</f>
        <v>73416</v>
      </c>
      <c r="M18" s="890"/>
      <c r="N18" s="365">
        <f>'Budget with Assumptions'!T18</f>
        <v>73416</v>
      </c>
      <c r="P18" s="916" t="e">
        <f t="shared" si="3"/>
        <v>#DIV/0!</v>
      </c>
      <c r="Q18" s="916" t="e">
        <f t="shared" si="4"/>
        <v>#DIV/0!</v>
      </c>
      <c r="R18" s="915" t="e">
        <f t="shared" si="0"/>
        <v>#DIV/0!</v>
      </c>
      <c r="S18" s="915">
        <f t="shared" si="1"/>
        <v>3.3328173147090231E-2</v>
      </c>
      <c r="T18" s="915">
        <f t="shared" si="2"/>
        <v>3.6295077096187324E-2</v>
      </c>
    </row>
    <row r="19" spans="1:26" ht="15.75" x14ac:dyDescent="0.25">
      <c r="A19" s="455" t="str">
        <f>'Budget with Assumptions'!A19</f>
        <v>NCLB-Title 2</v>
      </c>
      <c r="B19" s="24"/>
      <c r="C19" s="24"/>
      <c r="D19" s="365">
        <f>'Budget with Assumptions'!J19</f>
        <v>0</v>
      </c>
      <c r="E19" s="892"/>
      <c r="F19" s="365">
        <f>'Budget with Assumptions'!L19</f>
        <v>0</v>
      </c>
      <c r="G19" s="893"/>
      <c r="H19" s="365">
        <f>'Budget with Assumptions'!N19</f>
        <v>0</v>
      </c>
      <c r="I19" s="893"/>
      <c r="J19" s="365">
        <f>'Budget with Assumptions'!P19</f>
        <v>0</v>
      </c>
      <c r="K19" s="894"/>
      <c r="L19" s="365">
        <f>'Budget with Assumptions'!R19</f>
        <v>10560</v>
      </c>
      <c r="M19" s="890"/>
      <c r="N19" s="365">
        <f>'Budget with Assumptions'!T19</f>
        <v>10560</v>
      </c>
      <c r="O19"/>
      <c r="P19" s="916" t="e">
        <f t="shared" si="3"/>
        <v>#DIV/0!</v>
      </c>
      <c r="Q19" s="916" t="e">
        <f t="shared" si="4"/>
        <v>#DIV/0!</v>
      </c>
      <c r="R19" s="915" t="e">
        <f t="shared" si="0"/>
        <v>#DIV/0!</v>
      </c>
      <c r="S19" s="915">
        <f t="shared" si="1"/>
        <v>4.7938529534879704E-3</v>
      </c>
      <c r="T19" s="915">
        <f t="shared" si="2"/>
        <v>5.2206060550253099E-3</v>
      </c>
      <c r="U19"/>
      <c r="V19"/>
      <c r="W19"/>
      <c r="X19"/>
      <c r="Y19"/>
      <c r="Z19"/>
    </row>
    <row r="20" spans="1:26" ht="15.75" x14ac:dyDescent="0.25">
      <c r="A20" s="455" t="str">
        <f>'Budget with Assumptions'!A20</f>
        <v>ELL</v>
      </c>
      <c r="B20" s="24"/>
      <c r="C20" s="24"/>
      <c r="D20" s="365">
        <f>'Budget with Assumptions'!J20</f>
        <v>0</v>
      </c>
      <c r="E20" s="892"/>
      <c r="F20" s="365">
        <f>'Budget with Assumptions'!L20</f>
        <v>0</v>
      </c>
      <c r="G20" s="893"/>
      <c r="H20" s="365">
        <f>'Budget with Assumptions'!N20</f>
        <v>0</v>
      </c>
      <c r="I20" s="893"/>
      <c r="J20" s="365">
        <f>'Budget with Assumptions'!P20</f>
        <v>0</v>
      </c>
      <c r="K20" s="894"/>
      <c r="L20" s="365">
        <f>'Budget with Assumptions'!R20</f>
        <v>0</v>
      </c>
      <c r="M20" s="890"/>
      <c r="N20" s="365">
        <f>'Budget with Assumptions'!T20</f>
        <v>0</v>
      </c>
      <c r="O20"/>
      <c r="P20" s="916" t="e">
        <f t="shared" si="3"/>
        <v>#DIV/0!</v>
      </c>
      <c r="Q20" s="916" t="e">
        <f t="shared" si="4"/>
        <v>#DIV/0!</v>
      </c>
      <c r="R20" s="915" t="e">
        <f t="shared" si="0"/>
        <v>#DIV/0!</v>
      </c>
      <c r="S20" s="915">
        <f t="shared" si="1"/>
        <v>0</v>
      </c>
      <c r="T20" s="915">
        <f t="shared" si="2"/>
        <v>0</v>
      </c>
      <c r="U20"/>
      <c r="V20"/>
      <c r="W20"/>
      <c r="X20"/>
      <c r="Y20"/>
      <c r="Z20"/>
    </row>
    <row r="21" spans="1:26" ht="15.75" x14ac:dyDescent="0.25">
      <c r="A21" s="455" t="str">
        <f>'Budget with Assumptions'!A21</f>
        <v xml:space="preserve">Special Education Reimbursement </v>
      </c>
      <c r="B21" s="24"/>
      <c r="C21" s="24"/>
      <c r="D21" s="365">
        <f>'Budget with Assumptions'!J21</f>
        <v>0</v>
      </c>
      <c r="E21" s="893"/>
      <c r="F21" s="365">
        <f>'Budget with Assumptions'!L21</f>
        <v>0</v>
      </c>
      <c r="G21" s="893"/>
      <c r="H21" s="365">
        <f>'Budget with Assumptions'!N21</f>
        <v>0</v>
      </c>
      <c r="I21" s="893"/>
      <c r="J21" s="365">
        <f>'Budget with Assumptions'!P21</f>
        <v>0</v>
      </c>
      <c r="K21" s="894"/>
      <c r="L21" s="365">
        <f>'Budget with Assumptions'!R21</f>
        <v>163282.5</v>
      </c>
      <c r="M21" s="890"/>
      <c r="N21" s="365">
        <f>'Budget with Assumptions'!T21</f>
        <v>166548.15</v>
      </c>
      <c r="O21"/>
      <c r="P21" s="916" t="e">
        <f t="shared" si="3"/>
        <v>#DIV/0!</v>
      </c>
      <c r="Q21" s="916" t="e">
        <f t="shared" si="4"/>
        <v>#DIV/0!</v>
      </c>
      <c r="R21" s="915" t="e">
        <f t="shared" si="0"/>
        <v>#DIV/0!</v>
      </c>
      <c r="S21" s="915">
        <f t="shared" si="1"/>
        <v>7.4124270348285948E-2</v>
      </c>
      <c r="T21" s="915">
        <f t="shared" si="2"/>
        <v>8.2337337153718146E-2</v>
      </c>
      <c r="U21"/>
      <c r="V21"/>
      <c r="W21"/>
      <c r="X21"/>
      <c r="Y21"/>
      <c r="Z21"/>
    </row>
    <row r="22" spans="1:26" ht="15.75" x14ac:dyDescent="0.25">
      <c r="A22" s="455" t="str">
        <f>'Budget with Assumptions'!A22</f>
        <v>CPS Incubation Funds</v>
      </c>
      <c r="B22" s="24"/>
      <c r="C22" s="24"/>
      <c r="D22" s="365">
        <f>'Budget with Assumptions'!J22</f>
        <v>152000</v>
      </c>
      <c r="E22" s="893"/>
      <c r="F22" s="365">
        <f>'Budget with Assumptions'!L22</f>
        <v>0</v>
      </c>
      <c r="G22" s="893"/>
      <c r="H22" s="365">
        <f>'Budget with Assumptions'!N22</f>
        <v>0</v>
      </c>
      <c r="I22" s="893"/>
      <c r="J22" s="365">
        <f>'Budget with Assumptions'!P22</f>
        <v>0</v>
      </c>
      <c r="K22" s="894"/>
      <c r="L22" s="365">
        <f>'Budget with Assumptions'!R22</f>
        <v>0</v>
      </c>
      <c r="M22" s="890"/>
      <c r="N22" s="365">
        <f>'Budget with Assumptions'!T22</f>
        <v>0</v>
      </c>
      <c r="O22"/>
      <c r="P22" s="916" t="e">
        <f t="shared" si="3"/>
        <v>#DIV/0!</v>
      </c>
      <c r="Q22" s="916" t="e">
        <f t="shared" si="4"/>
        <v>#DIV/0!</v>
      </c>
      <c r="R22" s="915" t="e">
        <f t="shared" si="0"/>
        <v>#DIV/0!</v>
      </c>
      <c r="S22" s="915">
        <f t="shared" si="1"/>
        <v>0</v>
      </c>
      <c r="T22" s="915">
        <f t="shared" si="2"/>
        <v>0</v>
      </c>
      <c r="U22"/>
      <c r="V22"/>
      <c r="W22"/>
      <c r="X22"/>
      <c r="Y22"/>
      <c r="Z22"/>
    </row>
    <row r="23" spans="1:26" ht="15.75" x14ac:dyDescent="0.25">
      <c r="A23" s="455" t="str">
        <f>'Budget with Assumptions'!A23</f>
        <v>Private Fundraising</v>
      </c>
      <c r="B23" s="24"/>
      <c r="C23" s="24"/>
      <c r="D23" s="365">
        <f>'Budget with Assumptions'!J23</f>
        <v>0</v>
      </c>
      <c r="E23" s="893"/>
      <c r="F23" s="365">
        <f>'Budget with Assumptions'!L23</f>
        <v>0</v>
      </c>
      <c r="G23" s="893"/>
      <c r="H23" s="365">
        <f>'Budget with Assumptions'!N23</f>
        <v>0</v>
      </c>
      <c r="I23" s="893"/>
      <c r="J23" s="365">
        <f>'Budget with Assumptions'!P23</f>
        <v>0</v>
      </c>
      <c r="K23" s="894"/>
      <c r="L23" s="365">
        <f>'Budget with Assumptions'!R23</f>
        <v>275000</v>
      </c>
      <c r="M23" s="890"/>
      <c r="N23" s="365">
        <f>'Budget with Assumptions'!T23</f>
        <v>91667</v>
      </c>
      <c r="O23"/>
      <c r="P23" s="916" t="e">
        <f t="shared" si="3"/>
        <v>#DIV/0!</v>
      </c>
      <c r="Q23" s="916" t="e">
        <f t="shared" si="4"/>
        <v>#DIV/0!</v>
      </c>
      <c r="R23" s="915" t="e">
        <f t="shared" si="0"/>
        <v>#DIV/0!</v>
      </c>
      <c r="S23" s="915">
        <f t="shared" si="1"/>
        <v>0.12483992066374924</v>
      </c>
      <c r="T23" s="915">
        <f t="shared" si="2"/>
        <v>4.5317925686174723E-2</v>
      </c>
      <c r="U23"/>
      <c r="V23"/>
      <c r="W23"/>
      <c r="X23"/>
      <c r="Y23"/>
      <c r="Z23"/>
    </row>
    <row r="24" spans="1:26" ht="15.75" x14ac:dyDescent="0.25">
      <c r="A24" s="455" t="str">
        <f>'Budget with Assumptions'!A24</f>
        <v>Student Fees</v>
      </c>
      <c r="B24" s="24"/>
      <c r="C24" s="24"/>
      <c r="D24" s="365">
        <f>'Budget with Assumptions'!J24</f>
        <v>0</v>
      </c>
      <c r="E24" s="893"/>
      <c r="F24" s="365">
        <f>'Budget with Assumptions'!L24</f>
        <v>0</v>
      </c>
      <c r="G24" s="893"/>
      <c r="H24" s="365">
        <f>'Budget with Assumptions'!N24</f>
        <v>0</v>
      </c>
      <c r="I24" s="893"/>
      <c r="J24" s="365">
        <f>'Budget with Assumptions'!P24</f>
        <v>0</v>
      </c>
      <c r="K24" s="894"/>
      <c r="L24" s="365">
        <f>'Budget with Assumptions'!R24</f>
        <v>20625</v>
      </c>
      <c r="M24" s="890"/>
      <c r="N24" s="365">
        <f>'Budget with Assumptions'!T24</f>
        <v>20625</v>
      </c>
      <c r="O24"/>
      <c r="P24" s="916" t="e">
        <f t="shared" si="3"/>
        <v>#DIV/0!</v>
      </c>
      <c r="Q24" s="916" t="e">
        <f t="shared" si="4"/>
        <v>#DIV/0!</v>
      </c>
      <c r="R24" s="915" t="e">
        <f t="shared" si="0"/>
        <v>#DIV/0!</v>
      </c>
      <c r="S24" s="915">
        <f t="shared" si="1"/>
        <v>9.3629940497811925E-3</v>
      </c>
      <c r="T24" s="915">
        <f t="shared" si="2"/>
        <v>1.0196496201221308E-2</v>
      </c>
      <c r="U24"/>
      <c r="V24"/>
      <c r="W24"/>
      <c r="X24"/>
      <c r="Y24"/>
      <c r="Z24"/>
    </row>
    <row r="25" spans="1:26" ht="15.75" x14ac:dyDescent="0.25">
      <c r="A25" s="455" t="str">
        <f>'Budget with Assumptions'!A25</f>
        <v>Erate</v>
      </c>
      <c r="B25" s="24"/>
      <c r="C25" s="24"/>
      <c r="D25" s="365">
        <f>'Budget with Assumptions'!J25</f>
        <v>0</v>
      </c>
      <c r="E25" s="893"/>
      <c r="F25" s="365">
        <f>'Budget with Assumptions'!L25</f>
        <v>0</v>
      </c>
      <c r="G25" s="893"/>
      <c r="H25" s="365">
        <f>'Budget with Assumptions'!N25</f>
        <v>0</v>
      </c>
      <c r="I25" s="893"/>
      <c r="J25" s="365">
        <f>'Budget with Assumptions'!P25</f>
        <v>0</v>
      </c>
      <c r="K25" s="894"/>
      <c r="L25" s="365">
        <f>'Budget with Assumptions'!R25</f>
        <v>0</v>
      </c>
      <c r="M25" s="890"/>
      <c r="N25" s="365">
        <f>'Budget with Assumptions'!T25</f>
        <v>0</v>
      </c>
      <c r="O25"/>
      <c r="P25" s="916" t="e">
        <f t="shared" si="3"/>
        <v>#DIV/0!</v>
      </c>
      <c r="Q25" s="916" t="e">
        <f t="shared" si="4"/>
        <v>#DIV/0!</v>
      </c>
      <c r="R25" s="915" t="e">
        <f t="shared" si="0"/>
        <v>#DIV/0!</v>
      </c>
      <c r="S25" s="915">
        <f t="shared" si="1"/>
        <v>0</v>
      </c>
      <c r="T25" s="915">
        <f t="shared" si="2"/>
        <v>0</v>
      </c>
      <c r="U25"/>
      <c r="V25"/>
      <c r="W25"/>
      <c r="X25"/>
      <c r="Y25"/>
      <c r="Z25"/>
    </row>
    <row r="26" spans="1:26" ht="15.75" x14ac:dyDescent="0.25">
      <c r="A26" s="455" t="str">
        <f>'Budget with Assumptions'!A26</f>
        <v>Investment Income</v>
      </c>
      <c r="B26" s="24"/>
      <c r="C26" s="24"/>
      <c r="D26" s="365">
        <f>'Budget with Assumptions'!J26</f>
        <v>0</v>
      </c>
      <c r="E26" s="893"/>
      <c r="F26" s="365">
        <f>'Budget with Assumptions'!L26</f>
        <v>0</v>
      </c>
      <c r="G26" s="893"/>
      <c r="H26" s="365">
        <f>'Budget with Assumptions'!N26</f>
        <v>0</v>
      </c>
      <c r="I26" s="893"/>
      <c r="J26" s="365">
        <f>'Budget with Assumptions'!P26</f>
        <v>0</v>
      </c>
      <c r="K26" s="894"/>
      <c r="L26" s="365">
        <f>'Budget with Assumptions'!R26</f>
        <v>0</v>
      </c>
      <c r="M26" s="890"/>
      <c r="N26" s="365">
        <f>'Budget with Assumptions'!T26</f>
        <v>0</v>
      </c>
      <c r="O26"/>
      <c r="P26" s="916" t="e">
        <f t="shared" si="3"/>
        <v>#DIV/0!</v>
      </c>
      <c r="Q26" s="916" t="e">
        <f t="shared" si="4"/>
        <v>#DIV/0!</v>
      </c>
      <c r="R26" s="915" t="e">
        <f t="shared" si="0"/>
        <v>#DIV/0!</v>
      </c>
      <c r="S26" s="915">
        <f t="shared" si="1"/>
        <v>0</v>
      </c>
      <c r="T26" s="915">
        <f t="shared" si="2"/>
        <v>0</v>
      </c>
      <c r="U26"/>
      <c r="V26"/>
      <c r="W26"/>
      <c r="X26"/>
      <c r="Y26"/>
      <c r="Z26"/>
    </row>
    <row r="27" spans="1:26" ht="15.75" x14ac:dyDescent="0.25">
      <c r="A27" s="455" t="str">
        <f>'Budget with Assumptions'!A27</f>
        <v>Non-Facility Loan Proceeds / Line of Credit</v>
      </c>
      <c r="B27" s="24"/>
      <c r="C27" s="24"/>
      <c r="D27" s="365">
        <f>'Budget with Assumptions'!J27</f>
        <v>0</v>
      </c>
      <c r="E27" s="893"/>
      <c r="F27" s="365">
        <f>'Budget with Assumptions'!L27</f>
        <v>0</v>
      </c>
      <c r="G27" s="893"/>
      <c r="H27" s="365">
        <f>'Budget with Assumptions'!N27</f>
        <v>0</v>
      </c>
      <c r="I27" s="893"/>
      <c r="J27" s="365">
        <f>'Budget with Assumptions'!P27</f>
        <v>0</v>
      </c>
      <c r="K27" s="894"/>
      <c r="L27" s="365">
        <f>'Budget with Assumptions'!R27</f>
        <v>0</v>
      </c>
      <c r="M27" s="890"/>
      <c r="N27" s="365">
        <f>'Budget with Assumptions'!T27</f>
        <v>0</v>
      </c>
      <c r="O27"/>
      <c r="P27" s="916" t="e">
        <f t="shared" si="3"/>
        <v>#DIV/0!</v>
      </c>
      <c r="Q27" s="916" t="e">
        <f t="shared" si="4"/>
        <v>#DIV/0!</v>
      </c>
      <c r="R27" s="915" t="e">
        <f t="shared" si="0"/>
        <v>#DIV/0!</v>
      </c>
      <c r="S27" s="915">
        <f t="shared" si="1"/>
        <v>0</v>
      </c>
      <c r="T27" s="915">
        <f t="shared" si="2"/>
        <v>0</v>
      </c>
      <c r="U27"/>
      <c r="V27"/>
      <c r="W27"/>
      <c r="X27"/>
      <c r="Y27"/>
      <c r="Z27"/>
    </row>
    <row r="28" spans="1:26" ht="15.75" x14ac:dyDescent="0.25">
      <c r="A28" s="455">
        <f>'Budget with Assumptions'!A28</f>
        <v>0</v>
      </c>
      <c r="B28" s="24"/>
      <c r="C28" s="24"/>
      <c r="D28" s="365">
        <f>'Budget with Assumptions'!J28</f>
        <v>0</v>
      </c>
      <c r="E28" s="893"/>
      <c r="F28" s="365">
        <f>'Budget with Assumptions'!L28</f>
        <v>0</v>
      </c>
      <c r="G28" s="893"/>
      <c r="H28" s="365">
        <f>'Budget with Assumptions'!N28</f>
        <v>0</v>
      </c>
      <c r="I28" s="893"/>
      <c r="J28" s="365">
        <f>'Budget with Assumptions'!P28</f>
        <v>0</v>
      </c>
      <c r="K28" s="894"/>
      <c r="L28" s="365">
        <f>'Budget with Assumptions'!R28</f>
        <v>0</v>
      </c>
      <c r="M28" s="890"/>
      <c r="N28" s="365">
        <f>'Budget with Assumptions'!T28</f>
        <v>0</v>
      </c>
      <c r="O28"/>
      <c r="P28" s="916" t="e">
        <f t="shared" si="3"/>
        <v>#DIV/0!</v>
      </c>
      <c r="Q28" s="916" t="e">
        <f t="shared" si="4"/>
        <v>#DIV/0!</v>
      </c>
      <c r="R28" s="915" t="e">
        <f t="shared" si="0"/>
        <v>#DIV/0!</v>
      </c>
      <c r="S28" s="915">
        <f t="shared" si="1"/>
        <v>0</v>
      </c>
      <c r="T28" s="915">
        <f t="shared" si="2"/>
        <v>0</v>
      </c>
      <c r="U28"/>
      <c r="V28"/>
      <c r="W28"/>
      <c r="X28"/>
      <c r="Y28"/>
      <c r="Z28"/>
    </row>
    <row r="29" spans="1:26" ht="15.75" x14ac:dyDescent="0.25">
      <c r="A29" s="455">
        <f>'Budget with Assumptions'!A29</f>
        <v>0</v>
      </c>
      <c r="B29" s="28"/>
      <c r="C29" s="28"/>
      <c r="D29" s="365">
        <f>'Budget with Assumptions'!J29</f>
        <v>0</v>
      </c>
      <c r="E29" s="893"/>
      <c r="F29" s="365">
        <f>'Budget with Assumptions'!L29</f>
        <v>0</v>
      </c>
      <c r="G29" s="893"/>
      <c r="H29" s="365">
        <f>'Budget with Assumptions'!N29</f>
        <v>0</v>
      </c>
      <c r="I29" s="893"/>
      <c r="J29" s="365">
        <f>'Budget with Assumptions'!P29</f>
        <v>0</v>
      </c>
      <c r="K29" s="894"/>
      <c r="L29" s="365">
        <f>'Budget with Assumptions'!R29</f>
        <v>0</v>
      </c>
      <c r="M29" s="890"/>
      <c r="N29" s="365">
        <f>'Budget with Assumptions'!T29</f>
        <v>0</v>
      </c>
      <c r="O29"/>
      <c r="P29" s="916" t="e">
        <f t="shared" si="3"/>
        <v>#DIV/0!</v>
      </c>
      <c r="Q29" s="916" t="e">
        <f t="shared" si="4"/>
        <v>#DIV/0!</v>
      </c>
      <c r="R29" s="915" t="e">
        <f t="shared" si="0"/>
        <v>#DIV/0!</v>
      </c>
      <c r="S29" s="915">
        <f t="shared" si="1"/>
        <v>0</v>
      </c>
      <c r="T29" s="915">
        <f t="shared" si="2"/>
        <v>0</v>
      </c>
      <c r="U29"/>
      <c r="V29"/>
      <c r="W29"/>
      <c r="X29"/>
      <c r="Y29"/>
      <c r="Z29"/>
    </row>
    <row r="30" spans="1:26" ht="15.75" x14ac:dyDescent="0.25">
      <c r="A30" s="455">
        <f>'Budget with Assumptions'!A30</f>
        <v>0</v>
      </c>
      <c r="B30" s="28"/>
      <c r="C30" s="28"/>
      <c r="D30" s="365">
        <f>'Budget with Assumptions'!J30</f>
        <v>0</v>
      </c>
      <c r="E30" s="893"/>
      <c r="F30" s="365">
        <f>'Budget with Assumptions'!L30</f>
        <v>0</v>
      </c>
      <c r="G30" s="893"/>
      <c r="H30" s="365">
        <f>'Budget with Assumptions'!N30</f>
        <v>0</v>
      </c>
      <c r="I30" s="893"/>
      <c r="J30" s="365">
        <f>'Budget with Assumptions'!P30</f>
        <v>0</v>
      </c>
      <c r="K30" s="894"/>
      <c r="L30" s="365">
        <f>'Budget with Assumptions'!R30</f>
        <v>0</v>
      </c>
      <c r="M30" s="890"/>
      <c r="N30" s="365">
        <f>'Budget with Assumptions'!T30</f>
        <v>0</v>
      </c>
      <c r="O30"/>
      <c r="P30" s="916" t="e">
        <f t="shared" si="3"/>
        <v>#DIV/0!</v>
      </c>
      <c r="Q30" s="916" t="e">
        <f t="shared" si="4"/>
        <v>#DIV/0!</v>
      </c>
      <c r="R30" s="915" t="e">
        <f t="shared" si="0"/>
        <v>#DIV/0!</v>
      </c>
      <c r="S30" s="915">
        <f t="shared" si="1"/>
        <v>0</v>
      </c>
      <c r="T30" s="915">
        <f t="shared" si="2"/>
        <v>0</v>
      </c>
      <c r="U30"/>
      <c r="V30"/>
      <c r="W30"/>
      <c r="X30"/>
      <c r="Y30"/>
      <c r="Z30"/>
    </row>
    <row r="31" spans="1:26" ht="15.75" x14ac:dyDescent="0.25">
      <c r="A31" s="455">
        <f>'Budget with Assumptions'!A31</f>
        <v>0</v>
      </c>
      <c r="B31" s="28"/>
      <c r="C31" s="28"/>
      <c r="D31" s="365">
        <f>'Budget with Assumptions'!J31</f>
        <v>0</v>
      </c>
      <c r="E31" s="893"/>
      <c r="F31" s="365">
        <f>'Budget with Assumptions'!L31</f>
        <v>0</v>
      </c>
      <c r="G31" s="893"/>
      <c r="H31" s="365">
        <f>'Budget with Assumptions'!N31</f>
        <v>0</v>
      </c>
      <c r="I31" s="893"/>
      <c r="J31" s="365">
        <f>'Budget with Assumptions'!P31</f>
        <v>0</v>
      </c>
      <c r="K31" s="894"/>
      <c r="L31" s="365">
        <f>'Budget with Assumptions'!R31</f>
        <v>0</v>
      </c>
      <c r="M31" s="890"/>
      <c r="N31" s="365">
        <f>'Budget with Assumptions'!T31</f>
        <v>0</v>
      </c>
      <c r="O31"/>
      <c r="P31" s="916" t="e">
        <f t="shared" si="3"/>
        <v>#DIV/0!</v>
      </c>
      <c r="Q31" s="916" t="e">
        <f t="shared" si="4"/>
        <v>#DIV/0!</v>
      </c>
      <c r="R31" s="915" t="e">
        <f t="shared" si="0"/>
        <v>#DIV/0!</v>
      </c>
      <c r="S31" s="915">
        <f t="shared" si="1"/>
        <v>0</v>
      </c>
      <c r="T31" s="915">
        <f t="shared" si="2"/>
        <v>0</v>
      </c>
      <c r="U31"/>
      <c r="V31"/>
      <c r="W31"/>
      <c r="X31"/>
      <c r="Y31"/>
      <c r="Z31"/>
    </row>
    <row r="32" spans="1:26" ht="15.75" x14ac:dyDescent="0.25">
      <c r="A32" s="455">
        <f>'Budget with Assumptions'!A32</f>
        <v>0</v>
      </c>
      <c r="B32" s="28"/>
      <c r="C32" s="28"/>
      <c r="D32" s="365">
        <f>'Budget with Assumptions'!J32</f>
        <v>0</v>
      </c>
      <c r="E32" s="893"/>
      <c r="F32" s="365">
        <f>'Budget with Assumptions'!L32</f>
        <v>0</v>
      </c>
      <c r="G32" s="893"/>
      <c r="H32" s="365">
        <f>'Budget with Assumptions'!N32</f>
        <v>0</v>
      </c>
      <c r="I32" s="893"/>
      <c r="J32" s="365">
        <f>'Budget with Assumptions'!P32</f>
        <v>0</v>
      </c>
      <c r="K32" s="894"/>
      <c r="L32" s="365">
        <f>'Budget with Assumptions'!R32</f>
        <v>0</v>
      </c>
      <c r="M32" s="890"/>
      <c r="N32" s="365">
        <f>'Budget with Assumptions'!T32</f>
        <v>0</v>
      </c>
      <c r="O32"/>
      <c r="P32" s="916" t="e">
        <f t="shared" si="3"/>
        <v>#DIV/0!</v>
      </c>
      <c r="Q32" s="916" t="e">
        <f t="shared" si="4"/>
        <v>#DIV/0!</v>
      </c>
      <c r="R32" s="915" t="e">
        <f t="shared" si="0"/>
        <v>#DIV/0!</v>
      </c>
      <c r="S32" s="915">
        <f t="shared" si="1"/>
        <v>0</v>
      </c>
      <c r="T32" s="915">
        <f t="shared" si="2"/>
        <v>0</v>
      </c>
      <c r="U32"/>
      <c r="V32"/>
      <c r="W32"/>
      <c r="X32"/>
      <c r="Y32"/>
      <c r="Z32"/>
    </row>
    <row r="33" spans="1:26" ht="15.75" x14ac:dyDescent="0.25">
      <c r="A33" s="455">
        <f>'Budget with Assumptions'!A33</f>
        <v>0</v>
      </c>
      <c r="B33" s="28"/>
      <c r="C33" s="28"/>
      <c r="D33" s="365">
        <f>'Budget with Assumptions'!J33</f>
        <v>0</v>
      </c>
      <c r="E33" s="893"/>
      <c r="F33" s="365">
        <f>'Budget with Assumptions'!L33</f>
        <v>0</v>
      </c>
      <c r="G33" s="893"/>
      <c r="H33" s="365">
        <f>'Budget with Assumptions'!N33</f>
        <v>0</v>
      </c>
      <c r="I33" s="893"/>
      <c r="J33" s="365">
        <f>'Budget with Assumptions'!P33</f>
        <v>0</v>
      </c>
      <c r="K33" s="897"/>
      <c r="L33" s="365">
        <f>'Budget with Assumptions'!R33</f>
        <v>0</v>
      </c>
      <c r="M33" s="890"/>
      <c r="N33" s="365">
        <f>'Budget with Assumptions'!T33</f>
        <v>0</v>
      </c>
      <c r="O33"/>
      <c r="P33" s="916" t="e">
        <f t="shared" si="3"/>
        <v>#DIV/0!</v>
      </c>
      <c r="Q33" s="916" t="e">
        <f t="shared" si="4"/>
        <v>#DIV/0!</v>
      </c>
      <c r="R33" s="915" t="e">
        <f t="shared" si="0"/>
        <v>#DIV/0!</v>
      </c>
      <c r="S33" s="915">
        <f t="shared" si="1"/>
        <v>0</v>
      </c>
      <c r="T33" s="915">
        <f t="shared" si="2"/>
        <v>0</v>
      </c>
      <c r="U33"/>
      <c r="V33"/>
      <c r="W33"/>
      <c r="X33"/>
      <c r="Y33"/>
      <c r="Z33"/>
    </row>
    <row r="34" spans="1:26" ht="16.5" thickBot="1" x14ac:dyDescent="0.3">
      <c r="A34" s="22"/>
      <c r="B34" s="24"/>
      <c r="C34" s="24"/>
      <c r="D34" s="893"/>
      <c r="E34" s="893"/>
      <c r="F34" s="893"/>
      <c r="G34" s="893"/>
      <c r="H34" s="893"/>
      <c r="I34" s="893"/>
      <c r="J34" s="892"/>
      <c r="K34" s="894"/>
      <c r="L34" s="68"/>
      <c r="M34" s="890"/>
      <c r="N34" s="68"/>
      <c r="O34"/>
      <c r="P34" s="917"/>
      <c r="Q34" s="917"/>
      <c r="R34" s="917"/>
      <c r="S34" s="917"/>
      <c r="T34" s="917"/>
      <c r="U34"/>
      <c r="V34"/>
      <c r="W34"/>
      <c r="X34"/>
      <c r="Y34"/>
      <c r="Z34"/>
    </row>
    <row r="35" spans="1:26" ht="16.5" thickBot="1" x14ac:dyDescent="0.3">
      <c r="B35" s="33"/>
      <c r="C35" s="33"/>
      <c r="D35" s="484">
        <f>SUM(D10:D33)</f>
        <v>152000</v>
      </c>
      <c r="E35" s="356"/>
      <c r="F35" s="484" t="e">
        <f>SUM(F10:F33)</f>
        <v>#DIV/0!</v>
      </c>
      <c r="G35" s="356"/>
      <c r="H35" s="484" t="e">
        <f>SUM(H10:H33)</f>
        <v>#DIV/0!</v>
      </c>
      <c r="I35" s="356"/>
      <c r="J35" s="484" t="e">
        <f>SUM(J10:J33)</f>
        <v>#DIV/0!</v>
      </c>
      <c r="K35" s="357"/>
      <c r="L35" s="484">
        <f>SUM(L10:L33)</f>
        <v>2202821.0089999996</v>
      </c>
      <c r="M35" s="875"/>
      <c r="N35" s="485">
        <f>SUM(N10:N33)</f>
        <v>2022753.6589999998</v>
      </c>
      <c r="O35"/>
      <c r="P35" s="918" t="e">
        <f>SUM(P10:P34)</f>
        <v>#DIV/0!</v>
      </c>
      <c r="Q35" s="918" t="e">
        <f>SUM(Q10:Q34)</f>
        <v>#DIV/0!</v>
      </c>
      <c r="R35" s="918" t="e">
        <f>SUM(R10:R34)</f>
        <v>#DIV/0!</v>
      </c>
      <c r="S35" s="918">
        <f>SUM(S10:S34)</f>
        <v>1.0000000000000002</v>
      </c>
      <c r="T35" s="918">
        <f>SUM(T10:T34)</f>
        <v>1</v>
      </c>
      <c r="U35"/>
      <c r="V35"/>
      <c r="W35"/>
      <c r="X35"/>
      <c r="Y35"/>
      <c r="Z35"/>
    </row>
    <row r="36" spans="1:26" ht="15.75" x14ac:dyDescent="0.25">
      <c r="A36" s="27"/>
      <c r="B36" s="28"/>
      <c r="C36" s="28"/>
      <c r="D36" s="893"/>
      <c r="E36" s="893"/>
      <c r="F36" s="893"/>
      <c r="G36" s="893"/>
      <c r="H36" s="893"/>
      <c r="I36" s="893"/>
      <c r="J36" s="893"/>
      <c r="K36" s="898"/>
      <c r="L36" s="68"/>
      <c r="M36" s="890"/>
      <c r="N36" s="68"/>
      <c r="O36"/>
      <c r="P36" s="917"/>
      <c r="Q36" s="917"/>
      <c r="R36" s="917"/>
      <c r="S36" s="917"/>
      <c r="T36" s="917"/>
      <c r="U36"/>
      <c r="V36"/>
      <c r="W36"/>
      <c r="X36"/>
      <c r="Y36"/>
      <c r="Z36"/>
    </row>
    <row r="37" spans="1:26" ht="18" customHeight="1" thickBot="1" x14ac:dyDescent="0.3">
      <c r="A37" s="291" t="s">
        <v>28</v>
      </c>
      <c r="B37" s="28"/>
      <c r="C37" s="28"/>
      <c r="D37" s="893"/>
      <c r="E37" s="893"/>
      <c r="F37" s="893"/>
      <c r="G37" s="893"/>
      <c r="H37" s="893"/>
      <c r="I37" s="893"/>
      <c r="J37" s="893"/>
      <c r="K37" s="898"/>
      <c r="L37" s="68"/>
      <c r="M37" s="890"/>
      <c r="N37" s="68"/>
      <c r="O37"/>
      <c r="P37" s="917"/>
      <c r="Q37" s="917"/>
      <c r="R37" s="917"/>
      <c r="S37" s="917"/>
      <c r="T37" s="917"/>
      <c r="U37"/>
      <c r="V37"/>
      <c r="W37"/>
      <c r="X37"/>
      <c r="Y37"/>
      <c r="Z37"/>
    </row>
    <row r="38" spans="1:26" ht="18" customHeight="1" thickBot="1" x14ac:dyDescent="0.3">
      <c r="A38" s="22"/>
      <c r="B38" s="28"/>
      <c r="C38" s="28"/>
      <c r="D38" s="893"/>
      <c r="E38" s="893"/>
      <c r="F38" s="893"/>
      <c r="G38" s="893"/>
      <c r="H38" s="893"/>
      <c r="I38" s="893"/>
      <c r="J38" s="893"/>
      <c r="K38" s="898"/>
      <c r="L38" s="68"/>
      <c r="M38" s="890"/>
      <c r="N38" s="68"/>
      <c r="O38"/>
      <c r="P38" s="917"/>
      <c r="Q38" s="917"/>
      <c r="R38" s="917"/>
      <c r="S38" s="917"/>
      <c r="T38" s="917"/>
      <c r="U38"/>
      <c r="V38" s="1280" t="s">
        <v>351</v>
      </c>
      <c r="W38" s="1281"/>
      <c r="X38" s="1281"/>
      <c r="Y38" s="1281"/>
      <c r="Z38" s="1282"/>
    </row>
    <row r="39" spans="1:26" ht="32.25" customHeight="1" thickBot="1" x14ac:dyDescent="0.3">
      <c r="A39" s="705" t="s">
        <v>9</v>
      </c>
      <c r="B39" s="24"/>
      <c r="C39" s="24"/>
      <c r="D39" s="899"/>
      <c r="E39" s="899"/>
      <c r="F39" s="899"/>
      <c r="G39" s="899"/>
      <c r="H39" s="899"/>
      <c r="I39" s="899"/>
      <c r="J39" s="899"/>
      <c r="K39" s="900"/>
      <c r="L39" s="899"/>
      <c r="M39" s="890"/>
      <c r="N39" s="899"/>
      <c r="O39"/>
      <c r="P39" s="1280" t="s">
        <v>350</v>
      </c>
      <c r="Q39" s="1281"/>
      <c r="R39" s="1281"/>
      <c r="S39" s="1281"/>
      <c r="T39" s="1282"/>
      <c r="U39"/>
      <c r="V39" s="914">
        <f>P9</f>
        <v>2017</v>
      </c>
      <c r="W39" s="914">
        <f>Q9</f>
        <v>2018</v>
      </c>
      <c r="X39" s="914">
        <f>R9</f>
        <v>2019</v>
      </c>
      <c r="Y39" s="914">
        <f>S9</f>
        <v>2020</v>
      </c>
      <c r="Z39" s="914">
        <f>T9</f>
        <v>2021</v>
      </c>
    </row>
    <row r="40" spans="1:26" ht="15.75" x14ac:dyDescent="0.25">
      <c r="A40" s="712" t="str">
        <f>'Budget with Assumptions'!A40</f>
        <v>Classroom Supplies (consumables)</v>
      </c>
      <c r="B40" s="38"/>
      <c r="C40" s="38"/>
      <c r="D40" s="365">
        <f>'Budget with Assumptions'!J40</f>
        <v>0</v>
      </c>
      <c r="E40" s="901"/>
      <c r="F40" s="365">
        <f>'Budget with Assumptions'!L40</f>
        <v>0</v>
      </c>
      <c r="G40" s="901"/>
      <c r="H40" s="365">
        <f>'Budget with Assumptions'!N40</f>
        <v>0</v>
      </c>
      <c r="I40" s="901"/>
      <c r="J40" s="365">
        <f>'Budget with Assumptions'!P40</f>
        <v>0</v>
      </c>
      <c r="K40" s="902"/>
      <c r="L40" s="365">
        <f>'Budget with Assumptions'!R40</f>
        <v>4377.4829999999993</v>
      </c>
      <c r="M40" s="890"/>
      <c r="N40" s="365">
        <f>'Budget with Assumptions'!T40</f>
        <v>4465.0326599999999</v>
      </c>
      <c r="O40"/>
      <c r="P40" s="915" t="e">
        <f t="shared" ref="P40:P62" si="5">F40/$F$159</f>
        <v>#DIV/0!</v>
      </c>
      <c r="Q40" s="915" t="e">
        <f t="shared" ref="Q40:Q62" si="6">H40/$H$159</f>
        <v>#DIV/0!</v>
      </c>
      <c r="R40" s="915" t="e">
        <f t="shared" ref="R40:R62" si="7">J40/$J$159</f>
        <v>#DIV/0!</v>
      </c>
      <c r="S40" s="915">
        <f t="shared" ref="S40:S62" si="8">L40/$L$159</f>
        <v>2.350448594945158E-3</v>
      </c>
      <c r="T40" s="915">
        <f t="shared" ref="T40:T62" si="9">N40/$N$159</f>
        <v>2.3347971048909479E-3</v>
      </c>
      <c r="U40"/>
      <c r="V40" s="922" t="e">
        <f>F40/$F$178</f>
        <v>#DIV/0!</v>
      </c>
      <c r="W40" s="922" t="e">
        <f>H40/$H$178</f>
        <v>#DIV/0!</v>
      </c>
      <c r="X40" s="922" t="e">
        <f>J40/$J$178</f>
        <v>#DIV/0!</v>
      </c>
      <c r="Y40" s="922">
        <f>L40/$L$178</f>
        <v>26.530199999999997</v>
      </c>
      <c r="Z40" s="922">
        <f>N40/$N$178</f>
        <v>27.060803999999997</v>
      </c>
    </row>
    <row r="41" spans="1:26" ht="15.75" x14ac:dyDescent="0.25">
      <c r="A41" s="712" t="str">
        <f>'Budget with Assumptions'!A41</f>
        <v>Educational Materials (non-consumables)</v>
      </c>
      <c r="B41" s="42"/>
      <c r="C41" s="42"/>
      <c r="D41" s="365">
        <f>'Budget with Assumptions'!J41</f>
        <v>0</v>
      </c>
      <c r="E41" s="901"/>
      <c r="F41" s="365">
        <f>'Budget with Assumptions'!L41</f>
        <v>0</v>
      </c>
      <c r="G41" s="901"/>
      <c r="H41" s="365">
        <f>'Budget with Assumptions'!N41</f>
        <v>0</v>
      </c>
      <c r="I41" s="901"/>
      <c r="J41" s="365">
        <f>'Budget with Assumptions'!P41</f>
        <v>0</v>
      </c>
      <c r="K41" s="902"/>
      <c r="L41" s="365">
        <f>'Budget with Assumptions'!R41</f>
        <v>26264.897999999997</v>
      </c>
      <c r="M41" s="890"/>
      <c r="N41" s="365">
        <f>'Budget with Assumptions'!T41</f>
        <v>26790.195960000001</v>
      </c>
      <c r="O41"/>
      <c r="P41" s="915" t="e">
        <f t="shared" si="5"/>
        <v>#DIV/0!</v>
      </c>
      <c r="Q41" s="915" t="e">
        <f t="shared" si="6"/>
        <v>#DIV/0!</v>
      </c>
      <c r="R41" s="915" t="e">
        <f t="shared" si="7"/>
        <v>#DIV/0!</v>
      </c>
      <c r="S41" s="915">
        <f t="shared" si="8"/>
        <v>1.410269156967095E-2</v>
      </c>
      <c r="T41" s="915">
        <f t="shared" si="9"/>
        <v>1.4008782629345688E-2</v>
      </c>
      <c r="U41"/>
      <c r="V41" s="922" t="e">
        <f t="shared" ref="V41:V62" si="10">F41/$F$178</f>
        <v>#DIV/0!</v>
      </c>
      <c r="W41" s="922" t="e">
        <f t="shared" ref="W41:W62" si="11">H41/$H$178</f>
        <v>#DIV/0!</v>
      </c>
      <c r="X41" s="922" t="e">
        <f t="shared" ref="X41:X62" si="12">J41/$J$178</f>
        <v>#DIV/0!</v>
      </c>
      <c r="Y41" s="922">
        <f t="shared" ref="Y41:Y62" si="13">L41/$L$178</f>
        <v>159.18119999999999</v>
      </c>
      <c r="Z41" s="922">
        <f t="shared" ref="Z41:Z62" si="14">N41/$N$178</f>
        <v>162.364824</v>
      </c>
    </row>
    <row r="42" spans="1:26" ht="15.75" x14ac:dyDescent="0.25">
      <c r="A42" s="712" t="str">
        <f>'Budget with Assumptions'!A42</f>
        <v>Student Testing &amp; Assessment</v>
      </c>
      <c r="B42" s="42"/>
      <c r="C42" s="42"/>
      <c r="D42" s="365">
        <f>'Budget with Assumptions'!J42</f>
        <v>0</v>
      </c>
      <c r="E42" s="901"/>
      <c r="F42" s="365">
        <f>'Budget with Assumptions'!L42</f>
        <v>0</v>
      </c>
      <c r="G42" s="901"/>
      <c r="H42" s="365">
        <f>'Budget with Assumptions'!N42</f>
        <v>0</v>
      </c>
      <c r="I42" s="901"/>
      <c r="J42" s="365">
        <f>'Budget with Assumptions'!P42</f>
        <v>0</v>
      </c>
      <c r="K42" s="902"/>
      <c r="L42" s="365">
        <f>'Budget with Assumptions'!R42</f>
        <v>7003.9727999999996</v>
      </c>
      <c r="M42" s="890"/>
      <c r="N42" s="365">
        <f>'Budget with Assumptions'!T42</f>
        <v>7144.0522559999999</v>
      </c>
      <c r="O42"/>
      <c r="P42" s="915" t="e">
        <f t="shared" si="5"/>
        <v>#DIV/0!</v>
      </c>
      <c r="Q42" s="915" t="e">
        <f t="shared" si="6"/>
        <v>#DIV/0!</v>
      </c>
      <c r="R42" s="915" t="e">
        <f t="shared" si="7"/>
        <v>#DIV/0!</v>
      </c>
      <c r="S42" s="915">
        <f t="shared" si="8"/>
        <v>3.7607177519122532E-3</v>
      </c>
      <c r="T42" s="915">
        <f t="shared" si="9"/>
        <v>3.7356753678255169E-3</v>
      </c>
      <c r="U42"/>
      <c r="V42" s="922" t="e">
        <f t="shared" si="10"/>
        <v>#DIV/0!</v>
      </c>
      <c r="W42" s="922" t="e">
        <f t="shared" si="11"/>
        <v>#DIV/0!</v>
      </c>
      <c r="X42" s="922" t="e">
        <f t="shared" si="12"/>
        <v>#DIV/0!</v>
      </c>
      <c r="Y42" s="922">
        <f t="shared" si="13"/>
        <v>42.448319999999995</v>
      </c>
      <c r="Z42" s="922">
        <f t="shared" si="14"/>
        <v>43.297286399999997</v>
      </c>
    </row>
    <row r="43" spans="1:26" ht="15.75" x14ac:dyDescent="0.25">
      <c r="A43" s="712" t="str">
        <f>'Budget with Assumptions'!A43</f>
        <v>Student Recruitment</v>
      </c>
      <c r="B43" s="42"/>
      <c r="C43" s="42"/>
      <c r="D43" s="365">
        <f>'Budget with Assumptions'!J43</f>
        <v>0</v>
      </c>
      <c r="E43" s="901"/>
      <c r="F43" s="365">
        <f>'Budget with Assumptions'!L43</f>
        <v>0</v>
      </c>
      <c r="G43" s="901"/>
      <c r="H43" s="365">
        <f>'Budget with Assumptions'!N43</f>
        <v>0</v>
      </c>
      <c r="I43" s="901"/>
      <c r="J43" s="365">
        <f>'Budget with Assumptions'!P43</f>
        <v>0</v>
      </c>
      <c r="K43" s="902"/>
      <c r="L43" s="365">
        <f>'Budget with Assumptions'!R43</f>
        <v>2375</v>
      </c>
      <c r="M43" s="890"/>
      <c r="N43" s="365">
        <f>'Budget with Assumptions'!T43</f>
        <v>2375</v>
      </c>
      <c r="O43"/>
      <c r="P43" s="915" t="e">
        <f t="shared" si="5"/>
        <v>#DIV/0!</v>
      </c>
      <c r="Q43" s="915" t="e">
        <f t="shared" si="6"/>
        <v>#DIV/0!</v>
      </c>
      <c r="R43" s="915" t="e">
        <f t="shared" si="7"/>
        <v>#DIV/0!</v>
      </c>
      <c r="S43" s="915">
        <f t="shared" si="8"/>
        <v>1.2752340587033123E-3</v>
      </c>
      <c r="T43" s="915">
        <f t="shared" si="9"/>
        <v>1.2419042695459256E-3</v>
      </c>
      <c r="U43"/>
      <c r="V43" s="922" t="e">
        <f t="shared" si="10"/>
        <v>#DIV/0!</v>
      </c>
      <c r="W43" s="922" t="e">
        <f t="shared" si="11"/>
        <v>#DIV/0!</v>
      </c>
      <c r="X43" s="922" t="e">
        <f t="shared" si="12"/>
        <v>#DIV/0!</v>
      </c>
      <c r="Y43" s="922">
        <f t="shared" si="13"/>
        <v>14.393939393939394</v>
      </c>
      <c r="Z43" s="922">
        <f t="shared" si="14"/>
        <v>14.393939393939394</v>
      </c>
    </row>
    <row r="44" spans="1:26" ht="15.75" x14ac:dyDescent="0.25">
      <c r="A44" s="712" t="str">
        <f>'Budget with Assumptions'!A44</f>
        <v>Instructional Equipment (non-computer)</v>
      </c>
      <c r="B44" s="42"/>
      <c r="C44" s="42"/>
      <c r="D44" s="365">
        <f>'Budget with Assumptions'!J44</f>
        <v>0</v>
      </c>
      <c r="E44" s="901"/>
      <c r="F44" s="365">
        <f>'Budget with Assumptions'!L44</f>
        <v>0</v>
      </c>
      <c r="G44" s="901"/>
      <c r="H44" s="365">
        <f>'Budget with Assumptions'!N44</f>
        <v>0</v>
      </c>
      <c r="I44" s="901"/>
      <c r="J44" s="365">
        <f>'Budget with Assumptions'!P44</f>
        <v>0</v>
      </c>
      <c r="K44" s="902"/>
      <c r="L44" s="365">
        <f>'Budget with Assumptions'!R44</f>
        <v>17509.931999999997</v>
      </c>
      <c r="M44" s="890"/>
      <c r="N44" s="365">
        <f>'Budget with Assumptions'!T44</f>
        <v>17860.130639999999</v>
      </c>
      <c r="O44"/>
      <c r="P44" s="915" t="e">
        <f t="shared" si="5"/>
        <v>#DIV/0!</v>
      </c>
      <c r="Q44" s="915" t="e">
        <f t="shared" si="6"/>
        <v>#DIV/0!</v>
      </c>
      <c r="R44" s="915" t="e">
        <f t="shared" si="7"/>
        <v>#DIV/0!</v>
      </c>
      <c r="S44" s="915">
        <f t="shared" si="8"/>
        <v>9.4017943797806321E-3</v>
      </c>
      <c r="T44" s="915">
        <f t="shared" si="9"/>
        <v>9.3391884195637917E-3</v>
      </c>
      <c r="U44"/>
      <c r="V44" s="922" t="e">
        <f t="shared" si="10"/>
        <v>#DIV/0!</v>
      </c>
      <c r="W44" s="922" t="e">
        <f t="shared" si="11"/>
        <v>#DIV/0!</v>
      </c>
      <c r="X44" s="922" t="e">
        <f t="shared" si="12"/>
        <v>#DIV/0!</v>
      </c>
      <c r="Y44" s="922">
        <f t="shared" si="13"/>
        <v>106.12079999999999</v>
      </c>
      <c r="Z44" s="922">
        <f t="shared" si="14"/>
        <v>108.24321599999999</v>
      </c>
    </row>
    <row r="45" spans="1:26" ht="15.75" x14ac:dyDescent="0.25">
      <c r="A45" s="712" t="str">
        <f>'Budget with Assumptions'!A45</f>
        <v>Technology Equipment (e.g., computers, LAN, software, etc.)</v>
      </c>
      <c r="B45" s="42"/>
      <c r="C45" s="42"/>
      <c r="D45" s="365">
        <f>'Budget with Assumptions'!J45</f>
        <v>0</v>
      </c>
      <c r="E45" s="901"/>
      <c r="F45" s="365">
        <f>'Budget with Assumptions'!L45</f>
        <v>0</v>
      </c>
      <c r="G45" s="901"/>
      <c r="H45" s="365">
        <f>'Budget with Assumptions'!N45</f>
        <v>0</v>
      </c>
      <c r="I45" s="901"/>
      <c r="J45" s="365">
        <f>'Budget with Assumptions'!P45</f>
        <v>0</v>
      </c>
      <c r="K45" s="902"/>
      <c r="L45" s="365">
        <f>'Budget with Assumptions'!R45</f>
        <v>91350</v>
      </c>
      <c r="M45" s="890"/>
      <c r="N45" s="365">
        <f>'Budget with Assumptions'!T45</f>
        <v>91350</v>
      </c>
      <c r="O45"/>
      <c r="P45" s="915" t="e">
        <f t="shared" si="5"/>
        <v>#DIV/0!</v>
      </c>
      <c r="Q45" s="915" t="e">
        <f t="shared" si="6"/>
        <v>#DIV/0!</v>
      </c>
      <c r="R45" s="915" t="e">
        <f t="shared" si="7"/>
        <v>#DIV/0!</v>
      </c>
      <c r="S45" s="915">
        <f t="shared" si="8"/>
        <v>4.9049528952651612E-2</v>
      </c>
      <c r="T45" s="915">
        <f t="shared" si="9"/>
        <v>4.7767560009692761E-2</v>
      </c>
      <c r="U45"/>
      <c r="V45" s="922" t="e">
        <f t="shared" si="10"/>
        <v>#DIV/0!</v>
      </c>
      <c r="W45" s="922" t="e">
        <f t="shared" si="11"/>
        <v>#DIV/0!</v>
      </c>
      <c r="X45" s="922" t="e">
        <f t="shared" si="12"/>
        <v>#DIV/0!</v>
      </c>
      <c r="Y45" s="922">
        <f t="shared" si="13"/>
        <v>553.63636363636363</v>
      </c>
      <c r="Z45" s="922">
        <f t="shared" si="14"/>
        <v>553.63636363636363</v>
      </c>
    </row>
    <row r="46" spans="1:26" ht="15.75" x14ac:dyDescent="0.25">
      <c r="A46" s="712" t="str">
        <f>'Budget with Assumptions'!A46</f>
        <v>Furniture</v>
      </c>
      <c r="B46" s="42"/>
      <c r="C46" s="42"/>
      <c r="D46" s="365">
        <f>'Budget with Assumptions'!J46</f>
        <v>0</v>
      </c>
      <c r="E46" s="901"/>
      <c r="F46" s="365">
        <f>'Budget with Assumptions'!L46</f>
        <v>0</v>
      </c>
      <c r="G46" s="901"/>
      <c r="H46" s="365">
        <f>'Budget with Assumptions'!N46</f>
        <v>0</v>
      </c>
      <c r="I46" s="901"/>
      <c r="J46" s="365">
        <f>'Budget with Assumptions'!P46</f>
        <v>0</v>
      </c>
      <c r="K46" s="902"/>
      <c r="L46" s="365">
        <f>'Budget with Assumptions'!R46</f>
        <v>13200</v>
      </c>
      <c r="M46" s="890"/>
      <c r="N46" s="365">
        <f>'Budget with Assumptions'!T46</f>
        <v>4400</v>
      </c>
      <c r="O46"/>
      <c r="P46" s="915" t="e">
        <f t="shared" si="5"/>
        <v>#DIV/0!</v>
      </c>
      <c r="Q46" s="915" t="e">
        <f t="shared" si="6"/>
        <v>#DIV/0!</v>
      </c>
      <c r="R46" s="915" t="e">
        <f t="shared" si="7"/>
        <v>#DIV/0!</v>
      </c>
      <c r="S46" s="915">
        <f t="shared" si="8"/>
        <v>7.0876166631089355E-3</v>
      </c>
      <c r="T46" s="915">
        <f t="shared" si="9"/>
        <v>2.3007910677903466E-3</v>
      </c>
      <c r="U46"/>
      <c r="V46" s="922" t="e">
        <f t="shared" si="10"/>
        <v>#DIV/0!</v>
      </c>
      <c r="W46" s="922" t="e">
        <f t="shared" si="11"/>
        <v>#DIV/0!</v>
      </c>
      <c r="X46" s="922" t="e">
        <f t="shared" si="12"/>
        <v>#DIV/0!</v>
      </c>
      <c r="Y46" s="922">
        <f t="shared" si="13"/>
        <v>80</v>
      </c>
      <c r="Z46" s="922">
        <f t="shared" si="14"/>
        <v>26.666666666666668</v>
      </c>
    </row>
    <row r="47" spans="1:26" ht="15.75" x14ac:dyDescent="0.25">
      <c r="A47" s="712" t="str">
        <f>'Budget with Assumptions'!A47</f>
        <v>Technology Contracted Services</v>
      </c>
      <c r="B47" s="42"/>
      <c r="C47" s="42"/>
      <c r="D47" s="365">
        <f>'Budget with Assumptions'!J47</f>
        <v>0</v>
      </c>
      <c r="E47" s="901"/>
      <c r="F47" s="365">
        <f>'Budget with Assumptions'!L47</f>
        <v>0</v>
      </c>
      <c r="G47" s="901"/>
      <c r="H47" s="365">
        <f>'Budget with Assumptions'!N47</f>
        <v>0</v>
      </c>
      <c r="I47" s="901"/>
      <c r="J47" s="365">
        <f>'Budget with Assumptions'!P47</f>
        <v>0</v>
      </c>
      <c r="K47" s="902"/>
      <c r="L47" s="365">
        <f>'Budget with Assumptions'!R47</f>
        <v>0</v>
      </c>
      <c r="M47" s="890"/>
      <c r="N47" s="365">
        <f>'Budget with Assumptions'!T47</f>
        <v>0</v>
      </c>
      <c r="O47"/>
      <c r="P47" s="915" t="e">
        <f t="shared" si="5"/>
        <v>#DIV/0!</v>
      </c>
      <c r="Q47" s="915" t="e">
        <f t="shared" si="6"/>
        <v>#DIV/0!</v>
      </c>
      <c r="R47" s="915" t="e">
        <f t="shared" si="7"/>
        <v>#DIV/0!</v>
      </c>
      <c r="S47" s="915">
        <f t="shared" si="8"/>
        <v>0</v>
      </c>
      <c r="T47" s="915">
        <f t="shared" si="9"/>
        <v>0</v>
      </c>
      <c r="U47"/>
      <c r="V47" s="922" t="e">
        <f t="shared" si="10"/>
        <v>#DIV/0!</v>
      </c>
      <c r="W47" s="922" t="e">
        <f t="shared" si="11"/>
        <v>#DIV/0!</v>
      </c>
      <c r="X47" s="922" t="e">
        <f t="shared" si="12"/>
        <v>#DIV/0!</v>
      </c>
      <c r="Y47" s="922">
        <f t="shared" si="13"/>
        <v>0</v>
      </c>
      <c r="Z47" s="922">
        <f t="shared" si="14"/>
        <v>0</v>
      </c>
    </row>
    <row r="48" spans="1:26" ht="15.75" x14ac:dyDescent="0.25">
      <c r="A48" s="712" t="str">
        <f>'Budget with Assumptions'!A48</f>
        <v>Technology Leases</v>
      </c>
      <c r="B48" s="42"/>
      <c r="C48" s="42"/>
      <c r="D48" s="365">
        <f>'Budget with Assumptions'!J48</f>
        <v>0</v>
      </c>
      <c r="E48" s="901"/>
      <c r="F48" s="365">
        <f>'Budget with Assumptions'!L48</f>
        <v>0</v>
      </c>
      <c r="G48" s="901"/>
      <c r="H48" s="365">
        <f>'Budget with Assumptions'!N48</f>
        <v>0</v>
      </c>
      <c r="I48" s="901"/>
      <c r="J48" s="365">
        <f>'Budget with Assumptions'!P48</f>
        <v>0</v>
      </c>
      <c r="K48" s="902"/>
      <c r="L48" s="365">
        <f>'Budget with Assumptions'!R48</f>
        <v>0</v>
      </c>
      <c r="M48" s="890"/>
      <c r="N48" s="365">
        <f>'Budget with Assumptions'!T48</f>
        <v>0</v>
      </c>
      <c r="O48"/>
      <c r="P48" s="915" t="e">
        <f t="shared" si="5"/>
        <v>#DIV/0!</v>
      </c>
      <c r="Q48" s="915" t="e">
        <f t="shared" si="6"/>
        <v>#DIV/0!</v>
      </c>
      <c r="R48" s="915" t="e">
        <f t="shared" si="7"/>
        <v>#DIV/0!</v>
      </c>
      <c r="S48" s="915">
        <f t="shared" si="8"/>
        <v>0</v>
      </c>
      <c r="T48" s="915">
        <f t="shared" si="9"/>
        <v>0</v>
      </c>
      <c r="U48"/>
      <c r="V48" s="922" t="e">
        <f t="shared" si="10"/>
        <v>#DIV/0!</v>
      </c>
      <c r="W48" s="922" t="e">
        <f t="shared" si="11"/>
        <v>#DIV/0!</v>
      </c>
      <c r="X48" s="922" t="e">
        <f t="shared" si="12"/>
        <v>#DIV/0!</v>
      </c>
      <c r="Y48" s="922">
        <f t="shared" si="13"/>
        <v>0</v>
      </c>
      <c r="Z48" s="922">
        <f t="shared" si="14"/>
        <v>0</v>
      </c>
    </row>
    <row r="49" spans="1:26" ht="15.75" x14ac:dyDescent="0.25">
      <c r="A49" s="712" t="str">
        <f>'Budget with Assumptions'!A49</f>
        <v>Extracurricular Expenses</v>
      </c>
      <c r="B49" s="42"/>
      <c r="C49" s="42"/>
      <c r="D49" s="365">
        <f>'Budget with Assumptions'!J49</f>
        <v>0</v>
      </c>
      <c r="E49" s="901"/>
      <c r="F49" s="365">
        <f>'Budget with Assumptions'!L49</f>
        <v>0</v>
      </c>
      <c r="G49" s="901"/>
      <c r="H49" s="365">
        <f>'Budget with Assumptions'!N49</f>
        <v>0</v>
      </c>
      <c r="I49" s="901"/>
      <c r="J49" s="365">
        <f>'Budget with Assumptions'!P49</f>
        <v>0</v>
      </c>
      <c r="K49" s="902"/>
      <c r="L49" s="365">
        <f>'Budget with Assumptions'!R49</f>
        <v>43774.829999999994</v>
      </c>
      <c r="M49" s="890"/>
      <c r="N49" s="365">
        <f>'Budget with Assumptions'!T49</f>
        <v>44650.3266</v>
      </c>
      <c r="O49"/>
      <c r="P49" s="915" t="e">
        <f t="shared" si="5"/>
        <v>#DIV/0!</v>
      </c>
      <c r="Q49" s="915" t="e">
        <f t="shared" si="6"/>
        <v>#DIV/0!</v>
      </c>
      <c r="R49" s="915" t="e">
        <f t="shared" si="7"/>
        <v>#DIV/0!</v>
      </c>
      <c r="S49" s="915">
        <f t="shared" si="8"/>
        <v>2.3504485949451582E-2</v>
      </c>
      <c r="T49" s="915">
        <f t="shared" si="9"/>
        <v>2.3347971048909479E-2</v>
      </c>
      <c r="U49"/>
      <c r="V49" s="922" t="e">
        <f t="shared" si="10"/>
        <v>#DIV/0!</v>
      </c>
      <c r="W49" s="922" t="e">
        <f t="shared" si="11"/>
        <v>#DIV/0!</v>
      </c>
      <c r="X49" s="922" t="e">
        <f t="shared" si="12"/>
        <v>#DIV/0!</v>
      </c>
      <c r="Y49" s="922">
        <f t="shared" si="13"/>
        <v>265.30199999999996</v>
      </c>
      <c r="Z49" s="922">
        <f t="shared" si="14"/>
        <v>270.60804000000002</v>
      </c>
    </row>
    <row r="50" spans="1:26" ht="15.75" x14ac:dyDescent="0.25">
      <c r="A50" s="712" t="str">
        <f>'Budget with Assumptions'!A50</f>
        <v>Misc. Outside Services (i.e., Consultants, non-employee compensation)</v>
      </c>
      <c r="B50" s="42"/>
      <c r="C50" s="42"/>
      <c r="D50" s="365">
        <f>'Budget with Assumptions'!J50</f>
        <v>0</v>
      </c>
      <c r="E50" s="901"/>
      <c r="F50" s="365">
        <f>'Budget with Assumptions'!L50</f>
        <v>0</v>
      </c>
      <c r="G50" s="901"/>
      <c r="H50" s="365">
        <f>'Budget with Assumptions'!N50</f>
        <v>0</v>
      </c>
      <c r="I50" s="901"/>
      <c r="J50" s="365">
        <f>'Budget with Assumptions'!P50</f>
        <v>0</v>
      </c>
      <c r="K50" s="902"/>
      <c r="L50" s="365">
        <f>'Budget with Assumptions'!R50</f>
        <v>0</v>
      </c>
      <c r="M50" s="890"/>
      <c r="N50" s="365">
        <f>'Budget with Assumptions'!T50</f>
        <v>0</v>
      </c>
      <c r="O50"/>
      <c r="P50" s="915" t="e">
        <f t="shared" si="5"/>
        <v>#DIV/0!</v>
      </c>
      <c r="Q50" s="915" t="e">
        <f t="shared" si="6"/>
        <v>#DIV/0!</v>
      </c>
      <c r="R50" s="915" t="e">
        <f t="shared" si="7"/>
        <v>#DIV/0!</v>
      </c>
      <c r="S50" s="915">
        <f t="shared" si="8"/>
        <v>0</v>
      </c>
      <c r="T50" s="915">
        <f t="shared" si="9"/>
        <v>0</v>
      </c>
      <c r="U50"/>
      <c r="V50" s="922" t="e">
        <f t="shared" si="10"/>
        <v>#DIV/0!</v>
      </c>
      <c r="W50" s="922" t="e">
        <f t="shared" si="11"/>
        <v>#DIV/0!</v>
      </c>
      <c r="X50" s="922" t="e">
        <f t="shared" si="12"/>
        <v>#DIV/0!</v>
      </c>
      <c r="Y50" s="922">
        <f t="shared" si="13"/>
        <v>0</v>
      </c>
      <c r="Z50" s="922">
        <f t="shared" si="14"/>
        <v>0</v>
      </c>
    </row>
    <row r="51" spans="1:26" ht="31.5" x14ac:dyDescent="0.25">
      <c r="A51" s="872" t="str">
        <f>'Budget with Assumptions'!A51</f>
        <v>Special Education Contracted Clinician Services that are Reimbursable under CPS's policy (from Contractual Clinician Worksheet)</v>
      </c>
      <c r="B51" s="42"/>
      <c r="C51" s="42"/>
      <c r="D51" s="365">
        <f>'Budget with Assumptions'!J51</f>
        <v>0</v>
      </c>
      <c r="E51" s="901"/>
      <c r="F51" s="365">
        <f>'Budget with Assumptions'!L51</f>
        <v>0</v>
      </c>
      <c r="G51" s="901"/>
      <c r="H51" s="365">
        <f>'Budget with Assumptions'!N51</f>
        <v>0</v>
      </c>
      <c r="I51" s="901"/>
      <c r="J51" s="365">
        <f>'Budget with Assumptions'!P51</f>
        <v>0</v>
      </c>
      <c r="K51" s="902"/>
      <c r="L51" s="365">
        <f>'Budget with Assumptions'!R51</f>
        <v>0</v>
      </c>
      <c r="M51" s="890"/>
      <c r="N51" s="365">
        <f>'Budget with Assumptions'!T51</f>
        <v>0</v>
      </c>
      <c r="O51"/>
      <c r="P51" s="915" t="e">
        <f t="shared" si="5"/>
        <v>#DIV/0!</v>
      </c>
      <c r="Q51" s="915" t="e">
        <f t="shared" si="6"/>
        <v>#DIV/0!</v>
      </c>
      <c r="R51" s="915" t="e">
        <f t="shared" si="7"/>
        <v>#DIV/0!</v>
      </c>
      <c r="S51" s="915">
        <f t="shared" si="8"/>
        <v>0</v>
      </c>
      <c r="T51" s="915">
        <f t="shared" si="9"/>
        <v>0</v>
      </c>
      <c r="U51"/>
      <c r="V51" s="922" t="e">
        <f t="shared" si="10"/>
        <v>#DIV/0!</v>
      </c>
      <c r="W51" s="922" t="e">
        <f t="shared" si="11"/>
        <v>#DIV/0!</v>
      </c>
      <c r="X51" s="922" t="e">
        <f t="shared" si="12"/>
        <v>#DIV/0!</v>
      </c>
      <c r="Y51" s="922">
        <f t="shared" si="13"/>
        <v>0</v>
      </c>
      <c r="Z51" s="922">
        <f t="shared" si="14"/>
        <v>0</v>
      </c>
    </row>
    <row r="52" spans="1:26" ht="15.75" x14ac:dyDescent="0.25">
      <c r="A52" s="712" t="str">
        <f>'Budget with Assumptions'!A52</f>
        <v>Special Education Expenses that will NOT be reimbursed by CPS</v>
      </c>
      <c r="B52" s="42"/>
      <c r="C52" s="42"/>
      <c r="D52" s="365">
        <f>'Budget with Assumptions'!J52</f>
        <v>0</v>
      </c>
      <c r="E52" s="901"/>
      <c r="F52" s="365">
        <f>'Budget with Assumptions'!L52</f>
        <v>0</v>
      </c>
      <c r="G52" s="901"/>
      <c r="H52" s="365">
        <f>'Budget with Assumptions'!N52</f>
        <v>0</v>
      </c>
      <c r="I52" s="901"/>
      <c r="J52" s="365">
        <f>'Budget with Assumptions'!P52</f>
        <v>0</v>
      </c>
      <c r="K52" s="902"/>
      <c r="L52" s="365">
        <f>'Budget with Assumptions'!R52</f>
        <v>0</v>
      </c>
      <c r="M52" s="890"/>
      <c r="N52" s="365">
        <f>'Budget with Assumptions'!T52</f>
        <v>0</v>
      </c>
      <c r="O52"/>
      <c r="P52" s="915" t="e">
        <f t="shared" si="5"/>
        <v>#DIV/0!</v>
      </c>
      <c r="Q52" s="915" t="e">
        <f t="shared" si="6"/>
        <v>#DIV/0!</v>
      </c>
      <c r="R52" s="915" t="e">
        <f t="shared" si="7"/>
        <v>#DIV/0!</v>
      </c>
      <c r="S52" s="915">
        <f t="shared" si="8"/>
        <v>0</v>
      </c>
      <c r="T52" s="915">
        <f t="shared" si="9"/>
        <v>0</v>
      </c>
      <c r="U52"/>
      <c r="V52" s="922" t="e">
        <f t="shared" si="10"/>
        <v>#DIV/0!</v>
      </c>
      <c r="W52" s="922" t="e">
        <f t="shared" si="11"/>
        <v>#DIV/0!</v>
      </c>
      <c r="X52" s="922" t="e">
        <f t="shared" si="12"/>
        <v>#DIV/0!</v>
      </c>
      <c r="Y52" s="922">
        <f t="shared" si="13"/>
        <v>0</v>
      </c>
      <c r="Z52" s="922">
        <f t="shared" si="14"/>
        <v>0</v>
      </c>
    </row>
    <row r="53" spans="1:26" ht="15.75" x14ac:dyDescent="0.25">
      <c r="A53" s="712" t="str">
        <f>'Budget with Assumptions'!A53</f>
        <v>Contracted Substitute Teachers</v>
      </c>
      <c r="B53" s="42"/>
      <c r="C53" s="42"/>
      <c r="D53" s="365">
        <f>'Budget with Assumptions'!J53</f>
        <v>0</v>
      </c>
      <c r="E53" s="901"/>
      <c r="F53" s="365">
        <f>'Budget with Assumptions'!L53</f>
        <v>0</v>
      </c>
      <c r="G53" s="901"/>
      <c r="H53" s="365">
        <f>'Budget with Assumptions'!N53</f>
        <v>0</v>
      </c>
      <c r="I53" s="901"/>
      <c r="J53" s="365">
        <f>'Budget with Assumptions'!P53</f>
        <v>0</v>
      </c>
      <c r="K53" s="902"/>
      <c r="L53" s="365">
        <f>'Budget with Assumptions'!R53</f>
        <v>0</v>
      </c>
      <c r="M53" s="890"/>
      <c r="N53" s="365">
        <f>'Budget with Assumptions'!T53</f>
        <v>0</v>
      </c>
      <c r="O53"/>
      <c r="P53" s="915" t="e">
        <f t="shared" si="5"/>
        <v>#DIV/0!</v>
      </c>
      <c r="Q53" s="915" t="e">
        <f t="shared" si="6"/>
        <v>#DIV/0!</v>
      </c>
      <c r="R53" s="915" t="e">
        <f t="shared" si="7"/>
        <v>#DIV/0!</v>
      </c>
      <c r="S53" s="915">
        <f t="shared" si="8"/>
        <v>0</v>
      </c>
      <c r="T53" s="915">
        <f t="shared" si="9"/>
        <v>0</v>
      </c>
      <c r="U53"/>
      <c r="V53" s="922" t="e">
        <f t="shared" si="10"/>
        <v>#DIV/0!</v>
      </c>
      <c r="W53" s="922" t="e">
        <f t="shared" si="11"/>
        <v>#DIV/0!</v>
      </c>
      <c r="X53" s="922" t="e">
        <f t="shared" si="12"/>
        <v>#DIV/0!</v>
      </c>
      <c r="Y53" s="922">
        <f t="shared" si="13"/>
        <v>0</v>
      </c>
      <c r="Z53" s="922">
        <f t="shared" si="14"/>
        <v>0</v>
      </c>
    </row>
    <row r="54" spans="1:26" ht="15.75" x14ac:dyDescent="0.25">
      <c r="A54" s="712" t="str">
        <f>'Budget with Assumptions'!A54</f>
        <v>Dual Enrollment</v>
      </c>
      <c r="B54" s="42"/>
      <c r="C54" s="42"/>
      <c r="D54" s="365">
        <f>'Budget with Assumptions'!J54</f>
        <v>0</v>
      </c>
      <c r="E54" s="901"/>
      <c r="F54" s="365">
        <f>'Budget with Assumptions'!L54</f>
        <v>0</v>
      </c>
      <c r="G54" s="901"/>
      <c r="H54" s="365">
        <f>'Budget with Assumptions'!N54</f>
        <v>0</v>
      </c>
      <c r="I54" s="901"/>
      <c r="J54" s="365">
        <f>'Budget with Assumptions'!P54</f>
        <v>0</v>
      </c>
      <c r="K54" s="902"/>
      <c r="L54" s="365">
        <f>'Budget with Assumptions'!R54</f>
        <v>66000</v>
      </c>
      <c r="M54" s="890"/>
      <c r="N54" s="365">
        <f>'Budget with Assumptions'!T54</f>
        <v>106000</v>
      </c>
      <c r="O54"/>
      <c r="P54" s="915" t="e">
        <f t="shared" si="5"/>
        <v>#DIV/0!</v>
      </c>
      <c r="Q54" s="915" t="e">
        <f t="shared" si="6"/>
        <v>#DIV/0!</v>
      </c>
      <c r="R54" s="915" t="e">
        <f t="shared" si="7"/>
        <v>#DIV/0!</v>
      </c>
      <c r="S54" s="915">
        <f t="shared" si="8"/>
        <v>3.5438083315544676E-2</v>
      </c>
      <c r="T54" s="915">
        <f t="shared" si="9"/>
        <v>5.5428148451312893E-2</v>
      </c>
      <c r="U54"/>
      <c r="V54" s="922" t="e">
        <f t="shared" si="10"/>
        <v>#DIV/0!</v>
      </c>
      <c r="W54" s="922" t="e">
        <f t="shared" si="11"/>
        <v>#DIV/0!</v>
      </c>
      <c r="X54" s="922" t="e">
        <f t="shared" si="12"/>
        <v>#DIV/0!</v>
      </c>
      <c r="Y54" s="922">
        <f t="shared" si="13"/>
        <v>400</v>
      </c>
      <c r="Z54" s="922">
        <f t="shared" si="14"/>
        <v>642.42424242424238</v>
      </c>
    </row>
    <row r="55" spans="1:26" ht="15.75" x14ac:dyDescent="0.25">
      <c r="A55" s="712" t="str">
        <f>'Budget with Assumptions'!A55</f>
        <v>Lumity Consultant Services</v>
      </c>
      <c r="B55" s="42"/>
      <c r="C55" s="42"/>
      <c r="D55" s="365">
        <f>'Budget with Assumptions'!J55</f>
        <v>0</v>
      </c>
      <c r="E55" s="901"/>
      <c r="F55" s="365">
        <f>'Budget with Assumptions'!L55</f>
        <v>0</v>
      </c>
      <c r="G55" s="901"/>
      <c r="H55" s="365">
        <f>'Budget with Assumptions'!N55</f>
        <v>0</v>
      </c>
      <c r="I55" s="901"/>
      <c r="J55" s="365">
        <f>'Budget with Assumptions'!P55</f>
        <v>0</v>
      </c>
      <c r="K55" s="902"/>
      <c r="L55" s="365">
        <f>'Budget with Assumptions'!R55</f>
        <v>0</v>
      </c>
      <c r="M55" s="890"/>
      <c r="N55" s="365">
        <f>'Budget with Assumptions'!T55</f>
        <v>0</v>
      </c>
      <c r="O55"/>
      <c r="P55" s="915" t="e">
        <f t="shared" si="5"/>
        <v>#DIV/0!</v>
      </c>
      <c r="Q55" s="915" t="e">
        <f t="shared" si="6"/>
        <v>#DIV/0!</v>
      </c>
      <c r="R55" s="915" t="e">
        <f t="shared" si="7"/>
        <v>#DIV/0!</v>
      </c>
      <c r="S55" s="915">
        <f t="shared" si="8"/>
        <v>0</v>
      </c>
      <c r="T55" s="915">
        <f t="shared" si="9"/>
        <v>0</v>
      </c>
      <c r="U55"/>
      <c r="V55" s="922" t="e">
        <f t="shared" si="10"/>
        <v>#DIV/0!</v>
      </c>
      <c r="W55" s="922" t="e">
        <f t="shared" si="11"/>
        <v>#DIV/0!</v>
      </c>
      <c r="X55" s="922" t="e">
        <f t="shared" si="12"/>
        <v>#DIV/0!</v>
      </c>
      <c r="Y55" s="922">
        <f t="shared" si="13"/>
        <v>0</v>
      </c>
      <c r="Z55" s="922">
        <f t="shared" si="14"/>
        <v>0</v>
      </c>
    </row>
    <row r="56" spans="1:26" ht="15.75" x14ac:dyDescent="0.25">
      <c r="A56" s="712" t="str">
        <f>'Budget with Assumptions'!A56</f>
        <v xml:space="preserve">Gateway to College National Network </v>
      </c>
      <c r="B56" s="42"/>
      <c r="C56" s="42"/>
      <c r="D56" s="365">
        <f>'Budget with Assumptions'!J56</f>
        <v>0</v>
      </c>
      <c r="E56" s="901"/>
      <c r="F56" s="365">
        <f>'Budget with Assumptions'!L56</f>
        <v>0</v>
      </c>
      <c r="G56" s="901"/>
      <c r="H56" s="365">
        <f>'Budget with Assumptions'!N56</f>
        <v>0</v>
      </c>
      <c r="I56" s="901"/>
      <c r="J56" s="365">
        <f>'Budget with Assumptions'!P56</f>
        <v>0</v>
      </c>
      <c r="K56" s="902"/>
      <c r="L56" s="365">
        <f>'Budget with Assumptions'!R56</f>
        <v>0</v>
      </c>
      <c r="M56" s="890"/>
      <c r="N56" s="365">
        <f>'Budget with Assumptions'!T56</f>
        <v>0</v>
      </c>
      <c r="O56"/>
      <c r="P56" s="915" t="e">
        <f t="shared" si="5"/>
        <v>#DIV/0!</v>
      </c>
      <c r="Q56" s="915" t="e">
        <f t="shared" si="6"/>
        <v>#DIV/0!</v>
      </c>
      <c r="R56" s="915" t="e">
        <f t="shared" si="7"/>
        <v>#DIV/0!</v>
      </c>
      <c r="S56" s="915">
        <f t="shared" si="8"/>
        <v>0</v>
      </c>
      <c r="T56" s="915">
        <f t="shared" si="9"/>
        <v>0</v>
      </c>
      <c r="U56"/>
      <c r="V56" s="922" t="e">
        <f t="shared" si="10"/>
        <v>#DIV/0!</v>
      </c>
      <c r="W56" s="922" t="e">
        <f t="shared" si="11"/>
        <v>#DIV/0!</v>
      </c>
      <c r="X56" s="922" t="e">
        <f t="shared" si="12"/>
        <v>#DIV/0!</v>
      </c>
      <c r="Y56" s="922">
        <f t="shared" si="13"/>
        <v>0</v>
      </c>
      <c r="Z56" s="922">
        <f t="shared" si="14"/>
        <v>0</v>
      </c>
    </row>
    <row r="57" spans="1:26" ht="15.75" x14ac:dyDescent="0.25">
      <c r="A57" s="712">
        <f>'Budget with Assumptions'!A57</f>
        <v>0</v>
      </c>
      <c r="B57" s="42"/>
      <c r="C57" s="42"/>
      <c r="D57" s="365">
        <f>'Budget with Assumptions'!J57</f>
        <v>0</v>
      </c>
      <c r="E57" s="901"/>
      <c r="F57" s="365">
        <f>'Budget with Assumptions'!L57</f>
        <v>0</v>
      </c>
      <c r="G57" s="901"/>
      <c r="H57" s="365">
        <f>'Budget with Assumptions'!N57</f>
        <v>0</v>
      </c>
      <c r="I57" s="901"/>
      <c r="J57" s="365">
        <f>'Budget with Assumptions'!P57</f>
        <v>0</v>
      </c>
      <c r="K57" s="902"/>
      <c r="L57" s="365">
        <f>'Budget with Assumptions'!R57</f>
        <v>0</v>
      </c>
      <c r="M57" s="890"/>
      <c r="N57" s="365">
        <f>'Budget with Assumptions'!T57</f>
        <v>0</v>
      </c>
      <c r="O57"/>
      <c r="P57" s="915" t="e">
        <f t="shared" si="5"/>
        <v>#DIV/0!</v>
      </c>
      <c r="Q57" s="915" t="e">
        <f t="shared" si="6"/>
        <v>#DIV/0!</v>
      </c>
      <c r="R57" s="915" t="e">
        <f t="shared" si="7"/>
        <v>#DIV/0!</v>
      </c>
      <c r="S57" s="915">
        <f t="shared" si="8"/>
        <v>0</v>
      </c>
      <c r="T57" s="915">
        <f t="shared" si="9"/>
        <v>0</v>
      </c>
      <c r="U57"/>
      <c r="V57" s="922" t="e">
        <f t="shared" si="10"/>
        <v>#DIV/0!</v>
      </c>
      <c r="W57" s="922" t="e">
        <f t="shared" si="11"/>
        <v>#DIV/0!</v>
      </c>
      <c r="X57" s="922" t="e">
        <f t="shared" si="12"/>
        <v>#DIV/0!</v>
      </c>
      <c r="Y57" s="922">
        <f t="shared" si="13"/>
        <v>0</v>
      </c>
      <c r="Z57" s="922">
        <f t="shared" si="14"/>
        <v>0</v>
      </c>
    </row>
    <row r="58" spans="1:26" ht="15.75" x14ac:dyDescent="0.25">
      <c r="A58" s="712">
        <f>'Budget with Assumptions'!A58</f>
        <v>0</v>
      </c>
      <c r="B58" s="42"/>
      <c r="C58" s="42"/>
      <c r="D58" s="365">
        <f>'Budget with Assumptions'!J58</f>
        <v>0</v>
      </c>
      <c r="E58" s="901"/>
      <c r="F58" s="365">
        <f>'Budget with Assumptions'!L58</f>
        <v>0</v>
      </c>
      <c r="G58" s="901"/>
      <c r="H58" s="365">
        <f>'Budget with Assumptions'!N58</f>
        <v>0</v>
      </c>
      <c r="I58" s="901"/>
      <c r="J58" s="365">
        <f>'Budget with Assumptions'!P58</f>
        <v>0</v>
      </c>
      <c r="K58" s="902"/>
      <c r="L58" s="365">
        <f>'Budget with Assumptions'!R58</f>
        <v>0</v>
      </c>
      <c r="M58" s="890"/>
      <c r="N58" s="365">
        <f>'Budget with Assumptions'!T58</f>
        <v>0</v>
      </c>
      <c r="O58"/>
      <c r="P58" s="915" t="e">
        <f t="shared" si="5"/>
        <v>#DIV/0!</v>
      </c>
      <c r="Q58" s="915" t="e">
        <f t="shared" si="6"/>
        <v>#DIV/0!</v>
      </c>
      <c r="R58" s="915" t="e">
        <f t="shared" si="7"/>
        <v>#DIV/0!</v>
      </c>
      <c r="S58" s="915">
        <f t="shared" si="8"/>
        <v>0</v>
      </c>
      <c r="T58" s="915">
        <f t="shared" si="9"/>
        <v>0</v>
      </c>
      <c r="U58"/>
      <c r="V58" s="922" t="e">
        <f t="shared" si="10"/>
        <v>#DIV/0!</v>
      </c>
      <c r="W58" s="922" t="e">
        <f t="shared" si="11"/>
        <v>#DIV/0!</v>
      </c>
      <c r="X58" s="922" t="e">
        <f t="shared" si="12"/>
        <v>#DIV/0!</v>
      </c>
      <c r="Y58" s="922">
        <f t="shared" si="13"/>
        <v>0</v>
      </c>
      <c r="Z58" s="922">
        <f t="shared" si="14"/>
        <v>0</v>
      </c>
    </row>
    <row r="59" spans="1:26" ht="15.75" x14ac:dyDescent="0.25">
      <c r="A59" s="712">
        <f>'Budget with Assumptions'!A59</f>
        <v>0</v>
      </c>
      <c r="B59" s="42"/>
      <c r="C59" s="42"/>
      <c r="D59" s="365">
        <f>'Budget with Assumptions'!J59</f>
        <v>0</v>
      </c>
      <c r="E59" s="901"/>
      <c r="F59" s="365">
        <f>'Budget with Assumptions'!L59</f>
        <v>0</v>
      </c>
      <c r="G59" s="901"/>
      <c r="H59" s="365">
        <f>'Budget with Assumptions'!N59</f>
        <v>0</v>
      </c>
      <c r="I59" s="901"/>
      <c r="J59" s="365">
        <f>'Budget with Assumptions'!P59</f>
        <v>0</v>
      </c>
      <c r="K59" s="902"/>
      <c r="L59" s="365">
        <f>'Budget with Assumptions'!R59</f>
        <v>0</v>
      </c>
      <c r="M59" s="890"/>
      <c r="N59" s="365">
        <f>'Budget with Assumptions'!T59</f>
        <v>0</v>
      </c>
      <c r="O59"/>
      <c r="P59" s="915" t="e">
        <f t="shared" si="5"/>
        <v>#DIV/0!</v>
      </c>
      <c r="Q59" s="915" t="e">
        <f t="shared" si="6"/>
        <v>#DIV/0!</v>
      </c>
      <c r="R59" s="915" t="e">
        <f t="shared" si="7"/>
        <v>#DIV/0!</v>
      </c>
      <c r="S59" s="915">
        <f t="shared" si="8"/>
        <v>0</v>
      </c>
      <c r="T59" s="915">
        <f t="shared" si="9"/>
        <v>0</v>
      </c>
      <c r="U59"/>
      <c r="V59" s="922" t="e">
        <f t="shared" si="10"/>
        <v>#DIV/0!</v>
      </c>
      <c r="W59" s="922" t="e">
        <f t="shared" si="11"/>
        <v>#DIV/0!</v>
      </c>
      <c r="X59" s="922" t="e">
        <f t="shared" si="12"/>
        <v>#DIV/0!</v>
      </c>
      <c r="Y59" s="922">
        <f t="shared" si="13"/>
        <v>0</v>
      </c>
      <c r="Z59" s="922">
        <f t="shared" si="14"/>
        <v>0</v>
      </c>
    </row>
    <row r="60" spans="1:26" ht="15.75" x14ac:dyDescent="0.25">
      <c r="A60" s="712">
        <f>'Budget with Assumptions'!A60</f>
        <v>0</v>
      </c>
      <c r="B60" s="42"/>
      <c r="C60" s="42"/>
      <c r="D60" s="365">
        <f>'Budget with Assumptions'!J60</f>
        <v>0</v>
      </c>
      <c r="E60" s="901"/>
      <c r="F60" s="365">
        <f>'Budget with Assumptions'!L60</f>
        <v>0</v>
      </c>
      <c r="G60" s="901"/>
      <c r="H60" s="365">
        <f>'Budget with Assumptions'!N60</f>
        <v>0</v>
      </c>
      <c r="I60" s="901"/>
      <c r="J60" s="365">
        <f>'Budget with Assumptions'!P60</f>
        <v>0</v>
      </c>
      <c r="K60" s="902"/>
      <c r="L60" s="365">
        <f>'Budget with Assumptions'!R60</f>
        <v>0</v>
      </c>
      <c r="M60" s="890"/>
      <c r="N60" s="365">
        <f>'Budget with Assumptions'!T60</f>
        <v>0</v>
      </c>
      <c r="O60"/>
      <c r="P60" s="915" t="e">
        <f t="shared" si="5"/>
        <v>#DIV/0!</v>
      </c>
      <c r="Q60" s="915" t="e">
        <f t="shared" si="6"/>
        <v>#DIV/0!</v>
      </c>
      <c r="R60" s="915" t="e">
        <f t="shared" si="7"/>
        <v>#DIV/0!</v>
      </c>
      <c r="S60" s="915">
        <f t="shared" si="8"/>
        <v>0</v>
      </c>
      <c r="T60" s="915">
        <f t="shared" si="9"/>
        <v>0</v>
      </c>
      <c r="U60"/>
      <c r="V60" s="922" t="e">
        <f t="shared" si="10"/>
        <v>#DIV/0!</v>
      </c>
      <c r="W60" s="922" t="e">
        <f t="shared" si="11"/>
        <v>#DIV/0!</v>
      </c>
      <c r="X60" s="922" t="e">
        <f t="shared" si="12"/>
        <v>#DIV/0!</v>
      </c>
      <c r="Y60" s="922">
        <f t="shared" si="13"/>
        <v>0</v>
      </c>
      <c r="Z60" s="922">
        <f t="shared" si="14"/>
        <v>0</v>
      </c>
    </row>
    <row r="61" spans="1:26" ht="15.75" x14ac:dyDescent="0.25">
      <c r="A61" s="712">
        <f>'Budget with Assumptions'!A61</f>
        <v>0</v>
      </c>
      <c r="B61" s="42"/>
      <c r="C61" s="42"/>
      <c r="D61" s="365">
        <f>'Budget with Assumptions'!J61</f>
        <v>0</v>
      </c>
      <c r="E61" s="901"/>
      <c r="F61" s="365">
        <f>'Budget with Assumptions'!L61</f>
        <v>0</v>
      </c>
      <c r="G61" s="901"/>
      <c r="H61" s="365">
        <f>'Budget with Assumptions'!N61</f>
        <v>0</v>
      </c>
      <c r="I61" s="901"/>
      <c r="J61" s="365">
        <f>'Budget with Assumptions'!P61</f>
        <v>0</v>
      </c>
      <c r="K61" s="902"/>
      <c r="L61" s="365">
        <f>'Budget with Assumptions'!R61</f>
        <v>0</v>
      </c>
      <c r="M61" s="890"/>
      <c r="N61" s="365">
        <f>'Budget with Assumptions'!T61</f>
        <v>0</v>
      </c>
      <c r="O61"/>
      <c r="P61" s="915" t="e">
        <f t="shared" si="5"/>
        <v>#DIV/0!</v>
      </c>
      <c r="Q61" s="915" t="e">
        <f t="shared" si="6"/>
        <v>#DIV/0!</v>
      </c>
      <c r="R61" s="915" t="e">
        <f t="shared" si="7"/>
        <v>#DIV/0!</v>
      </c>
      <c r="S61" s="915">
        <f t="shared" si="8"/>
        <v>0</v>
      </c>
      <c r="T61" s="915">
        <f t="shared" si="9"/>
        <v>0</v>
      </c>
      <c r="U61"/>
      <c r="V61" s="922" t="e">
        <f t="shared" si="10"/>
        <v>#DIV/0!</v>
      </c>
      <c r="W61" s="922" t="e">
        <f t="shared" si="11"/>
        <v>#DIV/0!</v>
      </c>
      <c r="X61" s="922" t="e">
        <f t="shared" si="12"/>
        <v>#DIV/0!</v>
      </c>
      <c r="Y61" s="922">
        <f t="shared" si="13"/>
        <v>0</v>
      </c>
      <c r="Z61" s="922">
        <f t="shared" si="14"/>
        <v>0</v>
      </c>
    </row>
    <row r="62" spans="1:26" ht="15.75" x14ac:dyDescent="0.25">
      <c r="A62" s="712">
        <f>'Budget with Assumptions'!A62</f>
        <v>0</v>
      </c>
      <c r="B62" s="42"/>
      <c r="C62" s="42"/>
      <c r="D62" s="365">
        <f>'Budget with Assumptions'!J62</f>
        <v>0</v>
      </c>
      <c r="E62" s="901"/>
      <c r="F62" s="365">
        <f>'Budget with Assumptions'!L62</f>
        <v>0</v>
      </c>
      <c r="G62" s="901"/>
      <c r="H62" s="365">
        <f>'Budget with Assumptions'!N62</f>
        <v>0</v>
      </c>
      <c r="I62" s="901"/>
      <c r="J62" s="365">
        <f>'Budget with Assumptions'!P62</f>
        <v>0</v>
      </c>
      <c r="K62" s="902"/>
      <c r="L62" s="365">
        <f>'Budget with Assumptions'!R62</f>
        <v>0</v>
      </c>
      <c r="M62" s="890"/>
      <c r="N62" s="365">
        <f>'Budget with Assumptions'!T62</f>
        <v>0</v>
      </c>
      <c r="O62"/>
      <c r="P62" s="915" t="e">
        <f t="shared" si="5"/>
        <v>#DIV/0!</v>
      </c>
      <c r="Q62" s="915" t="e">
        <f t="shared" si="6"/>
        <v>#DIV/0!</v>
      </c>
      <c r="R62" s="915" t="e">
        <f t="shared" si="7"/>
        <v>#DIV/0!</v>
      </c>
      <c r="S62" s="915">
        <f t="shared" si="8"/>
        <v>0</v>
      </c>
      <c r="T62" s="915">
        <f t="shared" si="9"/>
        <v>0</v>
      </c>
      <c r="U62"/>
      <c r="V62" s="922" t="e">
        <f t="shared" si="10"/>
        <v>#DIV/0!</v>
      </c>
      <c r="W62" s="922" t="e">
        <f t="shared" si="11"/>
        <v>#DIV/0!</v>
      </c>
      <c r="X62" s="922" t="e">
        <f t="shared" si="12"/>
        <v>#DIV/0!</v>
      </c>
      <c r="Y62" s="922">
        <f t="shared" si="13"/>
        <v>0</v>
      </c>
      <c r="Z62" s="922">
        <f t="shared" si="14"/>
        <v>0</v>
      </c>
    </row>
    <row r="63" spans="1:26" ht="16.5" thickBot="1" x14ac:dyDescent="0.3">
      <c r="A63" s="40"/>
      <c r="B63" s="42"/>
      <c r="C63" s="42"/>
      <c r="D63" s="743"/>
      <c r="E63" s="743"/>
      <c r="F63" s="743"/>
      <c r="G63" s="743"/>
      <c r="H63" s="743"/>
      <c r="I63" s="743"/>
      <c r="J63" s="743"/>
      <c r="K63" s="876"/>
      <c r="L63" s="743"/>
      <c r="M63" s="876"/>
      <c r="N63" s="743"/>
      <c r="P63" s="917"/>
      <c r="Q63" s="917"/>
      <c r="R63" s="917"/>
      <c r="S63" s="917"/>
      <c r="T63" s="917"/>
      <c r="V63" s="743"/>
      <c r="W63" s="743"/>
      <c r="X63" s="743"/>
      <c r="Y63" s="743"/>
      <c r="Z63" s="743"/>
    </row>
    <row r="64" spans="1:26" ht="16.5" thickBot="1" x14ac:dyDescent="0.3">
      <c r="A64" s="873" t="str">
        <f>'Budget with Assumptions'!H64</f>
        <v>Total Direct Student Costs</v>
      </c>
      <c r="B64" s="42"/>
      <c r="C64" s="42"/>
      <c r="D64" s="487">
        <f>SUM(D40:D62)</f>
        <v>0</v>
      </c>
      <c r="E64" s="361"/>
      <c r="F64" s="487">
        <f>SUM(F40:F62)</f>
        <v>0</v>
      </c>
      <c r="G64" s="361"/>
      <c r="H64" s="487">
        <f>SUM(H40:H62)</f>
        <v>0</v>
      </c>
      <c r="I64" s="361"/>
      <c r="J64" s="487">
        <f>SUM(J40:J62)</f>
        <v>0</v>
      </c>
      <c r="K64" s="362"/>
      <c r="L64" s="487">
        <f>SUM(L40:L62)</f>
        <v>271856.11580000003</v>
      </c>
      <c r="M64" s="875"/>
      <c r="N64" s="487">
        <f>SUM(N40:N62)</f>
        <v>305034.73811599996</v>
      </c>
      <c r="O64"/>
      <c r="P64" s="918" t="e">
        <f>SUM(P40:P62)</f>
        <v>#DIV/0!</v>
      </c>
      <c r="Q64" s="918" t="e">
        <f>SUM(Q40:Q62)</f>
        <v>#DIV/0!</v>
      </c>
      <c r="R64" s="918" t="e">
        <f>SUM(R40:R62)</f>
        <v>#DIV/0!</v>
      </c>
      <c r="S64" s="918">
        <f>SUM(S40:S62)</f>
        <v>0.1459706012357691</v>
      </c>
      <c r="T64" s="918">
        <f>SUM(T40:T62)</f>
        <v>0.15950481836887737</v>
      </c>
      <c r="U64"/>
      <c r="V64" s="923" t="e">
        <f>SUM(V40:V62)</f>
        <v>#DIV/0!</v>
      </c>
      <c r="W64" s="923" t="e">
        <f>SUM(W40:W62)</f>
        <v>#DIV/0!</v>
      </c>
      <c r="X64" s="923" t="e">
        <f>SUM(X40:X62)</f>
        <v>#DIV/0!</v>
      </c>
      <c r="Y64" s="923">
        <f>SUM(Y40:Y62)</f>
        <v>1647.6128230303029</v>
      </c>
      <c r="Z64" s="923">
        <f>SUM(Z40:Z62)</f>
        <v>1848.6953825212122</v>
      </c>
    </row>
    <row r="65" spans="1:26" ht="15.75" x14ac:dyDescent="0.25">
      <c r="A65" s="49"/>
      <c r="B65" s="38"/>
      <c r="C65" s="38"/>
      <c r="D65" s="743"/>
      <c r="E65" s="743"/>
      <c r="F65" s="743"/>
      <c r="G65" s="743"/>
      <c r="H65" s="743"/>
      <c r="I65" s="743"/>
      <c r="J65" s="743"/>
      <c r="K65" s="876"/>
      <c r="L65" s="743"/>
      <c r="M65" s="876"/>
      <c r="N65" s="743"/>
      <c r="P65" s="917"/>
      <c r="Q65" s="917"/>
      <c r="R65" s="917"/>
      <c r="S65" s="917"/>
      <c r="T65" s="917"/>
      <c r="V65" s="743"/>
      <c r="W65" s="743"/>
      <c r="X65" s="743"/>
      <c r="Y65" s="743"/>
      <c r="Z65" s="743"/>
    </row>
    <row r="66" spans="1:26" ht="15.75" x14ac:dyDescent="0.25">
      <c r="A66" s="49"/>
      <c r="B66" s="38"/>
      <c r="C66" s="38"/>
      <c r="D66" s="903"/>
      <c r="E66" s="904"/>
      <c r="F66" s="903"/>
      <c r="G66" s="904"/>
      <c r="H66" s="903"/>
      <c r="I66" s="904"/>
      <c r="J66" s="903"/>
      <c r="K66" s="362"/>
      <c r="L66" s="903"/>
      <c r="M66" s="875"/>
      <c r="N66" s="903"/>
      <c r="O66" s="337"/>
      <c r="P66" s="919"/>
      <c r="Q66" s="919"/>
      <c r="R66" s="919"/>
      <c r="S66" s="919"/>
      <c r="T66" s="919"/>
      <c r="U66" s="337"/>
      <c r="V66" s="924"/>
      <c r="W66" s="924"/>
      <c r="X66" s="924"/>
      <c r="Y66" s="924"/>
      <c r="Z66" s="924"/>
    </row>
    <row r="67" spans="1:26" ht="16.5" thickBot="1" x14ac:dyDescent="0.3">
      <c r="A67" s="49"/>
      <c r="B67" s="50"/>
      <c r="C67" s="50"/>
      <c r="D67" s="902"/>
      <c r="E67" s="905"/>
      <c r="F67" s="902"/>
      <c r="G67" s="905"/>
      <c r="H67" s="902"/>
      <c r="I67" s="905"/>
      <c r="J67" s="902"/>
      <c r="K67" s="902"/>
      <c r="L67" s="906"/>
      <c r="M67" s="890"/>
      <c r="N67" s="906"/>
      <c r="O67" s="337"/>
      <c r="P67" s="920"/>
      <c r="Q67" s="920"/>
      <c r="R67" s="920"/>
      <c r="S67" s="920"/>
      <c r="T67" s="920"/>
      <c r="U67" s="337"/>
      <c r="V67" s="876"/>
      <c r="W67" s="876"/>
      <c r="X67" s="876"/>
      <c r="Y67" s="876"/>
      <c r="Z67" s="876"/>
    </row>
    <row r="68" spans="1:26" ht="18.75" thickBot="1" x14ac:dyDescent="0.3">
      <c r="A68" s="705" t="s">
        <v>175</v>
      </c>
      <c r="B68" s="50"/>
      <c r="C68" s="50"/>
      <c r="D68" s="907"/>
      <c r="E68" s="901"/>
      <c r="F68" s="907"/>
      <c r="G68" s="901"/>
      <c r="H68" s="907"/>
      <c r="I68" s="901"/>
      <c r="J68" s="907"/>
      <c r="K68" s="902"/>
      <c r="L68" s="68"/>
      <c r="M68" s="890"/>
      <c r="N68" s="68"/>
      <c r="O68"/>
      <c r="P68" s="917"/>
      <c r="Q68" s="917"/>
      <c r="R68" s="917"/>
      <c r="S68" s="917"/>
      <c r="T68" s="917"/>
      <c r="U68"/>
      <c r="V68" s="743"/>
      <c r="W68" s="743"/>
      <c r="X68" s="743"/>
      <c r="Y68" s="743"/>
      <c r="Z68" s="743"/>
    </row>
    <row r="69" spans="1:26" ht="15.75" x14ac:dyDescent="0.25">
      <c r="A69" s="712" t="str">
        <f>'Budget with Assumptions'!A69</f>
        <v>Salaries</v>
      </c>
      <c r="B69" s="38"/>
      <c r="C69" s="38"/>
      <c r="D69" s="365">
        <f>'Budget with Assumptions'!J69</f>
        <v>0</v>
      </c>
      <c r="E69" s="901"/>
      <c r="F69" s="365">
        <f>'Budget with Assumptions'!L69</f>
        <v>0</v>
      </c>
      <c r="G69" s="905"/>
      <c r="H69" s="365">
        <f>'Budget with Assumptions'!N69</f>
        <v>0</v>
      </c>
      <c r="I69" s="905"/>
      <c r="J69" s="365">
        <f>'Budget with Assumptions'!P69</f>
        <v>0</v>
      </c>
      <c r="K69" s="902"/>
      <c r="L69" s="365">
        <f>'Budget with Assumptions'!R69</f>
        <v>745250</v>
      </c>
      <c r="M69" s="890"/>
      <c r="N69" s="365">
        <f>'Budget with Assumptions'!T69</f>
        <v>760155</v>
      </c>
      <c r="O69"/>
      <c r="P69" s="916" t="e">
        <f t="shared" ref="P69:P90" si="15">F69/$F$159</f>
        <v>#DIV/0!</v>
      </c>
      <c r="Q69" s="916" t="e">
        <f t="shared" ref="Q69:Q90" si="16">H69/$H$159</f>
        <v>#DIV/0!</v>
      </c>
      <c r="R69" s="916" t="e">
        <f t="shared" ref="R69:R90" si="17">J69/$J$159</f>
        <v>#DIV/0!</v>
      </c>
      <c r="S69" s="916">
        <f t="shared" ref="S69:S90" si="18">L69/$L$159</f>
        <v>0.40015502410469195</v>
      </c>
      <c r="T69" s="916">
        <f t="shared" ref="T69:T90" si="19">N69/$N$159</f>
        <v>0.39749041684912972</v>
      </c>
      <c r="U69"/>
      <c r="V69" s="925" t="e">
        <f>F69/$F$178</f>
        <v>#DIV/0!</v>
      </c>
      <c r="W69" s="925" t="e">
        <f>H69/$H$178</f>
        <v>#DIV/0!</v>
      </c>
      <c r="X69" s="925" t="e">
        <f>J69/$J$178</f>
        <v>#DIV/0!</v>
      </c>
      <c r="Y69" s="925">
        <f>L69/$L$178</f>
        <v>4516.666666666667</v>
      </c>
      <c r="Z69" s="925">
        <f>N69/$N$178</f>
        <v>4607</v>
      </c>
    </row>
    <row r="70" spans="1:26" ht="15.75" x14ac:dyDescent="0.25">
      <c r="A70" s="712" t="str">
        <f>'Budget with Assumptions'!A70</f>
        <v>School's Share of Employer Contribution (normal cost) to the CTPF</v>
      </c>
      <c r="B70" s="52"/>
      <c r="C70" s="52"/>
      <c r="D70" s="365">
        <f>'Budget with Assumptions'!J70</f>
        <v>0</v>
      </c>
      <c r="E70" s="901"/>
      <c r="F70" s="365">
        <f>'Budget with Assumptions'!L70</f>
        <v>0</v>
      </c>
      <c r="G70" s="905"/>
      <c r="H70" s="365">
        <f>'Budget with Assumptions'!N70</f>
        <v>0</v>
      </c>
      <c r="I70" s="905"/>
      <c r="J70" s="365">
        <f>'Budget with Assumptions'!P70</f>
        <v>0</v>
      </c>
      <c r="K70" s="902"/>
      <c r="L70" s="365">
        <f>'Budget with Assumptions'!R70</f>
        <v>24552</v>
      </c>
      <c r="M70" s="890"/>
      <c r="N70" s="365">
        <f>'Budget with Assumptions'!T70</f>
        <v>25043.040000000001</v>
      </c>
      <c r="O70"/>
      <c r="P70" s="916" t="e">
        <f t="shared" si="15"/>
        <v>#DIV/0!</v>
      </c>
      <c r="Q70" s="916" t="e">
        <f t="shared" si="16"/>
        <v>#DIV/0!</v>
      </c>
      <c r="R70" s="916" t="e">
        <f t="shared" si="17"/>
        <v>#DIV/0!</v>
      </c>
      <c r="S70" s="916">
        <f t="shared" si="18"/>
        <v>1.318296699338262E-2</v>
      </c>
      <c r="T70" s="916">
        <f t="shared" si="19"/>
        <v>1.3095182441435536E-2</v>
      </c>
      <c r="U70"/>
      <c r="V70" s="925" t="e">
        <f t="shared" ref="V70:V90" si="20">F70/$F$178</f>
        <v>#DIV/0!</v>
      </c>
      <c r="W70" s="925" t="e">
        <f t="shared" ref="W70:W90" si="21">H70/$H$178</f>
        <v>#DIV/0!</v>
      </c>
      <c r="X70" s="925" t="e">
        <f t="shared" ref="X70:X90" si="22">J70/$J$178</f>
        <v>#DIV/0!</v>
      </c>
      <c r="Y70" s="925">
        <f t="shared" ref="Y70:Y90" si="23">L70/$L$178</f>
        <v>148.80000000000001</v>
      </c>
      <c r="Z70" s="925">
        <f t="shared" ref="Z70:Z90" si="24">N70/$N$178</f>
        <v>151.77600000000001</v>
      </c>
    </row>
    <row r="71" spans="1:26" ht="15.75" x14ac:dyDescent="0.25">
      <c r="A71" s="712" t="str">
        <f>'Budget with Assumptions'!A71</f>
        <v>Pension-CTPF(Charter School's Share of 9% of Employee w/h)</v>
      </c>
      <c r="B71" s="52"/>
      <c r="C71" s="52"/>
      <c r="D71" s="365">
        <f>'Budget with Assumptions'!J71</f>
        <v>0</v>
      </c>
      <c r="E71" s="901"/>
      <c r="F71" s="365">
        <f>'Budget with Assumptions'!L71</f>
        <v>0</v>
      </c>
      <c r="G71" s="905"/>
      <c r="H71" s="365">
        <f>'Budget with Assumptions'!N71</f>
        <v>0</v>
      </c>
      <c r="I71" s="905"/>
      <c r="J71" s="365">
        <f>'Budget with Assumptions'!P71</f>
        <v>0</v>
      </c>
      <c r="K71" s="902"/>
      <c r="L71" s="365">
        <f>'Budget with Assumptions'!R71</f>
        <v>0</v>
      </c>
      <c r="M71" s="890"/>
      <c r="N71" s="365">
        <f>'Budget with Assumptions'!T71</f>
        <v>0</v>
      </c>
      <c r="O71"/>
      <c r="P71" s="916" t="e">
        <f t="shared" si="15"/>
        <v>#DIV/0!</v>
      </c>
      <c r="Q71" s="916" t="e">
        <f t="shared" si="16"/>
        <v>#DIV/0!</v>
      </c>
      <c r="R71" s="916" t="e">
        <f t="shared" si="17"/>
        <v>#DIV/0!</v>
      </c>
      <c r="S71" s="916">
        <f t="shared" si="18"/>
        <v>0</v>
      </c>
      <c r="T71" s="916">
        <f t="shared" si="19"/>
        <v>0</v>
      </c>
      <c r="U71"/>
      <c r="V71" s="925" t="e">
        <f t="shared" si="20"/>
        <v>#DIV/0!</v>
      </c>
      <c r="W71" s="925" t="e">
        <f t="shared" si="21"/>
        <v>#DIV/0!</v>
      </c>
      <c r="X71" s="925" t="e">
        <f t="shared" si="22"/>
        <v>#DIV/0!</v>
      </c>
      <c r="Y71" s="925">
        <f t="shared" si="23"/>
        <v>0</v>
      </c>
      <c r="Z71" s="925">
        <f t="shared" si="24"/>
        <v>0</v>
      </c>
    </row>
    <row r="72" spans="1:26" ht="15.75" x14ac:dyDescent="0.25">
      <c r="A72" s="712" t="str">
        <f>'Budget with Assumptions'!A72</f>
        <v>403b</v>
      </c>
      <c r="B72" s="52"/>
      <c r="C72" s="52"/>
      <c r="D72" s="365">
        <f>'Budget with Assumptions'!J72</f>
        <v>0</v>
      </c>
      <c r="E72" s="901"/>
      <c r="F72" s="365">
        <f>'Budget with Assumptions'!L72</f>
        <v>0</v>
      </c>
      <c r="G72" s="905"/>
      <c r="H72" s="365">
        <f>'Budget with Assumptions'!N72</f>
        <v>0</v>
      </c>
      <c r="I72" s="905"/>
      <c r="J72" s="365">
        <f>'Budget with Assumptions'!P72</f>
        <v>0</v>
      </c>
      <c r="K72" s="902"/>
      <c r="L72" s="365">
        <f>'Budget with Assumptions'!R72</f>
        <v>17270</v>
      </c>
      <c r="M72" s="890"/>
      <c r="N72" s="365">
        <f>'Budget with Assumptions'!T72</f>
        <v>17615.399999999998</v>
      </c>
      <c r="O72"/>
      <c r="P72" s="916" t="e">
        <f t="shared" si="15"/>
        <v>#DIV/0!</v>
      </c>
      <c r="Q72" s="916" t="e">
        <f t="shared" si="16"/>
        <v>#DIV/0!</v>
      </c>
      <c r="R72" s="916" t="e">
        <f t="shared" si="17"/>
        <v>#DIV/0!</v>
      </c>
      <c r="S72" s="916">
        <f t="shared" si="18"/>
        <v>9.2729651342341908E-3</v>
      </c>
      <c r="T72" s="916">
        <f t="shared" si="19"/>
        <v>9.2112170398986511E-3</v>
      </c>
      <c r="U72"/>
      <c r="V72" s="925" t="e">
        <f t="shared" si="20"/>
        <v>#DIV/0!</v>
      </c>
      <c r="W72" s="925" t="e">
        <f t="shared" si="21"/>
        <v>#DIV/0!</v>
      </c>
      <c r="X72" s="925" t="e">
        <f t="shared" si="22"/>
        <v>#DIV/0!</v>
      </c>
      <c r="Y72" s="925">
        <f t="shared" si="23"/>
        <v>104.66666666666667</v>
      </c>
      <c r="Z72" s="925">
        <f t="shared" si="24"/>
        <v>106.75999999999999</v>
      </c>
    </row>
    <row r="73" spans="1:26" ht="15.75" x14ac:dyDescent="0.25">
      <c r="A73" s="712" t="str">
        <f>'Budget with Assumptions'!A73</f>
        <v>FICA (employer's share)</v>
      </c>
      <c r="B73" s="52"/>
      <c r="C73" s="52"/>
      <c r="D73" s="365">
        <f>'Budget with Assumptions'!J73</f>
        <v>0</v>
      </c>
      <c r="E73" s="901"/>
      <c r="F73" s="365">
        <f>'Budget with Assumptions'!L73</f>
        <v>0</v>
      </c>
      <c r="G73" s="905"/>
      <c r="H73" s="365">
        <f>'Budget with Assumptions'!N73</f>
        <v>0</v>
      </c>
      <c r="I73" s="905"/>
      <c r="J73" s="365">
        <f>'Budget with Assumptions'!P73</f>
        <v>0</v>
      </c>
      <c r="K73" s="902"/>
      <c r="L73" s="365">
        <f>'Budget with Assumptions'!R73</f>
        <v>24335</v>
      </c>
      <c r="M73" s="890"/>
      <c r="N73" s="365">
        <f>'Budget with Assumptions'!T73</f>
        <v>24821.7</v>
      </c>
      <c r="O73"/>
      <c r="P73" s="916" t="e">
        <f t="shared" si="15"/>
        <v>#DIV/0!</v>
      </c>
      <c r="Q73" s="916" t="e">
        <f t="shared" si="16"/>
        <v>#DIV/0!</v>
      </c>
      <c r="R73" s="916" t="e">
        <f t="shared" si="17"/>
        <v>#DIV/0!</v>
      </c>
      <c r="S73" s="916">
        <f t="shared" si="18"/>
        <v>1.3066450870966358E-2</v>
      </c>
      <c r="T73" s="916">
        <f t="shared" si="19"/>
        <v>1.2979442192584465E-2</v>
      </c>
      <c r="U73"/>
      <c r="V73" s="925" t="e">
        <f t="shared" si="20"/>
        <v>#DIV/0!</v>
      </c>
      <c r="W73" s="925" t="e">
        <f t="shared" si="21"/>
        <v>#DIV/0!</v>
      </c>
      <c r="X73" s="925" t="e">
        <f t="shared" si="22"/>
        <v>#DIV/0!</v>
      </c>
      <c r="Y73" s="925">
        <f t="shared" si="23"/>
        <v>147.4848484848485</v>
      </c>
      <c r="Z73" s="925">
        <f t="shared" si="24"/>
        <v>150.43454545454546</v>
      </c>
    </row>
    <row r="74" spans="1:26" ht="15.75" x14ac:dyDescent="0.25">
      <c r="A74" s="712" t="str">
        <f>'Budget with Assumptions'!A74</f>
        <v>Medicare (employer's share)</v>
      </c>
      <c r="B74" s="52"/>
      <c r="C74" s="52"/>
      <c r="D74" s="365">
        <f>'Budget with Assumptions'!J74</f>
        <v>0</v>
      </c>
      <c r="E74" s="901"/>
      <c r="F74" s="365">
        <f>'Budget with Assumptions'!L74</f>
        <v>0</v>
      </c>
      <c r="G74" s="905"/>
      <c r="H74" s="365">
        <f>'Budget with Assumptions'!N74</f>
        <v>0</v>
      </c>
      <c r="I74" s="905"/>
      <c r="J74" s="365">
        <f>'Budget with Assumptions'!P74</f>
        <v>0</v>
      </c>
      <c r="K74" s="902"/>
      <c r="L74" s="365">
        <f>'Budget with Assumptions'!R74</f>
        <v>10806.125</v>
      </c>
      <c r="M74" s="890"/>
      <c r="N74" s="365">
        <f>'Budget with Assumptions'!T74</f>
        <v>11022.247500000001</v>
      </c>
      <c r="O74"/>
      <c r="P74" s="916" t="e">
        <f t="shared" si="15"/>
        <v>#DIV/0!</v>
      </c>
      <c r="Q74" s="916" t="e">
        <f t="shared" si="16"/>
        <v>#DIV/0!</v>
      </c>
      <c r="R74" s="916" t="e">
        <f t="shared" si="17"/>
        <v>#DIV/0!</v>
      </c>
      <c r="S74" s="916">
        <f t="shared" si="18"/>
        <v>5.802247849518034E-3</v>
      </c>
      <c r="T74" s="916">
        <f t="shared" si="19"/>
        <v>5.763611044312382E-3</v>
      </c>
      <c r="U74"/>
      <c r="V74" s="925" t="e">
        <f t="shared" si="20"/>
        <v>#DIV/0!</v>
      </c>
      <c r="W74" s="925" t="e">
        <f t="shared" si="21"/>
        <v>#DIV/0!</v>
      </c>
      <c r="X74" s="925" t="e">
        <f t="shared" si="22"/>
        <v>#DIV/0!</v>
      </c>
      <c r="Y74" s="925">
        <f t="shared" si="23"/>
        <v>65.49166666666666</v>
      </c>
      <c r="Z74" s="925">
        <f t="shared" si="24"/>
        <v>66.801500000000004</v>
      </c>
    </row>
    <row r="75" spans="1:26" ht="15.75" x14ac:dyDescent="0.25">
      <c r="A75" s="712" t="str">
        <f>'Budget with Assumptions'!A75</f>
        <v>Health/Dental/Life Insurance</v>
      </c>
      <c r="B75" s="52"/>
      <c r="C75" s="52"/>
      <c r="D75" s="365">
        <f>'Budget with Assumptions'!J75</f>
        <v>0</v>
      </c>
      <c r="E75" s="901"/>
      <c r="F75" s="365">
        <f>'Budget with Assumptions'!L75</f>
        <v>0</v>
      </c>
      <c r="G75" s="905"/>
      <c r="H75" s="365">
        <f>'Budget with Assumptions'!N75</f>
        <v>0</v>
      </c>
      <c r="I75" s="905"/>
      <c r="J75" s="365">
        <f>'Budget with Assumptions'!P75</f>
        <v>0</v>
      </c>
      <c r="K75" s="902"/>
      <c r="L75" s="365">
        <f>'Budget with Assumptions'!R75</f>
        <v>80991.394560000001</v>
      </c>
      <c r="M75" s="890"/>
      <c r="N75" s="365">
        <f>'Budget with Assumptions'!T75</f>
        <v>82611.222451199996</v>
      </c>
      <c r="O75"/>
      <c r="P75" s="916" t="e">
        <f t="shared" si="15"/>
        <v>#DIV/0!</v>
      </c>
      <c r="Q75" s="916" t="e">
        <f t="shared" si="16"/>
        <v>#DIV/0!</v>
      </c>
      <c r="R75" s="916" t="e">
        <f t="shared" si="17"/>
        <v>#DIV/0!</v>
      </c>
      <c r="S75" s="916">
        <f t="shared" si="18"/>
        <v>4.3487572549385331E-2</v>
      </c>
      <c r="T75" s="916">
        <f t="shared" si="19"/>
        <v>4.3197991526127792E-2</v>
      </c>
      <c r="U75"/>
      <c r="V75" s="925" t="e">
        <f t="shared" si="20"/>
        <v>#DIV/0!</v>
      </c>
      <c r="W75" s="925" t="e">
        <f t="shared" si="21"/>
        <v>#DIV/0!</v>
      </c>
      <c r="X75" s="925" t="e">
        <f t="shared" si="22"/>
        <v>#DIV/0!</v>
      </c>
      <c r="Y75" s="925">
        <f t="shared" si="23"/>
        <v>490.85693672727274</v>
      </c>
      <c r="Z75" s="925">
        <f t="shared" si="24"/>
        <v>500.67407546181818</v>
      </c>
    </row>
    <row r="76" spans="1:26" ht="15.75" x14ac:dyDescent="0.25">
      <c r="A76" s="712" t="str">
        <f>'Budget with Assumptions'!A76</f>
        <v>Workers Compensation</v>
      </c>
      <c r="B76" s="52"/>
      <c r="C76" s="52"/>
      <c r="D76" s="365">
        <f>'Budget with Assumptions'!J76</f>
        <v>0</v>
      </c>
      <c r="E76" s="901"/>
      <c r="F76" s="365">
        <f>'Budget with Assumptions'!L76</f>
        <v>0</v>
      </c>
      <c r="G76" s="901"/>
      <c r="H76" s="365">
        <f>'Budget with Assumptions'!N76</f>
        <v>0</v>
      </c>
      <c r="I76" s="905"/>
      <c r="J76" s="365">
        <f>'Budget with Assumptions'!P76</f>
        <v>0</v>
      </c>
      <c r="K76" s="902"/>
      <c r="L76" s="365">
        <f>'Budget with Assumptions'!R76</f>
        <v>7452.5</v>
      </c>
      <c r="M76" s="890"/>
      <c r="N76" s="365">
        <f>'Budget with Assumptions'!T76</f>
        <v>7601.55</v>
      </c>
      <c r="O76"/>
      <c r="P76" s="916" t="e">
        <f t="shared" si="15"/>
        <v>#DIV/0!</v>
      </c>
      <c r="Q76" s="916" t="e">
        <f t="shared" si="16"/>
        <v>#DIV/0!</v>
      </c>
      <c r="R76" s="916" t="e">
        <f t="shared" si="17"/>
        <v>#DIV/0!</v>
      </c>
      <c r="S76" s="916">
        <f t="shared" si="18"/>
        <v>4.0015502410469198E-3</v>
      </c>
      <c r="T76" s="916">
        <f t="shared" si="19"/>
        <v>3.9749041684912978E-3</v>
      </c>
      <c r="U76"/>
      <c r="V76" s="925" t="e">
        <f t="shared" si="20"/>
        <v>#DIV/0!</v>
      </c>
      <c r="W76" s="925" t="e">
        <f t="shared" si="21"/>
        <v>#DIV/0!</v>
      </c>
      <c r="X76" s="925" t="e">
        <f t="shared" si="22"/>
        <v>#DIV/0!</v>
      </c>
      <c r="Y76" s="925">
        <f t="shared" si="23"/>
        <v>45.166666666666664</v>
      </c>
      <c r="Z76" s="925">
        <f t="shared" si="24"/>
        <v>46.07</v>
      </c>
    </row>
    <row r="77" spans="1:26" ht="15.75" x14ac:dyDescent="0.25">
      <c r="A77" s="712" t="str">
        <f>'Budget with Assumptions'!A77</f>
        <v>State Unemployment Taxes</v>
      </c>
      <c r="B77" s="52"/>
      <c r="C77" s="52"/>
      <c r="D77" s="365">
        <f>'Budget with Assumptions'!J77</f>
        <v>0</v>
      </c>
      <c r="E77" s="901"/>
      <c r="F77" s="365">
        <f>'Budget with Assumptions'!L77</f>
        <v>0</v>
      </c>
      <c r="G77" s="901"/>
      <c r="H77" s="365">
        <f>'Budget with Assumptions'!N77</f>
        <v>0</v>
      </c>
      <c r="I77" s="901"/>
      <c r="J77" s="365">
        <f>'Budget with Assumptions'!P77</f>
        <v>0</v>
      </c>
      <c r="K77" s="902"/>
      <c r="L77" s="365">
        <f>'Budget with Assumptions'!R77</f>
        <v>7452.5</v>
      </c>
      <c r="M77" s="890"/>
      <c r="N77" s="365">
        <f>'Budget with Assumptions'!T77</f>
        <v>7601.55</v>
      </c>
      <c r="O77"/>
      <c r="P77" s="916" t="e">
        <f t="shared" si="15"/>
        <v>#DIV/0!</v>
      </c>
      <c r="Q77" s="916" t="e">
        <f t="shared" si="16"/>
        <v>#DIV/0!</v>
      </c>
      <c r="R77" s="916" t="e">
        <f t="shared" si="17"/>
        <v>#DIV/0!</v>
      </c>
      <c r="S77" s="916">
        <f t="shared" si="18"/>
        <v>4.0015502410469198E-3</v>
      </c>
      <c r="T77" s="916">
        <f t="shared" si="19"/>
        <v>3.9749041684912978E-3</v>
      </c>
      <c r="U77"/>
      <c r="V77" s="925" t="e">
        <f t="shared" si="20"/>
        <v>#DIV/0!</v>
      </c>
      <c r="W77" s="925" t="e">
        <f t="shared" si="21"/>
        <v>#DIV/0!</v>
      </c>
      <c r="X77" s="925" t="e">
        <f t="shared" si="22"/>
        <v>#DIV/0!</v>
      </c>
      <c r="Y77" s="925">
        <f t="shared" si="23"/>
        <v>45.166666666666664</v>
      </c>
      <c r="Z77" s="925">
        <f t="shared" si="24"/>
        <v>46.07</v>
      </c>
    </row>
    <row r="78" spans="1:26" ht="15.75" x14ac:dyDescent="0.25">
      <c r="A78" s="712">
        <f>'Budget with Assumptions'!A78</f>
        <v>0</v>
      </c>
      <c r="B78" s="52"/>
      <c r="C78" s="52"/>
      <c r="D78" s="365">
        <f>'Budget with Assumptions'!J78</f>
        <v>0</v>
      </c>
      <c r="E78" s="901"/>
      <c r="F78" s="365">
        <f>'Budget with Assumptions'!L78</f>
        <v>0</v>
      </c>
      <c r="G78" s="901"/>
      <c r="H78" s="365">
        <f>'Budget with Assumptions'!N78</f>
        <v>0</v>
      </c>
      <c r="I78" s="901"/>
      <c r="J78" s="365">
        <f>'Budget with Assumptions'!P78</f>
        <v>0</v>
      </c>
      <c r="K78" s="902"/>
      <c r="L78" s="365">
        <f>'Budget with Assumptions'!R78</f>
        <v>0</v>
      </c>
      <c r="M78" s="890"/>
      <c r="N78" s="365">
        <f>'Budget with Assumptions'!T78</f>
        <v>0</v>
      </c>
      <c r="O78"/>
      <c r="P78" s="916" t="e">
        <f t="shared" si="15"/>
        <v>#DIV/0!</v>
      </c>
      <c r="Q78" s="916" t="e">
        <f t="shared" si="16"/>
        <v>#DIV/0!</v>
      </c>
      <c r="R78" s="916" t="e">
        <f t="shared" si="17"/>
        <v>#DIV/0!</v>
      </c>
      <c r="S78" s="916">
        <f t="shared" si="18"/>
        <v>0</v>
      </c>
      <c r="T78" s="916">
        <f t="shared" si="19"/>
        <v>0</v>
      </c>
      <c r="U78"/>
      <c r="V78" s="925" t="e">
        <f t="shared" si="20"/>
        <v>#DIV/0!</v>
      </c>
      <c r="W78" s="925" t="e">
        <f t="shared" si="21"/>
        <v>#DIV/0!</v>
      </c>
      <c r="X78" s="925" t="e">
        <f t="shared" si="22"/>
        <v>#DIV/0!</v>
      </c>
      <c r="Y78" s="925">
        <f t="shared" si="23"/>
        <v>0</v>
      </c>
      <c r="Z78" s="925">
        <f t="shared" si="24"/>
        <v>0</v>
      </c>
    </row>
    <row r="79" spans="1:26" ht="15.75" x14ac:dyDescent="0.25">
      <c r="A79" s="712">
        <f>'Budget with Assumptions'!A79</f>
        <v>0</v>
      </c>
      <c r="B79" s="52"/>
      <c r="C79" s="52"/>
      <c r="D79" s="365">
        <f>'Budget with Assumptions'!J79</f>
        <v>0</v>
      </c>
      <c r="E79" s="901"/>
      <c r="F79" s="365">
        <f>'Budget with Assumptions'!L79</f>
        <v>0</v>
      </c>
      <c r="G79" s="901"/>
      <c r="H79" s="365">
        <f>'Budget with Assumptions'!N79</f>
        <v>0</v>
      </c>
      <c r="I79" s="901"/>
      <c r="J79" s="365">
        <f>'Budget with Assumptions'!P79</f>
        <v>0</v>
      </c>
      <c r="K79" s="902"/>
      <c r="L79" s="365">
        <f>'Budget with Assumptions'!R79</f>
        <v>0</v>
      </c>
      <c r="M79" s="890"/>
      <c r="N79" s="365">
        <f>'Budget with Assumptions'!T79</f>
        <v>0</v>
      </c>
      <c r="O79"/>
      <c r="P79" s="916" t="e">
        <f t="shared" si="15"/>
        <v>#DIV/0!</v>
      </c>
      <c r="Q79" s="916" t="e">
        <f t="shared" si="16"/>
        <v>#DIV/0!</v>
      </c>
      <c r="R79" s="916" t="e">
        <f t="shared" si="17"/>
        <v>#DIV/0!</v>
      </c>
      <c r="S79" s="916">
        <f t="shared" si="18"/>
        <v>0</v>
      </c>
      <c r="T79" s="916">
        <f t="shared" si="19"/>
        <v>0</v>
      </c>
      <c r="U79"/>
      <c r="V79" s="925" t="e">
        <f t="shared" si="20"/>
        <v>#DIV/0!</v>
      </c>
      <c r="W79" s="925" t="e">
        <f t="shared" si="21"/>
        <v>#DIV/0!</v>
      </c>
      <c r="X79" s="925" t="e">
        <f t="shared" si="22"/>
        <v>#DIV/0!</v>
      </c>
      <c r="Y79" s="925">
        <f t="shared" si="23"/>
        <v>0</v>
      </c>
      <c r="Z79" s="925">
        <f t="shared" si="24"/>
        <v>0</v>
      </c>
    </row>
    <row r="80" spans="1:26" ht="15.75" x14ac:dyDescent="0.25">
      <c r="A80" s="712">
        <f>'Budget with Assumptions'!A80</f>
        <v>0</v>
      </c>
      <c r="B80" s="52"/>
      <c r="C80" s="52"/>
      <c r="D80" s="365">
        <f>'Budget with Assumptions'!J80</f>
        <v>0</v>
      </c>
      <c r="E80" s="743"/>
      <c r="F80" s="365">
        <f>'Budget with Assumptions'!L80</f>
        <v>0</v>
      </c>
      <c r="G80" s="743"/>
      <c r="H80" s="365">
        <f>'Budget with Assumptions'!N80</f>
        <v>0</v>
      </c>
      <c r="I80" s="743"/>
      <c r="J80" s="365">
        <f>'Budget with Assumptions'!P80</f>
        <v>0</v>
      </c>
      <c r="K80" s="876"/>
      <c r="L80" s="365">
        <f>'Budget with Assumptions'!R80</f>
        <v>0</v>
      </c>
      <c r="M80" s="876"/>
      <c r="N80" s="365">
        <f>'Budget with Assumptions'!T80</f>
        <v>0</v>
      </c>
      <c r="P80" s="916" t="e">
        <f t="shared" si="15"/>
        <v>#DIV/0!</v>
      </c>
      <c r="Q80" s="916" t="e">
        <f t="shared" si="16"/>
        <v>#DIV/0!</v>
      </c>
      <c r="R80" s="916" t="e">
        <f t="shared" si="17"/>
        <v>#DIV/0!</v>
      </c>
      <c r="S80" s="916">
        <f t="shared" si="18"/>
        <v>0</v>
      </c>
      <c r="T80" s="916">
        <f t="shared" si="19"/>
        <v>0</v>
      </c>
      <c r="V80" s="925" t="e">
        <f t="shared" si="20"/>
        <v>#DIV/0!</v>
      </c>
      <c r="W80" s="925" t="e">
        <f t="shared" si="21"/>
        <v>#DIV/0!</v>
      </c>
      <c r="X80" s="925" t="e">
        <f t="shared" si="22"/>
        <v>#DIV/0!</v>
      </c>
      <c r="Y80" s="925">
        <f t="shared" si="23"/>
        <v>0</v>
      </c>
      <c r="Z80" s="925">
        <f t="shared" si="24"/>
        <v>0</v>
      </c>
    </row>
    <row r="81" spans="1:26" ht="15.75" x14ac:dyDescent="0.25">
      <c r="A81" s="712">
        <f>'Budget with Assumptions'!A81</f>
        <v>0</v>
      </c>
      <c r="D81" s="365">
        <f>'Budget with Assumptions'!J81</f>
        <v>0</v>
      </c>
      <c r="E81" s="901"/>
      <c r="F81" s="365">
        <f>'Budget with Assumptions'!L81</f>
        <v>0</v>
      </c>
      <c r="G81" s="901"/>
      <c r="H81" s="365">
        <f>'Budget with Assumptions'!N81</f>
        <v>0</v>
      </c>
      <c r="I81" s="901"/>
      <c r="J81" s="365">
        <f>'Budget with Assumptions'!P81</f>
        <v>0</v>
      </c>
      <c r="K81" s="902"/>
      <c r="L81" s="365">
        <f>'Budget with Assumptions'!R81</f>
        <v>0</v>
      </c>
      <c r="M81" s="890"/>
      <c r="N81" s="365">
        <f>'Budget with Assumptions'!T81</f>
        <v>0</v>
      </c>
      <c r="O81"/>
      <c r="P81" s="916" t="e">
        <f t="shared" si="15"/>
        <v>#DIV/0!</v>
      </c>
      <c r="Q81" s="916" t="e">
        <f t="shared" si="16"/>
        <v>#DIV/0!</v>
      </c>
      <c r="R81" s="916" t="e">
        <f t="shared" si="17"/>
        <v>#DIV/0!</v>
      </c>
      <c r="S81" s="916">
        <f t="shared" si="18"/>
        <v>0</v>
      </c>
      <c r="T81" s="916">
        <f t="shared" si="19"/>
        <v>0</v>
      </c>
      <c r="U81"/>
      <c r="V81" s="925" t="e">
        <f t="shared" si="20"/>
        <v>#DIV/0!</v>
      </c>
      <c r="W81" s="925" t="e">
        <f t="shared" si="21"/>
        <v>#DIV/0!</v>
      </c>
      <c r="X81" s="925" t="e">
        <f t="shared" si="22"/>
        <v>#DIV/0!</v>
      </c>
      <c r="Y81" s="925">
        <f t="shared" si="23"/>
        <v>0</v>
      </c>
      <c r="Z81" s="925">
        <f t="shared" si="24"/>
        <v>0</v>
      </c>
    </row>
    <row r="82" spans="1:26" ht="15.75" x14ac:dyDescent="0.25">
      <c r="A82" s="874" t="str">
        <f>'Budget with Assumptions'!A82</f>
        <v>Employee Related Expenses (non-wage and non-benefit)</v>
      </c>
      <c r="B82" s="52"/>
      <c r="C82" s="52"/>
      <c r="D82" s="365">
        <f>'Budget with Assumptions'!J82</f>
        <v>0</v>
      </c>
      <c r="E82" s="901"/>
      <c r="F82" s="365">
        <f>'Budget with Assumptions'!L82</f>
        <v>0</v>
      </c>
      <c r="G82" s="901"/>
      <c r="H82" s="365">
        <f>'Budget with Assumptions'!N82</f>
        <v>0</v>
      </c>
      <c r="I82" s="901"/>
      <c r="J82" s="365">
        <f>'Budget with Assumptions'!P82</f>
        <v>0</v>
      </c>
      <c r="K82" s="902"/>
      <c r="L82" s="365">
        <f>'Budget with Assumptions'!R82</f>
        <v>0</v>
      </c>
      <c r="M82" s="890"/>
      <c r="N82" s="365">
        <f>'Budget with Assumptions'!T82</f>
        <v>0</v>
      </c>
      <c r="O82"/>
      <c r="P82" s="916" t="e">
        <f t="shared" si="15"/>
        <v>#DIV/0!</v>
      </c>
      <c r="Q82" s="916" t="e">
        <f t="shared" si="16"/>
        <v>#DIV/0!</v>
      </c>
      <c r="R82" s="916" t="e">
        <f t="shared" si="17"/>
        <v>#DIV/0!</v>
      </c>
      <c r="S82" s="916">
        <f t="shared" si="18"/>
        <v>0</v>
      </c>
      <c r="T82" s="916">
        <f t="shared" si="19"/>
        <v>0</v>
      </c>
      <c r="U82"/>
      <c r="V82" s="925" t="e">
        <f t="shared" si="20"/>
        <v>#DIV/0!</v>
      </c>
      <c r="W82" s="925" t="e">
        <f t="shared" si="21"/>
        <v>#DIV/0!</v>
      </c>
      <c r="X82" s="925" t="e">
        <f t="shared" si="22"/>
        <v>#DIV/0!</v>
      </c>
      <c r="Y82" s="925">
        <f t="shared" si="23"/>
        <v>0</v>
      </c>
      <c r="Z82" s="925">
        <f t="shared" si="24"/>
        <v>0</v>
      </c>
    </row>
    <row r="83" spans="1:26" ht="15.75" x14ac:dyDescent="0.25">
      <c r="A83" s="712" t="str">
        <f>'Budget with Assumptions'!A83</f>
        <v>Staff Recruitment</v>
      </c>
      <c r="B83" s="52"/>
      <c r="C83" s="52"/>
      <c r="D83" s="365">
        <f>'Budget with Assumptions'!J83</f>
        <v>0</v>
      </c>
      <c r="E83" s="901"/>
      <c r="F83" s="365">
        <f>'Budget with Assumptions'!L83</f>
        <v>0</v>
      </c>
      <c r="G83" s="901"/>
      <c r="H83" s="365">
        <f>'Budget with Assumptions'!N83</f>
        <v>0</v>
      </c>
      <c r="I83" s="901"/>
      <c r="J83" s="365">
        <f>'Budget with Assumptions'!P83</f>
        <v>0</v>
      </c>
      <c r="K83" s="902"/>
      <c r="L83" s="365">
        <f>'Budget with Assumptions'!R83</f>
        <v>1561</v>
      </c>
      <c r="M83" s="890"/>
      <c r="N83" s="365">
        <f>'Budget with Assumptions'!T83</f>
        <v>1592</v>
      </c>
      <c r="O83"/>
      <c r="P83" s="916" t="e">
        <f t="shared" si="15"/>
        <v>#DIV/0!</v>
      </c>
      <c r="Q83" s="916" t="e">
        <f t="shared" si="16"/>
        <v>#DIV/0!</v>
      </c>
      <c r="R83" s="916" t="e">
        <f t="shared" si="17"/>
        <v>#DIV/0!</v>
      </c>
      <c r="S83" s="916">
        <f t="shared" si="18"/>
        <v>8.3816436447826123E-4</v>
      </c>
      <c r="T83" s="916">
        <f t="shared" si="19"/>
        <v>8.3246804089141628E-4</v>
      </c>
      <c r="U83"/>
      <c r="V83" s="925" t="e">
        <f t="shared" si="20"/>
        <v>#DIV/0!</v>
      </c>
      <c r="W83" s="925" t="e">
        <f t="shared" si="21"/>
        <v>#DIV/0!</v>
      </c>
      <c r="X83" s="925" t="e">
        <f t="shared" si="22"/>
        <v>#DIV/0!</v>
      </c>
      <c r="Y83" s="925">
        <f t="shared" si="23"/>
        <v>9.4606060606060609</v>
      </c>
      <c r="Z83" s="925">
        <f t="shared" si="24"/>
        <v>9.6484848484848484</v>
      </c>
    </row>
    <row r="84" spans="1:26" ht="15.75" x14ac:dyDescent="0.25">
      <c r="A84" s="712" t="str">
        <f>'Budget with Assumptions'!A84</f>
        <v>Professional Development</v>
      </c>
      <c r="B84" s="52"/>
      <c r="C84" s="52"/>
      <c r="D84" s="365">
        <f>'Budget with Assumptions'!J84</f>
        <v>0</v>
      </c>
      <c r="E84" s="901"/>
      <c r="F84" s="365">
        <f>'Budget with Assumptions'!L84</f>
        <v>0</v>
      </c>
      <c r="G84" s="901"/>
      <c r="H84" s="365">
        <f>'Budget with Assumptions'!N84</f>
        <v>0</v>
      </c>
      <c r="I84" s="901"/>
      <c r="J84" s="365">
        <f>'Budget with Assumptions'!P84</f>
        <v>0</v>
      </c>
      <c r="K84" s="902"/>
      <c r="L84" s="365">
        <f>'Budget with Assumptions'!R84</f>
        <v>25309.810799999996</v>
      </c>
      <c r="M84" s="890"/>
      <c r="N84" s="365">
        <f>'Budget with Assumptions'!T84</f>
        <v>25816.007015999996</v>
      </c>
      <c r="O84"/>
      <c r="P84" s="916" t="e">
        <f t="shared" si="15"/>
        <v>#DIV/0!</v>
      </c>
      <c r="Q84" s="916" t="e">
        <f t="shared" si="16"/>
        <v>#DIV/0!</v>
      </c>
      <c r="R84" s="916" t="e">
        <f t="shared" si="17"/>
        <v>#DIV/0!</v>
      </c>
      <c r="S84" s="916">
        <f t="shared" si="18"/>
        <v>1.3589866421682913E-2</v>
      </c>
      <c r="T84" s="916">
        <f t="shared" si="19"/>
        <v>1.3499372351914934E-2</v>
      </c>
      <c r="U84"/>
      <c r="V84" s="925" t="e">
        <f t="shared" si="20"/>
        <v>#DIV/0!</v>
      </c>
      <c r="W84" s="925" t="e">
        <f t="shared" si="21"/>
        <v>#DIV/0!</v>
      </c>
      <c r="X84" s="925" t="e">
        <f t="shared" si="22"/>
        <v>#DIV/0!</v>
      </c>
      <c r="Y84" s="925">
        <f t="shared" si="23"/>
        <v>153.39279272727271</v>
      </c>
      <c r="Z84" s="925">
        <f t="shared" si="24"/>
        <v>156.46064858181816</v>
      </c>
    </row>
    <row r="85" spans="1:26" ht="15.75" x14ac:dyDescent="0.25">
      <c r="A85" s="712" t="str">
        <f>'Budget with Assumptions'!A85</f>
        <v>Staff Appreciation</v>
      </c>
      <c r="B85" s="52"/>
      <c r="C85" s="52"/>
      <c r="D85" s="365">
        <f>'Budget with Assumptions'!J85</f>
        <v>0</v>
      </c>
      <c r="E85" s="901"/>
      <c r="F85" s="365">
        <f>'Budget with Assumptions'!L85</f>
        <v>0</v>
      </c>
      <c r="G85" s="901"/>
      <c r="H85" s="365">
        <f>'Budget with Assumptions'!N85</f>
        <v>0</v>
      </c>
      <c r="I85" s="901"/>
      <c r="J85" s="365">
        <f>'Budget with Assumptions'!P85</f>
        <v>0</v>
      </c>
      <c r="K85" s="902"/>
      <c r="L85" s="365">
        <f>'Budget with Assumptions'!R85</f>
        <v>0</v>
      </c>
      <c r="M85" s="890"/>
      <c r="N85" s="365">
        <f>'Budget with Assumptions'!T85</f>
        <v>0</v>
      </c>
      <c r="O85"/>
      <c r="P85" s="916" t="e">
        <f t="shared" si="15"/>
        <v>#DIV/0!</v>
      </c>
      <c r="Q85" s="916" t="e">
        <f t="shared" si="16"/>
        <v>#DIV/0!</v>
      </c>
      <c r="R85" s="916" t="e">
        <f t="shared" si="17"/>
        <v>#DIV/0!</v>
      </c>
      <c r="S85" s="916">
        <f t="shared" si="18"/>
        <v>0</v>
      </c>
      <c r="T85" s="916">
        <f t="shared" si="19"/>
        <v>0</v>
      </c>
      <c r="U85"/>
      <c r="V85" s="925" t="e">
        <f t="shared" si="20"/>
        <v>#DIV/0!</v>
      </c>
      <c r="W85" s="925" t="e">
        <f t="shared" si="21"/>
        <v>#DIV/0!</v>
      </c>
      <c r="X85" s="925" t="e">
        <f t="shared" si="22"/>
        <v>#DIV/0!</v>
      </c>
      <c r="Y85" s="925">
        <f t="shared" si="23"/>
        <v>0</v>
      </c>
      <c r="Z85" s="925">
        <f t="shared" si="24"/>
        <v>0</v>
      </c>
    </row>
    <row r="86" spans="1:26" ht="15.75" x14ac:dyDescent="0.25">
      <c r="A86" s="712" t="str">
        <f>'Budget with Assumptions'!A86</f>
        <v>Substitute Teachers (Contractual)</v>
      </c>
      <c r="B86" s="52"/>
      <c r="C86" s="52"/>
      <c r="D86" s="365">
        <f>'Budget with Assumptions'!J86</f>
        <v>0</v>
      </c>
      <c r="E86" s="901"/>
      <c r="F86" s="365">
        <f>'Budget with Assumptions'!L86</f>
        <v>0</v>
      </c>
      <c r="G86" s="901"/>
      <c r="H86" s="365">
        <f>'Budget with Assumptions'!N86</f>
        <v>0</v>
      </c>
      <c r="I86" s="901"/>
      <c r="J86" s="365">
        <f>'Budget with Assumptions'!P86</f>
        <v>0</v>
      </c>
      <c r="K86" s="902"/>
      <c r="L86" s="365">
        <f>'Budget with Assumptions'!R86</f>
        <v>3250</v>
      </c>
      <c r="M86" s="890"/>
      <c r="N86" s="365">
        <f>'Budget with Assumptions'!T86</f>
        <v>3250</v>
      </c>
      <c r="O86"/>
      <c r="P86" s="916" t="e">
        <f t="shared" si="15"/>
        <v>#DIV/0!</v>
      </c>
      <c r="Q86" s="916" t="e">
        <f t="shared" si="16"/>
        <v>#DIV/0!</v>
      </c>
      <c r="R86" s="916" t="e">
        <f t="shared" si="17"/>
        <v>#DIV/0!</v>
      </c>
      <c r="S86" s="916">
        <f t="shared" si="18"/>
        <v>1.7450571329624273E-3</v>
      </c>
      <c r="T86" s="916">
        <f t="shared" si="19"/>
        <v>1.6994479477996877E-3</v>
      </c>
      <c r="U86"/>
      <c r="V86" s="925" t="e">
        <f t="shared" si="20"/>
        <v>#DIV/0!</v>
      </c>
      <c r="W86" s="925" t="e">
        <f t="shared" si="21"/>
        <v>#DIV/0!</v>
      </c>
      <c r="X86" s="925" t="e">
        <f t="shared" si="22"/>
        <v>#DIV/0!</v>
      </c>
      <c r="Y86" s="925">
        <f t="shared" si="23"/>
        <v>19.696969696969695</v>
      </c>
      <c r="Z86" s="925">
        <f t="shared" si="24"/>
        <v>19.696969696969695</v>
      </c>
    </row>
    <row r="87" spans="1:26" ht="15.75" x14ac:dyDescent="0.25">
      <c r="A87" s="712">
        <f>'Budget with Assumptions'!A87</f>
        <v>0</v>
      </c>
      <c r="B87" s="52"/>
      <c r="C87" s="52"/>
      <c r="D87" s="365">
        <f>'Budget with Assumptions'!J87</f>
        <v>0</v>
      </c>
      <c r="E87" s="901"/>
      <c r="F87" s="365">
        <f>'Budget with Assumptions'!L87</f>
        <v>0</v>
      </c>
      <c r="G87" s="901"/>
      <c r="H87" s="365">
        <f>'Budget with Assumptions'!N87</f>
        <v>0</v>
      </c>
      <c r="I87" s="901"/>
      <c r="J87" s="365">
        <f>'Budget with Assumptions'!P87</f>
        <v>0</v>
      </c>
      <c r="K87" s="902"/>
      <c r="L87" s="365">
        <f>'Budget with Assumptions'!R87</f>
        <v>0</v>
      </c>
      <c r="M87" s="890"/>
      <c r="N87" s="365">
        <f>'Budget with Assumptions'!T87</f>
        <v>0</v>
      </c>
      <c r="O87"/>
      <c r="P87" s="916" t="e">
        <f t="shared" si="15"/>
        <v>#DIV/0!</v>
      </c>
      <c r="Q87" s="916" t="e">
        <f t="shared" si="16"/>
        <v>#DIV/0!</v>
      </c>
      <c r="R87" s="916" t="e">
        <f t="shared" si="17"/>
        <v>#DIV/0!</v>
      </c>
      <c r="S87" s="916">
        <f t="shared" si="18"/>
        <v>0</v>
      </c>
      <c r="T87" s="916">
        <f t="shared" si="19"/>
        <v>0</v>
      </c>
      <c r="U87"/>
      <c r="V87" s="925" t="e">
        <f t="shared" si="20"/>
        <v>#DIV/0!</v>
      </c>
      <c r="W87" s="925" t="e">
        <f t="shared" si="21"/>
        <v>#DIV/0!</v>
      </c>
      <c r="X87" s="925" t="e">
        <f t="shared" si="22"/>
        <v>#DIV/0!</v>
      </c>
      <c r="Y87" s="925">
        <f t="shared" si="23"/>
        <v>0</v>
      </c>
      <c r="Z87" s="925">
        <f t="shared" si="24"/>
        <v>0</v>
      </c>
    </row>
    <row r="88" spans="1:26" ht="15.75" x14ac:dyDescent="0.25">
      <c r="A88" s="712">
        <f>'Budget with Assumptions'!A88</f>
        <v>0</v>
      </c>
      <c r="B88" s="52"/>
      <c r="C88" s="52"/>
      <c r="D88" s="365">
        <f>'Budget with Assumptions'!J88</f>
        <v>0</v>
      </c>
      <c r="E88" s="901"/>
      <c r="F88" s="365">
        <f>'Budget with Assumptions'!L88</f>
        <v>0</v>
      </c>
      <c r="G88" s="901"/>
      <c r="H88" s="365">
        <f>'Budget with Assumptions'!N88</f>
        <v>0</v>
      </c>
      <c r="I88" s="901"/>
      <c r="J88" s="365">
        <f>'Budget with Assumptions'!P88</f>
        <v>0</v>
      </c>
      <c r="K88" s="902"/>
      <c r="L88" s="365">
        <f>'Budget with Assumptions'!R88</f>
        <v>0</v>
      </c>
      <c r="M88" s="890"/>
      <c r="N88" s="365">
        <f>'Budget with Assumptions'!T88</f>
        <v>0</v>
      </c>
      <c r="O88"/>
      <c r="P88" s="916" t="e">
        <f t="shared" si="15"/>
        <v>#DIV/0!</v>
      </c>
      <c r="Q88" s="916" t="e">
        <f t="shared" si="16"/>
        <v>#DIV/0!</v>
      </c>
      <c r="R88" s="916" t="e">
        <f t="shared" si="17"/>
        <v>#DIV/0!</v>
      </c>
      <c r="S88" s="916">
        <f t="shared" si="18"/>
        <v>0</v>
      </c>
      <c r="T88" s="916">
        <f t="shared" si="19"/>
        <v>0</v>
      </c>
      <c r="U88"/>
      <c r="V88" s="925" t="e">
        <f t="shared" si="20"/>
        <v>#DIV/0!</v>
      </c>
      <c r="W88" s="925" t="e">
        <f t="shared" si="21"/>
        <v>#DIV/0!</v>
      </c>
      <c r="X88" s="925" t="e">
        <f t="shared" si="22"/>
        <v>#DIV/0!</v>
      </c>
      <c r="Y88" s="925">
        <f t="shared" si="23"/>
        <v>0</v>
      </c>
      <c r="Z88" s="925">
        <f t="shared" si="24"/>
        <v>0</v>
      </c>
    </row>
    <row r="89" spans="1:26" ht="15.75" x14ac:dyDescent="0.25">
      <c r="A89" s="712">
        <f>'Budget with Assumptions'!A89</f>
        <v>0</v>
      </c>
      <c r="B89" s="52"/>
      <c r="C89" s="52"/>
      <c r="D89" s="365">
        <f>'Budget with Assumptions'!J89</f>
        <v>0</v>
      </c>
      <c r="E89" s="901"/>
      <c r="F89" s="365">
        <f>'Budget with Assumptions'!L89</f>
        <v>0</v>
      </c>
      <c r="G89" s="901"/>
      <c r="H89" s="365">
        <f>'Budget with Assumptions'!N89</f>
        <v>0</v>
      </c>
      <c r="I89" s="901"/>
      <c r="J89" s="365">
        <f>'Budget with Assumptions'!P89</f>
        <v>0</v>
      </c>
      <c r="K89" s="902"/>
      <c r="L89" s="365">
        <f>'Budget with Assumptions'!R89</f>
        <v>0</v>
      </c>
      <c r="M89" s="890"/>
      <c r="N89" s="365">
        <f>'Budget with Assumptions'!T89</f>
        <v>0</v>
      </c>
      <c r="O89"/>
      <c r="P89" s="916" t="e">
        <f t="shared" si="15"/>
        <v>#DIV/0!</v>
      </c>
      <c r="Q89" s="916" t="e">
        <f t="shared" si="16"/>
        <v>#DIV/0!</v>
      </c>
      <c r="R89" s="916" t="e">
        <f t="shared" si="17"/>
        <v>#DIV/0!</v>
      </c>
      <c r="S89" s="916">
        <f t="shared" si="18"/>
        <v>0</v>
      </c>
      <c r="T89" s="916">
        <f t="shared" si="19"/>
        <v>0</v>
      </c>
      <c r="U89"/>
      <c r="V89" s="925" t="e">
        <f t="shared" si="20"/>
        <v>#DIV/0!</v>
      </c>
      <c r="W89" s="925" t="e">
        <f t="shared" si="21"/>
        <v>#DIV/0!</v>
      </c>
      <c r="X89" s="925" t="e">
        <f t="shared" si="22"/>
        <v>#DIV/0!</v>
      </c>
      <c r="Y89" s="925">
        <f t="shared" si="23"/>
        <v>0</v>
      </c>
      <c r="Z89" s="925">
        <f t="shared" si="24"/>
        <v>0</v>
      </c>
    </row>
    <row r="90" spans="1:26" ht="15.75" x14ac:dyDescent="0.25">
      <c r="A90" s="712">
        <f>'Budget with Assumptions'!A90</f>
        <v>0</v>
      </c>
      <c r="B90" s="52"/>
      <c r="C90" s="52"/>
      <c r="D90" s="365">
        <f>'Budget with Assumptions'!J90</f>
        <v>0</v>
      </c>
      <c r="E90" s="901"/>
      <c r="F90" s="365">
        <f>'Budget with Assumptions'!L90</f>
        <v>0</v>
      </c>
      <c r="G90" s="901"/>
      <c r="H90" s="365">
        <f>'Budget with Assumptions'!N90</f>
        <v>0</v>
      </c>
      <c r="I90" s="901"/>
      <c r="J90" s="365">
        <f>'Budget with Assumptions'!P90</f>
        <v>0</v>
      </c>
      <c r="K90" s="902"/>
      <c r="L90" s="365">
        <f>'Budget with Assumptions'!R90</f>
        <v>0</v>
      </c>
      <c r="M90" s="890"/>
      <c r="N90" s="365">
        <f>'Budget with Assumptions'!T90</f>
        <v>0</v>
      </c>
      <c r="O90"/>
      <c r="P90" s="916" t="e">
        <f t="shared" si="15"/>
        <v>#DIV/0!</v>
      </c>
      <c r="Q90" s="916" t="e">
        <f t="shared" si="16"/>
        <v>#DIV/0!</v>
      </c>
      <c r="R90" s="916" t="e">
        <f t="shared" si="17"/>
        <v>#DIV/0!</v>
      </c>
      <c r="S90" s="916">
        <f t="shared" si="18"/>
        <v>0</v>
      </c>
      <c r="T90" s="916">
        <f t="shared" si="19"/>
        <v>0</v>
      </c>
      <c r="U90"/>
      <c r="V90" s="925" t="e">
        <f t="shared" si="20"/>
        <v>#DIV/0!</v>
      </c>
      <c r="W90" s="925" t="e">
        <f t="shared" si="21"/>
        <v>#DIV/0!</v>
      </c>
      <c r="X90" s="925" t="e">
        <f t="shared" si="22"/>
        <v>#DIV/0!</v>
      </c>
      <c r="Y90" s="925">
        <f t="shared" si="23"/>
        <v>0</v>
      </c>
      <c r="Z90" s="925">
        <f t="shared" si="24"/>
        <v>0</v>
      </c>
    </row>
    <row r="91" spans="1:26" ht="16.5" thickBot="1" x14ac:dyDescent="0.3">
      <c r="B91" s="52"/>
      <c r="C91" s="52"/>
      <c r="D91" s="908"/>
      <c r="E91" s="901"/>
      <c r="F91" s="908"/>
      <c r="G91" s="901"/>
      <c r="H91" s="908"/>
      <c r="I91" s="901"/>
      <c r="J91" s="908"/>
      <c r="K91" s="902"/>
      <c r="L91" s="882"/>
      <c r="M91" s="890"/>
      <c r="N91" s="882"/>
      <c r="O91"/>
      <c r="P91" s="917"/>
      <c r="Q91" s="917"/>
      <c r="R91" s="917"/>
      <c r="S91" s="917"/>
      <c r="T91" s="917"/>
      <c r="U91"/>
      <c r="V91" s="743"/>
      <c r="W91" s="743"/>
      <c r="X91" s="743"/>
      <c r="Y91" s="743"/>
      <c r="Z91" s="743"/>
    </row>
    <row r="92" spans="1:26" ht="16.5" thickBot="1" x14ac:dyDescent="0.3">
      <c r="A92" s="384" t="str">
        <f>'Budget with Assumptions'!H92</f>
        <v>Total Personnel Costs</v>
      </c>
      <c r="B92" s="42"/>
      <c r="C92" s="42"/>
      <c r="D92" s="487">
        <f>SUM(D69:D90)</f>
        <v>0</v>
      </c>
      <c r="E92" s="361"/>
      <c r="F92" s="487">
        <f>SUM(F69:F90)</f>
        <v>0</v>
      </c>
      <c r="G92" s="361"/>
      <c r="H92" s="487">
        <f>SUM(H69:H90)</f>
        <v>0</v>
      </c>
      <c r="I92" s="361"/>
      <c r="J92" s="487">
        <f>SUM(J69:J90)</f>
        <v>0</v>
      </c>
      <c r="K92" s="362"/>
      <c r="L92" s="487">
        <f>SUM(L69:L90)</f>
        <v>948230.33036000002</v>
      </c>
      <c r="M92" s="875"/>
      <c r="N92" s="487">
        <f>SUM(N69:N90)</f>
        <v>967129.71696720016</v>
      </c>
      <c r="O92"/>
      <c r="P92" s="706" t="e">
        <f>SUM(P69:P90)</f>
        <v>#DIV/0!</v>
      </c>
      <c r="Q92" s="706" t="e">
        <f>SUM(Q69:Q90)</f>
        <v>#DIV/0!</v>
      </c>
      <c r="R92" s="706" t="e">
        <f>SUM(R69:R90)</f>
        <v>#DIV/0!</v>
      </c>
      <c r="S92" s="706">
        <f>SUM(S69:S90)</f>
        <v>0.50914341590339596</v>
      </c>
      <c r="T92" s="706">
        <f>SUM(T69:T90)</f>
        <v>0.50571895777107712</v>
      </c>
      <c r="U92"/>
      <c r="V92" s="708" t="e">
        <f>SUM(V69:V90)</f>
        <v>#DIV/0!</v>
      </c>
      <c r="W92" s="708" t="e">
        <f>SUM(W69:W90)</f>
        <v>#DIV/0!</v>
      </c>
      <c r="X92" s="708" t="e">
        <f>SUM(X69:X90)</f>
        <v>#DIV/0!</v>
      </c>
      <c r="Y92" s="708">
        <f>SUM(Y69:Y90)</f>
        <v>5746.850487030305</v>
      </c>
      <c r="Z92" s="708">
        <f>SUM(Z69:Z90)</f>
        <v>5861.3922240436368</v>
      </c>
    </row>
    <row r="93" spans="1:26" ht="16.5" thickBot="1" x14ac:dyDescent="0.3">
      <c r="A93" s="49"/>
      <c r="B93" s="38"/>
      <c r="C93" s="38"/>
      <c r="D93" s="743"/>
      <c r="E93" s="743"/>
      <c r="F93" s="743"/>
      <c r="G93" s="743"/>
      <c r="H93" s="743"/>
      <c r="I93" s="743"/>
      <c r="J93" s="743"/>
      <c r="K93" s="876"/>
      <c r="L93" s="743"/>
      <c r="M93" s="876"/>
      <c r="N93" s="743"/>
      <c r="P93" s="917"/>
      <c r="Q93" s="917"/>
      <c r="R93" s="917"/>
      <c r="S93" s="917"/>
      <c r="T93" s="917"/>
      <c r="V93" s="743"/>
      <c r="W93" s="743"/>
      <c r="X93" s="743"/>
      <c r="Y93" s="743"/>
      <c r="Z93" s="743"/>
    </row>
    <row r="94" spans="1:26" ht="18.75" thickBot="1" x14ac:dyDescent="0.3">
      <c r="A94" s="705" t="s">
        <v>174</v>
      </c>
      <c r="B94" s="50"/>
      <c r="C94" s="50"/>
      <c r="D94" s="907"/>
      <c r="E94" s="901"/>
      <c r="F94" s="907"/>
      <c r="G94" s="901"/>
      <c r="H94" s="907"/>
      <c r="I94" s="901"/>
      <c r="J94" s="907"/>
      <c r="K94" s="902"/>
      <c r="L94" s="68"/>
      <c r="M94" s="890"/>
      <c r="N94" s="68"/>
      <c r="O94"/>
      <c r="P94" s="917"/>
      <c r="Q94" s="917"/>
      <c r="R94" s="917"/>
      <c r="S94" s="917"/>
      <c r="T94" s="917"/>
      <c r="U94"/>
      <c r="V94" s="743"/>
      <c r="W94" s="743"/>
      <c r="X94" s="743"/>
      <c r="Y94" s="743"/>
      <c r="Z94" s="743"/>
    </row>
    <row r="95" spans="1:26" ht="15.75" x14ac:dyDescent="0.25">
      <c r="A95" s="712" t="str">
        <f>'Budget with Assumptions'!A95</f>
        <v>Office Supplies</v>
      </c>
      <c r="B95" s="38"/>
      <c r="C95" s="38"/>
      <c r="D95" s="365">
        <f>'Budget with Assumptions'!J95</f>
        <v>0</v>
      </c>
      <c r="E95" s="901"/>
      <c r="F95" s="365">
        <f>'Budget with Assumptions'!L95</f>
        <v>0</v>
      </c>
      <c r="G95" s="901"/>
      <c r="H95" s="365">
        <f>'Budget with Assumptions'!N95</f>
        <v>0</v>
      </c>
      <c r="I95" s="901"/>
      <c r="J95" s="365">
        <f>'Budget with Assumptions'!P95</f>
        <v>0</v>
      </c>
      <c r="K95" s="902"/>
      <c r="L95" s="365">
        <f>'Budget with Assumptions'!R95</f>
        <v>3374.6414399999994</v>
      </c>
      <c r="M95" s="890"/>
      <c r="N95" s="365">
        <f>'Budget with Assumptions'!T95</f>
        <v>3442.1342687999995</v>
      </c>
      <c r="O95"/>
      <c r="P95" s="916" t="e">
        <f t="shared" ref="P95:P114" si="25">F95/$F$159</f>
        <v>#DIV/0!</v>
      </c>
      <c r="Q95" s="916" t="e">
        <f t="shared" ref="Q95:Q114" si="26">H95/$H$159</f>
        <v>#DIV/0!</v>
      </c>
      <c r="R95" s="916" t="e">
        <f t="shared" ref="R95:R114" si="27">J95/$J$159</f>
        <v>#DIV/0!</v>
      </c>
      <c r="S95" s="916">
        <f t="shared" ref="S95:S114" si="28">L95/$L$159</f>
        <v>1.8119821895577219E-3</v>
      </c>
      <c r="T95" s="916">
        <f t="shared" ref="T95:T114" si="29">N95/$N$159</f>
        <v>1.7999163135886578E-3</v>
      </c>
      <c r="U95"/>
      <c r="V95" s="925" t="e">
        <f>F95/$F$178</f>
        <v>#DIV/0!</v>
      </c>
      <c r="W95" s="925" t="e">
        <f>H95/$H$178</f>
        <v>#DIV/0!</v>
      </c>
      <c r="X95" s="925" t="e">
        <f>J95/$J$178</f>
        <v>#DIV/0!</v>
      </c>
      <c r="Y95" s="925">
        <f>L95/$L$178</f>
        <v>20.452372363636361</v>
      </c>
      <c r="Z95" s="925">
        <f>N95/$N$178</f>
        <v>20.861419810909087</v>
      </c>
    </row>
    <row r="96" spans="1:26" ht="15.75" x14ac:dyDescent="0.25">
      <c r="A96" s="712" t="str">
        <f>'Budget with Assumptions'!A96</f>
        <v>Furniture</v>
      </c>
      <c r="B96" s="42"/>
      <c r="C96" s="42"/>
      <c r="D96" s="365">
        <f>'Budget with Assumptions'!J96</f>
        <v>0</v>
      </c>
      <c r="E96" s="901"/>
      <c r="F96" s="365">
        <f>'Budget with Assumptions'!L96</f>
        <v>0</v>
      </c>
      <c r="G96" s="901"/>
      <c r="H96" s="365">
        <f>'Budget with Assumptions'!N96</f>
        <v>0</v>
      </c>
      <c r="I96" s="901"/>
      <c r="J96" s="365">
        <f>'Budget with Assumptions'!P96</f>
        <v>0</v>
      </c>
      <c r="K96" s="902"/>
      <c r="L96" s="365">
        <f>'Budget with Assumptions'!R96</f>
        <v>9900</v>
      </c>
      <c r="M96" s="890"/>
      <c r="N96" s="365">
        <f>'Budget with Assumptions'!T96</f>
        <v>500</v>
      </c>
      <c r="O96"/>
      <c r="P96" s="916" t="e">
        <f t="shared" si="25"/>
        <v>#DIV/0!</v>
      </c>
      <c r="Q96" s="916" t="e">
        <f t="shared" si="26"/>
        <v>#DIV/0!</v>
      </c>
      <c r="R96" s="916" t="e">
        <f t="shared" si="27"/>
        <v>#DIV/0!</v>
      </c>
      <c r="S96" s="916">
        <f t="shared" si="28"/>
        <v>5.3157124973317012E-3</v>
      </c>
      <c r="T96" s="916">
        <f t="shared" si="29"/>
        <v>2.6145353043072119E-4</v>
      </c>
      <c r="U96"/>
      <c r="V96" s="925" t="e">
        <f t="shared" ref="V96:V114" si="30">F96/$F$178</f>
        <v>#DIV/0!</v>
      </c>
      <c r="W96" s="925" t="e">
        <f t="shared" ref="W96:W114" si="31">H96/$H$178</f>
        <v>#DIV/0!</v>
      </c>
      <c r="X96" s="925" t="e">
        <f t="shared" ref="X96:X114" si="32">J96/$J$178</f>
        <v>#DIV/0!</v>
      </c>
      <c r="Y96" s="925">
        <f t="shared" ref="Y96:Y114" si="33">L96/$L$178</f>
        <v>60</v>
      </c>
      <c r="Z96" s="925">
        <f t="shared" ref="Z96:Z114" si="34">N96/$N$178</f>
        <v>3.0303030303030303</v>
      </c>
    </row>
    <row r="97" spans="1:26" ht="15.75" x14ac:dyDescent="0.25">
      <c r="A97" s="712" t="str">
        <f>'Budget with Assumptions'!A97</f>
        <v>Telecommunications and Internet</v>
      </c>
      <c r="B97" s="42"/>
      <c r="C97" s="42"/>
      <c r="D97" s="365">
        <f>'Budget with Assumptions'!J97</f>
        <v>0</v>
      </c>
      <c r="E97" s="901"/>
      <c r="F97" s="365">
        <f>'Budget with Assumptions'!L97</f>
        <v>0</v>
      </c>
      <c r="G97" s="901"/>
      <c r="H97" s="365">
        <f>'Budget with Assumptions'!N97</f>
        <v>0</v>
      </c>
      <c r="I97" s="901"/>
      <c r="J97" s="365">
        <f>'Budget with Assumptions'!P97</f>
        <v>0</v>
      </c>
      <c r="K97" s="902"/>
      <c r="L97" s="365">
        <f>'Budget with Assumptions'!R97</f>
        <v>20808</v>
      </c>
      <c r="M97" s="890"/>
      <c r="N97" s="365">
        <f>'Budget with Assumptions'!T97</f>
        <v>21224</v>
      </c>
      <c r="O97"/>
      <c r="P97" s="916" t="e">
        <f t="shared" si="25"/>
        <v>#DIV/0!</v>
      </c>
      <c r="Q97" s="916" t="e">
        <f t="shared" si="26"/>
        <v>#DIV/0!</v>
      </c>
      <c r="R97" s="916" t="e">
        <f t="shared" si="27"/>
        <v>#DIV/0!</v>
      </c>
      <c r="S97" s="916">
        <f t="shared" si="28"/>
        <v>1.1172661176209903E-2</v>
      </c>
      <c r="T97" s="916">
        <f t="shared" si="29"/>
        <v>1.1098179459723254E-2</v>
      </c>
      <c r="U97"/>
      <c r="V97" s="925" t="e">
        <f t="shared" si="30"/>
        <v>#DIV/0!</v>
      </c>
      <c r="W97" s="925" t="e">
        <f t="shared" si="31"/>
        <v>#DIV/0!</v>
      </c>
      <c r="X97" s="925" t="e">
        <f t="shared" si="32"/>
        <v>#DIV/0!</v>
      </c>
      <c r="Y97" s="925">
        <f t="shared" si="33"/>
        <v>126.10909090909091</v>
      </c>
      <c r="Z97" s="925">
        <f t="shared" si="34"/>
        <v>128.63030303030303</v>
      </c>
    </row>
    <row r="98" spans="1:26" ht="15.75" x14ac:dyDescent="0.25">
      <c r="A98" s="712" t="str">
        <f>'Budget with Assumptions'!A98</f>
        <v>Administrative Equipment</v>
      </c>
      <c r="B98" s="42"/>
      <c r="C98" s="42"/>
      <c r="D98" s="365">
        <f>'Budget with Assumptions'!J98</f>
        <v>0</v>
      </c>
      <c r="E98" s="901"/>
      <c r="F98" s="365">
        <f>'Budget with Assumptions'!L98</f>
        <v>0</v>
      </c>
      <c r="G98" s="901"/>
      <c r="H98" s="365">
        <f>'Budget with Assumptions'!N98</f>
        <v>0</v>
      </c>
      <c r="I98" s="901"/>
      <c r="J98" s="365">
        <f>'Budget with Assumptions'!P98</f>
        <v>0</v>
      </c>
      <c r="K98" s="902"/>
      <c r="L98" s="365">
        <f>'Budget with Assumptions'!R98</f>
        <v>1000</v>
      </c>
      <c r="M98" s="890"/>
      <c r="N98" s="365">
        <f>'Budget with Assumptions'!T98</f>
        <v>1000</v>
      </c>
      <c r="O98"/>
      <c r="P98" s="916" t="e">
        <f t="shared" si="25"/>
        <v>#DIV/0!</v>
      </c>
      <c r="Q98" s="916" t="e">
        <f t="shared" si="26"/>
        <v>#DIV/0!</v>
      </c>
      <c r="R98" s="916" t="e">
        <f t="shared" si="27"/>
        <v>#DIV/0!</v>
      </c>
      <c r="S98" s="916">
        <f t="shared" si="28"/>
        <v>5.3694065629613145E-4</v>
      </c>
      <c r="T98" s="916">
        <f t="shared" si="29"/>
        <v>5.2290706086144238E-4</v>
      </c>
      <c r="U98"/>
      <c r="V98" s="925" t="e">
        <f t="shared" si="30"/>
        <v>#DIV/0!</v>
      </c>
      <c r="W98" s="925" t="e">
        <f t="shared" si="31"/>
        <v>#DIV/0!</v>
      </c>
      <c r="X98" s="925" t="e">
        <f t="shared" si="32"/>
        <v>#DIV/0!</v>
      </c>
      <c r="Y98" s="925">
        <f t="shared" si="33"/>
        <v>6.0606060606060606</v>
      </c>
      <c r="Z98" s="925">
        <f t="shared" si="34"/>
        <v>6.0606060606060606</v>
      </c>
    </row>
    <row r="99" spans="1:26" ht="15.75" x14ac:dyDescent="0.25">
      <c r="A99" s="712" t="str">
        <f>'Budget with Assumptions'!A99</f>
        <v>Accounting &amp; Audit (Contractual)</v>
      </c>
      <c r="B99" s="42"/>
      <c r="C99" s="42"/>
      <c r="D99" s="365">
        <f>'Budget with Assumptions'!J99</f>
        <v>0</v>
      </c>
      <c r="E99" s="901"/>
      <c r="F99" s="365">
        <f>'Budget with Assumptions'!L99</f>
        <v>0</v>
      </c>
      <c r="G99" s="901"/>
      <c r="H99" s="365">
        <f>'Budget with Assumptions'!N99</f>
        <v>0</v>
      </c>
      <c r="I99" s="901"/>
      <c r="J99" s="365">
        <f>'Budget with Assumptions'!P99</f>
        <v>0</v>
      </c>
      <c r="K99" s="902"/>
      <c r="L99" s="365">
        <f>'Budget with Assumptions'!R99</f>
        <v>5445</v>
      </c>
      <c r="M99" s="890"/>
      <c r="N99" s="365">
        <f>'Budget with Assumptions'!T99</f>
        <v>5445</v>
      </c>
      <c r="O99"/>
      <c r="P99" s="916" t="e">
        <f t="shared" si="25"/>
        <v>#DIV/0!</v>
      </c>
      <c r="Q99" s="916" t="e">
        <f t="shared" si="26"/>
        <v>#DIV/0!</v>
      </c>
      <c r="R99" s="916" t="e">
        <f t="shared" si="27"/>
        <v>#DIV/0!</v>
      </c>
      <c r="S99" s="916">
        <f t="shared" si="28"/>
        <v>2.9236418735324359E-3</v>
      </c>
      <c r="T99" s="916">
        <f t="shared" si="29"/>
        <v>2.8472289463905539E-3</v>
      </c>
      <c r="U99"/>
      <c r="V99" s="925" t="e">
        <f t="shared" si="30"/>
        <v>#DIV/0!</v>
      </c>
      <c r="W99" s="925" t="e">
        <f t="shared" si="31"/>
        <v>#DIV/0!</v>
      </c>
      <c r="X99" s="925" t="e">
        <f t="shared" si="32"/>
        <v>#DIV/0!</v>
      </c>
      <c r="Y99" s="925">
        <f t="shared" si="33"/>
        <v>33</v>
      </c>
      <c r="Z99" s="925">
        <f t="shared" si="34"/>
        <v>33</v>
      </c>
    </row>
    <row r="100" spans="1:26" ht="15.75" x14ac:dyDescent="0.25">
      <c r="A100" s="712" t="str">
        <f>'Budget with Assumptions'!A100</f>
        <v>Legal (Contractual)</v>
      </c>
      <c r="B100" s="42"/>
      <c r="C100" s="42"/>
      <c r="D100" s="365">
        <f>'Budget with Assumptions'!J100</f>
        <v>0</v>
      </c>
      <c r="E100" s="901"/>
      <c r="F100" s="365">
        <f>'Budget with Assumptions'!L100</f>
        <v>0</v>
      </c>
      <c r="G100" s="901"/>
      <c r="H100" s="365">
        <f>'Budget with Assumptions'!N100</f>
        <v>0</v>
      </c>
      <c r="I100" s="901"/>
      <c r="J100" s="365">
        <f>'Budget with Assumptions'!P100</f>
        <v>0</v>
      </c>
      <c r="K100" s="902"/>
      <c r="L100" s="365">
        <f>'Budget with Assumptions'!R100</f>
        <v>5445</v>
      </c>
      <c r="M100" s="890"/>
      <c r="N100" s="365">
        <f>'Budget with Assumptions'!T100</f>
        <v>5445</v>
      </c>
      <c r="O100"/>
      <c r="P100" s="916" t="e">
        <f t="shared" si="25"/>
        <v>#DIV/0!</v>
      </c>
      <c r="Q100" s="916" t="e">
        <f t="shared" si="26"/>
        <v>#DIV/0!</v>
      </c>
      <c r="R100" s="916" t="e">
        <f t="shared" si="27"/>
        <v>#DIV/0!</v>
      </c>
      <c r="S100" s="916">
        <f t="shared" si="28"/>
        <v>2.9236418735324359E-3</v>
      </c>
      <c r="T100" s="916">
        <f t="shared" si="29"/>
        <v>2.8472289463905539E-3</v>
      </c>
      <c r="U100"/>
      <c r="V100" s="925" t="e">
        <f t="shared" si="30"/>
        <v>#DIV/0!</v>
      </c>
      <c r="W100" s="925" t="e">
        <f t="shared" si="31"/>
        <v>#DIV/0!</v>
      </c>
      <c r="X100" s="925" t="e">
        <f t="shared" si="32"/>
        <v>#DIV/0!</v>
      </c>
      <c r="Y100" s="925">
        <f t="shared" si="33"/>
        <v>33</v>
      </c>
      <c r="Z100" s="925">
        <f t="shared" si="34"/>
        <v>33</v>
      </c>
    </row>
    <row r="101" spans="1:26" ht="15.75" x14ac:dyDescent="0.25">
      <c r="A101" s="712" t="str">
        <f>'Budget with Assumptions'!A101</f>
        <v>Payroll Services (Contractual)</v>
      </c>
      <c r="B101" s="42"/>
      <c r="C101" s="42"/>
      <c r="D101" s="365">
        <f>'Budget with Assumptions'!J101</f>
        <v>0</v>
      </c>
      <c r="E101" s="901"/>
      <c r="F101" s="365">
        <f>'Budget with Assumptions'!L101</f>
        <v>0</v>
      </c>
      <c r="G101" s="901"/>
      <c r="H101" s="365">
        <f>'Budget with Assumptions'!N101</f>
        <v>0</v>
      </c>
      <c r="I101" s="901"/>
      <c r="J101" s="365">
        <f>'Budget with Assumptions'!P101</f>
        <v>0</v>
      </c>
      <c r="K101" s="902"/>
      <c r="L101" s="365">
        <f>'Budget with Assumptions'!R101</f>
        <v>3509.6270975999996</v>
      </c>
      <c r="M101" s="890"/>
      <c r="N101" s="365">
        <f>'Budget with Assumptions'!T101</f>
        <v>3579.8196395519999</v>
      </c>
      <c r="O101"/>
      <c r="P101" s="916" t="e">
        <f t="shared" si="25"/>
        <v>#DIV/0!</v>
      </c>
      <c r="Q101" s="916" t="e">
        <f t="shared" si="26"/>
        <v>#DIV/0!</v>
      </c>
      <c r="R101" s="916" t="e">
        <f t="shared" si="27"/>
        <v>#DIV/0!</v>
      </c>
      <c r="S101" s="916">
        <f t="shared" si="28"/>
        <v>1.8844614771400309E-3</v>
      </c>
      <c r="T101" s="916">
        <f t="shared" si="29"/>
        <v>1.8719129661322043E-3</v>
      </c>
      <c r="U101"/>
      <c r="V101" s="925" t="e">
        <f t="shared" si="30"/>
        <v>#DIV/0!</v>
      </c>
      <c r="W101" s="925" t="e">
        <f t="shared" si="31"/>
        <v>#DIV/0!</v>
      </c>
      <c r="X101" s="925" t="e">
        <f t="shared" si="32"/>
        <v>#DIV/0!</v>
      </c>
      <c r="Y101" s="925">
        <f t="shared" si="33"/>
        <v>21.270467258181817</v>
      </c>
      <c r="Z101" s="925">
        <f t="shared" si="34"/>
        <v>21.695876603345454</v>
      </c>
    </row>
    <row r="102" spans="1:26" ht="15.75" x14ac:dyDescent="0.25">
      <c r="A102" s="712" t="str">
        <f>'Budget with Assumptions'!A102</f>
        <v>Printing &amp; Copying</v>
      </c>
      <c r="B102" s="42"/>
      <c r="C102" s="42"/>
      <c r="D102" s="365">
        <f>'Budget with Assumptions'!J102</f>
        <v>0</v>
      </c>
      <c r="E102" s="901"/>
      <c r="F102" s="365">
        <f>'Budget with Assumptions'!L102</f>
        <v>0</v>
      </c>
      <c r="G102" s="901"/>
      <c r="H102" s="365">
        <f>'Budget with Assumptions'!N102</f>
        <v>0</v>
      </c>
      <c r="I102" s="901"/>
      <c r="J102" s="365">
        <f>'Budget with Assumptions'!P102</f>
        <v>0</v>
      </c>
      <c r="K102" s="902"/>
      <c r="L102" s="365">
        <f>'Budget with Assumptions'!R102</f>
        <v>4377.4829999999993</v>
      </c>
      <c r="M102" s="890"/>
      <c r="N102" s="365">
        <f>'Budget with Assumptions'!T102</f>
        <v>4465.0326599999999</v>
      </c>
      <c r="O102"/>
      <c r="P102" s="916" t="e">
        <f t="shared" si="25"/>
        <v>#DIV/0!</v>
      </c>
      <c r="Q102" s="916" t="e">
        <f t="shared" si="26"/>
        <v>#DIV/0!</v>
      </c>
      <c r="R102" s="916" t="e">
        <f t="shared" si="27"/>
        <v>#DIV/0!</v>
      </c>
      <c r="S102" s="916">
        <f t="shared" si="28"/>
        <v>2.350448594945158E-3</v>
      </c>
      <c r="T102" s="916">
        <f t="shared" si="29"/>
        <v>2.3347971048909479E-3</v>
      </c>
      <c r="U102"/>
      <c r="V102" s="925" t="e">
        <f t="shared" si="30"/>
        <v>#DIV/0!</v>
      </c>
      <c r="W102" s="925" t="e">
        <f t="shared" si="31"/>
        <v>#DIV/0!</v>
      </c>
      <c r="X102" s="925" t="e">
        <f t="shared" si="32"/>
        <v>#DIV/0!</v>
      </c>
      <c r="Y102" s="925">
        <f t="shared" si="33"/>
        <v>26.530199999999997</v>
      </c>
      <c r="Z102" s="925">
        <f t="shared" si="34"/>
        <v>27.060803999999997</v>
      </c>
    </row>
    <row r="103" spans="1:26" ht="15.75" x14ac:dyDescent="0.25">
      <c r="A103" s="712" t="str">
        <f>'Budget with Assumptions'!A103</f>
        <v>Postage &amp; Shipping</v>
      </c>
      <c r="B103" s="42"/>
      <c r="C103" s="42"/>
      <c r="D103" s="365">
        <f>'Budget with Assumptions'!J103</f>
        <v>0</v>
      </c>
      <c r="E103" s="901"/>
      <c r="F103" s="365">
        <f>'Budget with Assumptions'!L103</f>
        <v>0</v>
      </c>
      <c r="G103" s="901"/>
      <c r="H103" s="365">
        <f>'Budget with Assumptions'!N103</f>
        <v>0</v>
      </c>
      <c r="I103" s="901"/>
      <c r="J103" s="365">
        <f>'Budget with Assumptions'!P103</f>
        <v>0</v>
      </c>
      <c r="K103" s="902"/>
      <c r="L103" s="365">
        <f>'Budget with Assumptions'!R103</f>
        <v>1561</v>
      </c>
      <c r="M103" s="890"/>
      <c r="N103" s="365">
        <f>'Budget with Assumptions'!T103</f>
        <v>1592</v>
      </c>
      <c r="O103"/>
      <c r="P103" s="916" t="e">
        <f t="shared" si="25"/>
        <v>#DIV/0!</v>
      </c>
      <c r="Q103" s="916" t="e">
        <f t="shared" si="26"/>
        <v>#DIV/0!</v>
      </c>
      <c r="R103" s="916" t="e">
        <f t="shared" si="27"/>
        <v>#DIV/0!</v>
      </c>
      <c r="S103" s="916">
        <f t="shared" si="28"/>
        <v>8.3816436447826123E-4</v>
      </c>
      <c r="T103" s="916">
        <f t="shared" si="29"/>
        <v>8.3246804089141628E-4</v>
      </c>
      <c r="U103"/>
      <c r="V103" s="925" t="e">
        <f t="shared" si="30"/>
        <v>#DIV/0!</v>
      </c>
      <c r="W103" s="925" t="e">
        <f t="shared" si="31"/>
        <v>#DIV/0!</v>
      </c>
      <c r="X103" s="925" t="e">
        <f t="shared" si="32"/>
        <v>#DIV/0!</v>
      </c>
      <c r="Y103" s="925">
        <f t="shared" si="33"/>
        <v>9.4606060606060609</v>
      </c>
      <c r="Z103" s="925">
        <f t="shared" si="34"/>
        <v>9.6484848484848484</v>
      </c>
    </row>
    <row r="104" spans="1:26" ht="15.75" x14ac:dyDescent="0.25">
      <c r="A104" s="712" t="str">
        <f>'Budget with Assumptions'!A104</f>
        <v>Other Contractual Services</v>
      </c>
      <c r="B104" s="42"/>
      <c r="C104" s="42"/>
      <c r="D104" s="365">
        <f>'Budget with Assumptions'!J104</f>
        <v>0</v>
      </c>
      <c r="E104" s="901"/>
      <c r="F104" s="365">
        <f>'Budget with Assumptions'!L104</f>
        <v>0</v>
      </c>
      <c r="G104" s="901"/>
      <c r="H104" s="365">
        <f>'Budget with Assumptions'!N104</f>
        <v>0</v>
      </c>
      <c r="I104" s="901"/>
      <c r="J104" s="365">
        <f>'Budget with Assumptions'!P104</f>
        <v>0</v>
      </c>
      <c r="K104" s="902"/>
      <c r="L104" s="365">
        <f>'Budget with Assumptions'!R104</f>
        <v>0</v>
      </c>
      <c r="M104" s="890"/>
      <c r="N104" s="365">
        <f>'Budget with Assumptions'!T104</f>
        <v>0</v>
      </c>
      <c r="O104"/>
      <c r="P104" s="916" t="e">
        <f t="shared" si="25"/>
        <v>#DIV/0!</v>
      </c>
      <c r="Q104" s="916" t="e">
        <f t="shared" si="26"/>
        <v>#DIV/0!</v>
      </c>
      <c r="R104" s="916" t="e">
        <f t="shared" si="27"/>
        <v>#DIV/0!</v>
      </c>
      <c r="S104" s="916">
        <f t="shared" si="28"/>
        <v>0</v>
      </c>
      <c r="T104" s="916">
        <f t="shared" si="29"/>
        <v>0</v>
      </c>
      <c r="U104"/>
      <c r="V104" s="925" t="e">
        <f t="shared" si="30"/>
        <v>#DIV/0!</v>
      </c>
      <c r="W104" s="925" t="e">
        <f t="shared" si="31"/>
        <v>#DIV/0!</v>
      </c>
      <c r="X104" s="925" t="e">
        <f t="shared" si="32"/>
        <v>#DIV/0!</v>
      </c>
      <c r="Y104" s="925">
        <f t="shared" si="33"/>
        <v>0</v>
      </c>
      <c r="Z104" s="925">
        <f t="shared" si="34"/>
        <v>0</v>
      </c>
    </row>
    <row r="105" spans="1:26" ht="15.75" x14ac:dyDescent="0.25">
      <c r="A105" s="712" t="str">
        <f>'Budget with Assumptions'!A105</f>
        <v>Travel</v>
      </c>
      <c r="B105" s="42"/>
      <c r="C105" s="42"/>
      <c r="D105" s="365">
        <f>'Budget with Assumptions'!J105</f>
        <v>0</v>
      </c>
      <c r="E105" s="901"/>
      <c r="F105" s="365">
        <f>'Budget with Assumptions'!L105</f>
        <v>0</v>
      </c>
      <c r="G105" s="901"/>
      <c r="H105" s="365">
        <f>'Budget with Assumptions'!N105</f>
        <v>0</v>
      </c>
      <c r="I105" s="901"/>
      <c r="J105" s="365">
        <f>'Budget with Assumptions'!P105</f>
        <v>0</v>
      </c>
      <c r="K105" s="902"/>
      <c r="L105" s="365">
        <f>'Budget with Assumptions'!R105</f>
        <v>1349.8565759999999</v>
      </c>
      <c r="M105" s="890"/>
      <c r="N105" s="365">
        <f>'Budget with Assumptions'!T105</f>
        <v>1376.8537075199999</v>
      </c>
      <c r="O105"/>
      <c r="P105" s="916" t="e">
        <f t="shared" si="25"/>
        <v>#DIV/0!</v>
      </c>
      <c r="Q105" s="916" t="e">
        <f t="shared" si="26"/>
        <v>#DIV/0!</v>
      </c>
      <c r="R105" s="916" t="e">
        <f t="shared" si="27"/>
        <v>#DIV/0!</v>
      </c>
      <c r="S105" s="916">
        <f t="shared" si="28"/>
        <v>7.2479287582308879E-4</v>
      </c>
      <c r="T105" s="916">
        <f t="shared" si="29"/>
        <v>7.199665254354632E-4</v>
      </c>
      <c r="U105"/>
      <c r="V105" s="925" t="e">
        <f t="shared" si="30"/>
        <v>#DIV/0!</v>
      </c>
      <c r="W105" s="925" t="e">
        <f t="shared" si="31"/>
        <v>#DIV/0!</v>
      </c>
      <c r="X105" s="925" t="e">
        <f t="shared" si="32"/>
        <v>#DIV/0!</v>
      </c>
      <c r="Y105" s="925">
        <f t="shared" si="33"/>
        <v>8.1809489454545457</v>
      </c>
      <c r="Z105" s="925">
        <f t="shared" si="34"/>
        <v>8.3445679243636359</v>
      </c>
    </row>
    <row r="106" spans="1:26" ht="15.75" x14ac:dyDescent="0.25">
      <c r="A106" s="712" t="str">
        <f>'Budget with Assumptions'!A106</f>
        <v>CPS Administrative Fee</v>
      </c>
      <c r="B106" s="42"/>
      <c r="C106" s="42"/>
      <c r="D106" s="365">
        <f>'Budget with Assumptions'!J106</f>
        <v>0</v>
      </c>
      <c r="E106" s="901"/>
      <c r="F106" s="365">
        <f>'Budget with Assumptions'!L106</f>
        <v>0</v>
      </c>
      <c r="G106" s="901"/>
      <c r="H106" s="365">
        <f>'Budget with Assumptions'!N106</f>
        <v>0</v>
      </c>
      <c r="I106" s="901"/>
      <c r="J106" s="365">
        <f>'Budget with Assumptions'!P106</f>
        <v>0</v>
      </c>
      <c r="K106" s="902"/>
      <c r="L106" s="365">
        <f>'Budget with Assumptions'!R106</f>
        <v>50984.100269999995</v>
      </c>
      <c r="M106" s="890"/>
      <c r="N106" s="365">
        <f>'Budget with Assumptions'!T106</f>
        <v>51082.069769999987</v>
      </c>
      <c r="O106"/>
      <c r="P106" s="916" t="e">
        <f t="shared" si="25"/>
        <v>#DIV/0!</v>
      </c>
      <c r="Q106" s="916" t="e">
        <f t="shared" si="26"/>
        <v>#DIV/0!</v>
      </c>
      <c r="R106" s="916" t="e">
        <f t="shared" si="27"/>
        <v>#DIV/0!</v>
      </c>
      <c r="S106" s="916">
        <f t="shared" si="28"/>
        <v>2.7375436259641572E-2</v>
      </c>
      <c r="T106" s="916">
        <f t="shared" si="29"/>
        <v>2.6711174966149831E-2</v>
      </c>
      <c r="U106"/>
      <c r="V106" s="925" t="e">
        <f t="shared" si="30"/>
        <v>#DIV/0!</v>
      </c>
      <c r="W106" s="925" t="e">
        <f t="shared" si="31"/>
        <v>#DIV/0!</v>
      </c>
      <c r="X106" s="925" t="e">
        <f t="shared" si="32"/>
        <v>#DIV/0!</v>
      </c>
      <c r="Y106" s="925">
        <f t="shared" si="33"/>
        <v>308.99454709090907</v>
      </c>
      <c r="Z106" s="925">
        <f t="shared" si="34"/>
        <v>309.58830163636355</v>
      </c>
    </row>
    <row r="107" spans="1:26" ht="15.75" x14ac:dyDescent="0.25">
      <c r="A107" s="712" t="str">
        <f>'Budget with Assumptions'!A107</f>
        <v>Computer Network Equipment</v>
      </c>
      <c r="B107" s="42"/>
      <c r="C107" s="42"/>
      <c r="D107" s="365">
        <f>'Budget with Assumptions'!J107</f>
        <v>0</v>
      </c>
      <c r="E107" s="901"/>
      <c r="F107" s="365">
        <f>'Budget with Assumptions'!L107</f>
        <v>0</v>
      </c>
      <c r="G107" s="901"/>
      <c r="H107" s="365">
        <f>'Budget with Assumptions'!N107</f>
        <v>0</v>
      </c>
      <c r="I107" s="901"/>
      <c r="J107" s="365">
        <f>'Budget with Assumptions'!P107</f>
        <v>0</v>
      </c>
      <c r="K107" s="902"/>
      <c r="L107" s="365">
        <f>'Budget with Assumptions'!R107</f>
        <v>0</v>
      </c>
      <c r="M107" s="890"/>
      <c r="N107" s="365">
        <f>'Budget with Assumptions'!T107</f>
        <v>0</v>
      </c>
      <c r="O107"/>
      <c r="P107" s="916" t="e">
        <f t="shared" si="25"/>
        <v>#DIV/0!</v>
      </c>
      <c r="Q107" s="916" t="e">
        <f t="shared" si="26"/>
        <v>#DIV/0!</v>
      </c>
      <c r="R107" s="916" t="e">
        <f t="shared" si="27"/>
        <v>#DIV/0!</v>
      </c>
      <c r="S107" s="916">
        <f t="shared" si="28"/>
        <v>0</v>
      </c>
      <c r="T107" s="916">
        <f t="shared" si="29"/>
        <v>0</v>
      </c>
      <c r="U107"/>
      <c r="V107" s="925" t="e">
        <f t="shared" si="30"/>
        <v>#DIV/0!</v>
      </c>
      <c r="W107" s="925" t="e">
        <f t="shared" si="31"/>
        <v>#DIV/0!</v>
      </c>
      <c r="X107" s="925" t="e">
        <f t="shared" si="32"/>
        <v>#DIV/0!</v>
      </c>
      <c r="Y107" s="925">
        <f t="shared" si="33"/>
        <v>0</v>
      </c>
      <c r="Z107" s="925">
        <f t="shared" si="34"/>
        <v>0</v>
      </c>
    </row>
    <row r="108" spans="1:26" ht="15.75" x14ac:dyDescent="0.25">
      <c r="A108" s="712">
        <f>'Budget with Assumptions'!A108</f>
        <v>0</v>
      </c>
      <c r="B108" s="46"/>
      <c r="C108" s="46"/>
      <c r="D108" s="365">
        <f>'Budget with Assumptions'!J108</f>
        <v>0</v>
      </c>
      <c r="E108" s="901"/>
      <c r="F108" s="365">
        <f>'Budget with Assumptions'!L108</f>
        <v>0</v>
      </c>
      <c r="G108" s="901"/>
      <c r="H108" s="365">
        <f>'Budget with Assumptions'!N108</f>
        <v>0</v>
      </c>
      <c r="I108" s="901"/>
      <c r="J108" s="365">
        <f>'Budget with Assumptions'!P108</f>
        <v>0</v>
      </c>
      <c r="K108" s="902"/>
      <c r="L108" s="365">
        <f>'Budget with Assumptions'!R108</f>
        <v>0</v>
      </c>
      <c r="M108" s="890"/>
      <c r="N108" s="365">
        <f>'Budget with Assumptions'!T108</f>
        <v>0</v>
      </c>
      <c r="O108"/>
      <c r="P108" s="916" t="e">
        <f t="shared" si="25"/>
        <v>#DIV/0!</v>
      </c>
      <c r="Q108" s="916" t="e">
        <f t="shared" si="26"/>
        <v>#DIV/0!</v>
      </c>
      <c r="R108" s="916" t="e">
        <f t="shared" si="27"/>
        <v>#DIV/0!</v>
      </c>
      <c r="S108" s="916">
        <f t="shared" si="28"/>
        <v>0</v>
      </c>
      <c r="T108" s="916">
        <f t="shared" si="29"/>
        <v>0</v>
      </c>
      <c r="U108"/>
      <c r="V108" s="925" t="e">
        <f t="shared" si="30"/>
        <v>#DIV/0!</v>
      </c>
      <c r="W108" s="925" t="e">
        <f t="shared" si="31"/>
        <v>#DIV/0!</v>
      </c>
      <c r="X108" s="925" t="e">
        <f t="shared" si="32"/>
        <v>#DIV/0!</v>
      </c>
      <c r="Y108" s="925">
        <f t="shared" si="33"/>
        <v>0</v>
      </c>
      <c r="Z108" s="925">
        <f t="shared" si="34"/>
        <v>0</v>
      </c>
    </row>
    <row r="109" spans="1:26" ht="15.75" x14ac:dyDescent="0.25">
      <c r="A109" s="712">
        <f>'Budget with Assumptions'!A109</f>
        <v>0</v>
      </c>
      <c r="B109" s="46"/>
      <c r="C109" s="46"/>
      <c r="D109" s="365">
        <f>'Budget with Assumptions'!J109</f>
        <v>0</v>
      </c>
      <c r="E109" s="901"/>
      <c r="F109" s="365">
        <f>'Budget with Assumptions'!L109</f>
        <v>0</v>
      </c>
      <c r="G109" s="901"/>
      <c r="H109" s="365">
        <f>'Budget with Assumptions'!N109</f>
        <v>0</v>
      </c>
      <c r="I109" s="901"/>
      <c r="J109" s="365">
        <f>'Budget with Assumptions'!P109</f>
        <v>0</v>
      </c>
      <c r="K109" s="902"/>
      <c r="L109" s="365">
        <f>'Budget with Assumptions'!R109</f>
        <v>0</v>
      </c>
      <c r="M109" s="890"/>
      <c r="N109" s="365">
        <f>'Budget with Assumptions'!T109</f>
        <v>0</v>
      </c>
      <c r="O109"/>
      <c r="P109" s="916" t="e">
        <f t="shared" si="25"/>
        <v>#DIV/0!</v>
      </c>
      <c r="Q109" s="916" t="e">
        <f t="shared" si="26"/>
        <v>#DIV/0!</v>
      </c>
      <c r="R109" s="916" t="e">
        <f t="shared" si="27"/>
        <v>#DIV/0!</v>
      </c>
      <c r="S109" s="916">
        <f t="shared" si="28"/>
        <v>0</v>
      </c>
      <c r="T109" s="916">
        <f t="shared" si="29"/>
        <v>0</v>
      </c>
      <c r="U109"/>
      <c r="V109" s="925" t="e">
        <f t="shared" si="30"/>
        <v>#DIV/0!</v>
      </c>
      <c r="W109" s="925" t="e">
        <f t="shared" si="31"/>
        <v>#DIV/0!</v>
      </c>
      <c r="X109" s="925" t="e">
        <f t="shared" si="32"/>
        <v>#DIV/0!</v>
      </c>
      <c r="Y109" s="925">
        <f t="shared" si="33"/>
        <v>0</v>
      </c>
      <c r="Z109" s="925">
        <f t="shared" si="34"/>
        <v>0</v>
      </c>
    </row>
    <row r="110" spans="1:26" ht="15.75" x14ac:dyDescent="0.25">
      <c r="A110" s="712">
        <f>'Budget with Assumptions'!A110</f>
        <v>0</v>
      </c>
      <c r="B110" s="46"/>
      <c r="C110" s="46"/>
      <c r="D110" s="365">
        <f>'Budget with Assumptions'!J110</f>
        <v>0</v>
      </c>
      <c r="E110" s="901"/>
      <c r="F110" s="365">
        <f>'Budget with Assumptions'!L110</f>
        <v>0</v>
      </c>
      <c r="G110" s="901"/>
      <c r="H110" s="365">
        <f>'Budget with Assumptions'!N110</f>
        <v>0</v>
      </c>
      <c r="I110" s="901"/>
      <c r="J110" s="365">
        <f>'Budget with Assumptions'!P110</f>
        <v>0</v>
      </c>
      <c r="K110" s="902"/>
      <c r="L110" s="365">
        <f>'Budget with Assumptions'!R110</f>
        <v>0</v>
      </c>
      <c r="M110" s="890"/>
      <c r="N110" s="365">
        <f>'Budget with Assumptions'!T110</f>
        <v>0</v>
      </c>
      <c r="O110"/>
      <c r="P110" s="916" t="e">
        <f t="shared" si="25"/>
        <v>#DIV/0!</v>
      </c>
      <c r="Q110" s="916" t="e">
        <f t="shared" si="26"/>
        <v>#DIV/0!</v>
      </c>
      <c r="R110" s="916" t="e">
        <f t="shared" si="27"/>
        <v>#DIV/0!</v>
      </c>
      <c r="S110" s="916">
        <f t="shared" si="28"/>
        <v>0</v>
      </c>
      <c r="T110" s="916">
        <f t="shared" si="29"/>
        <v>0</v>
      </c>
      <c r="U110"/>
      <c r="V110" s="925" t="e">
        <f t="shared" si="30"/>
        <v>#DIV/0!</v>
      </c>
      <c r="W110" s="925" t="e">
        <f t="shared" si="31"/>
        <v>#DIV/0!</v>
      </c>
      <c r="X110" s="925" t="e">
        <f t="shared" si="32"/>
        <v>#DIV/0!</v>
      </c>
      <c r="Y110" s="925">
        <f t="shared" si="33"/>
        <v>0</v>
      </c>
      <c r="Z110" s="925">
        <f t="shared" si="34"/>
        <v>0</v>
      </c>
    </row>
    <row r="111" spans="1:26" ht="15.75" x14ac:dyDescent="0.25">
      <c r="A111" s="712">
        <f>'Budget with Assumptions'!A111</f>
        <v>0</v>
      </c>
      <c r="B111" s="46"/>
      <c r="C111" s="46"/>
      <c r="D111" s="365">
        <f>'Budget with Assumptions'!J111</f>
        <v>0</v>
      </c>
      <c r="E111" s="901"/>
      <c r="F111" s="365">
        <f>'Budget with Assumptions'!L111</f>
        <v>0</v>
      </c>
      <c r="G111" s="901"/>
      <c r="H111" s="365">
        <f>'Budget with Assumptions'!N111</f>
        <v>0</v>
      </c>
      <c r="I111" s="901"/>
      <c r="J111" s="365">
        <f>'Budget with Assumptions'!P111</f>
        <v>0</v>
      </c>
      <c r="K111" s="902"/>
      <c r="L111" s="365">
        <f>'Budget with Assumptions'!R111</f>
        <v>0</v>
      </c>
      <c r="M111" s="890"/>
      <c r="N111" s="365">
        <f>'Budget with Assumptions'!T111</f>
        <v>0</v>
      </c>
      <c r="O111"/>
      <c r="P111" s="916" t="e">
        <f t="shared" si="25"/>
        <v>#DIV/0!</v>
      </c>
      <c r="Q111" s="916" t="e">
        <f t="shared" si="26"/>
        <v>#DIV/0!</v>
      </c>
      <c r="R111" s="916" t="e">
        <f t="shared" si="27"/>
        <v>#DIV/0!</v>
      </c>
      <c r="S111" s="916">
        <f t="shared" si="28"/>
        <v>0</v>
      </c>
      <c r="T111" s="916">
        <f t="shared" si="29"/>
        <v>0</v>
      </c>
      <c r="U111"/>
      <c r="V111" s="925" t="e">
        <f t="shared" si="30"/>
        <v>#DIV/0!</v>
      </c>
      <c r="W111" s="925" t="e">
        <f t="shared" si="31"/>
        <v>#DIV/0!</v>
      </c>
      <c r="X111" s="925" t="e">
        <f t="shared" si="32"/>
        <v>#DIV/0!</v>
      </c>
      <c r="Y111" s="925">
        <f t="shared" si="33"/>
        <v>0</v>
      </c>
      <c r="Z111" s="925">
        <f t="shared" si="34"/>
        <v>0</v>
      </c>
    </row>
    <row r="112" spans="1:26" ht="15.75" x14ac:dyDescent="0.25">
      <c r="A112" s="712">
        <f>'Budget with Assumptions'!A112</f>
        <v>0</v>
      </c>
      <c r="B112" s="46"/>
      <c r="C112" s="46"/>
      <c r="D112" s="365">
        <f>'Budget with Assumptions'!J112</f>
        <v>0</v>
      </c>
      <c r="E112" s="901"/>
      <c r="F112" s="365">
        <f>'Budget with Assumptions'!L112</f>
        <v>0</v>
      </c>
      <c r="G112" s="901"/>
      <c r="H112" s="365">
        <f>'Budget with Assumptions'!N112</f>
        <v>0</v>
      </c>
      <c r="I112" s="901"/>
      <c r="J112" s="365">
        <f>'Budget with Assumptions'!P112</f>
        <v>0</v>
      </c>
      <c r="K112" s="902"/>
      <c r="L112" s="365">
        <f>'Budget with Assumptions'!R112</f>
        <v>0</v>
      </c>
      <c r="M112" s="890"/>
      <c r="N112" s="365">
        <f>'Budget with Assumptions'!T112</f>
        <v>0</v>
      </c>
      <c r="O112"/>
      <c r="P112" s="916" t="e">
        <f t="shared" si="25"/>
        <v>#DIV/0!</v>
      </c>
      <c r="Q112" s="916" t="e">
        <f t="shared" si="26"/>
        <v>#DIV/0!</v>
      </c>
      <c r="R112" s="916" t="e">
        <f t="shared" si="27"/>
        <v>#DIV/0!</v>
      </c>
      <c r="S112" s="916">
        <f t="shared" si="28"/>
        <v>0</v>
      </c>
      <c r="T112" s="916">
        <f t="shared" si="29"/>
        <v>0</v>
      </c>
      <c r="U112"/>
      <c r="V112" s="925" t="e">
        <f t="shared" si="30"/>
        <v>#DIV/0!</v>
      </c>
      <c r="W112" s="925" t="e">
        <f t="shared" si="31"/>
        <v>#DIV/0!</v>
      </c>
      <c r="X112" s="925" t="e">
        <f t="shared" si="32"/>
        <v>#DIV/0!</v>
      </c>
      <c r="Y112" s="925">
        <f t="shared" si="33"/>
        <v>0</v>
      </c>
      <c r="Z112" s="925">
        <f t="shared" si="34"/>
        <v>0</v>
      </c>
    </row>
    <row r="113" spans="1:26" ht="15.75" x14ac:dyDescent="0.25">
      <c r="A113" s="712">
        <f>'Budget with Assumptions'!A113</f>
        <v>0</v>
      </c>
      <c r="B113" s="46"/>
      <c r="C113" s="46"/>
      <c r="D113" s="365">
        <f>'Budget with Assumptions'!J113</f>
        <v>0</v>
      </c>
      <c r="E113" s="901"/>
      <c r="F113" s="365">
        <f>'Budget with Assumptions'!L113</f>
        <v>0</v>
      </c>
      <c r="G113" s="901"/>
      <c r="H113" s="365">
        <f>'Budget with Assumptions'!N113</f>
        <v>0</v>
      </c>
      <c r="I113" s="901"/>
      <c r="J113" s="365">
        <f>'Budget with Assumptions'!P113</f>
        <v>0</v>
      </c>
      <c r="K113" s="902"/>
      <c r="L113" s="365">
        <f>'Budget with Assumptions'!R113</f>
        <v>0</v>
      </c>
      <c r="M113" s="890"/>
      <c r="N113" s="365">
        <f>'Budget with Assumptions'!T113</f>
        <v>0</v>
      </c>
      <c r="O113"/>
      <c r="P113" s="916" t="e">
        <f t="shared" si="25"/>
        <v>#DIV/0!</v>
      </c>
      <c r="Q113" s="916" t="e">
        <f t="shared" si="26"/>
        <v>#DIV/0!</v>
      </c>
      <c r="R113" s="916" t="e">
        <f t="shared" si="27"/>
        <v>#DIV/0!</v>
      </c>
      <c r="S113" s="916">
        <f t="shared" si="28"/>
        <v>0</v>
      </c>
      <c r="T113" s="916">
        <f t="shared" si="29"/>
        <v>0</v>
      </c>
      <c r="U113"/>
      <c r="V113" s="925" t="e">
        <f t="shared" si="30"/>
        <v>#DIV/0!</v>
      </c>
      <c r="W113" s="925" t="e">
        <f t="shared" si="31"/>
        <v>#DIV/0!</v>
      </c>
      <c r="X113" s="925" t="e">
        <f t="shared" si="32"/>
        <v>#DIV/0!</v>
      </c>
      <c r="Y113" s="925">
        <f t="shared" si="33"/>
        <v>0</v>
      </c>
      <c r="Z113" s="925">
        <f t="shared" si="34"/>
        <v>0</v>
      </c>
    </row>
    <row r="114" spans="1:26" ht="15.75" x14ac:dyDescent="0.25">
      <c r="A114" s="704">
        <f>'Budget with Assumptions'!A114</f>
        <v>0</v>
      </c>
      <c r="B114" s="46"/>
      <c r="C114" s="46"/>
      <c r="D114" s="365">
        <f>'Budget with Assumptions'!J114</f>
        <v>0</v>
      </c>
      <c r="E114" s="901"/>
      <c r="F114" s="365">
        <f>'Budget with Assumptions'!L114</f>
        <v>0</v>
      </c>
      <c r="G114" s="901"/>
      <c r="H114" s="365">
        <f>'Budget with Assumptions'!N114</f>
        <v>0</v>
      </c>
      <c r="I114" s="901"/>
      <c r="J114" s="365">
        <f>'Budget with Assumptions'!P114</f>
        <v>0</v>
      </c>
      <c r="K114" s="902"/>
      <c r="L114" s="365">
        <f>'Budget with Assumptions'!R114</f>
        <v>0</v>
      </c>
      <c r="M114" s="890"/>
      <c r="N114" s="365">
        <f>'Budget with Assumptions'!T114</f>
        <v>0</v>
      </c>
      <c r="O114"/>
      <c r="P114" s="916" t="e">
        <f t="shared" si="25"/>
        <v>#DIV/0!</v>
      </c>
      <c r="Q114" s="916" t="e">
        <f t="shared" si="26"/>
        <v>#DIV/0!</v>
      </c>
      <c r="R114" s="916" t="e">
        <f t="shared" si="27"/>
        <v>#DIV/0!</v>
      </c>
      <c r="S114" s="916">
        <f t="shared" si="28"/>
        <v>0</v>
      </c>
      <c r="T114" s="916">
        <f t="shared" si="29"/>
        <v>0</v>
      </c>
      <c r="U114"/>
      <c r="V114" s="925" t="e">
        <f t="shared" si="30"/>
        <v>#DIV/0!</v>
      </c>
      <c r="W114" s="925" t="e">
        <f t="shared" si="31"/>
        <v>#DIV/0!</v>
      </c>
      <c r="X114" s="925" t="e">
        <f t="shared" si="32"/>
        <v>#DIV/0!</v>
      </c>
      <c r="Y114" s="925">
        <f t="shared" si="33"/>
        <v>0</v>
      </c>
      <c r="Z114" s="925">
        <f t="shared" si="34"/>
        <v>0</v>
      </c>
    </row>
    <row r="115" spans="1:26" ht="16.5" thickBot="1" x14ac:dyDescent="0.3">
      <c r="A115" s="40"/>
      <c r="B115" s="46"/>
      <c r="C115" s="46"/>
      <c r="D115" s="908"/>
      <c r="E115" s="901"/>
      <c r="F115" s="908"/>
      <c r="G115" s="901"/>
      <c r="H115" s="908"/>
      <c r="I115" s="901"/>
      <c r="J115" s="908"/>
      <c r="K115" s="902"/>
      <c r="L115" s="882"/>
      <c r="M115" s="890"/>
      <c r="N115" s="882"/>
      <c r="O115"/>
      <c r="P115" s="917"/>
      <c r="Q115" s="917"/>
      <c r="R115" s="917"/>
      <c r="S115" s="917"/>
      <c r="T115" s="917"/>
      <c r="U115"/>
      <c r="V115" s="743"/>
      <c r="W115" s="743"/>
      <c r="X115" s="743"/>
      <c r="Y115" s="743"/>
      <c r="Z115" s="743"/>
    </row>
    <row r="116" spans="1:26" ht="16.5" thickBot="1" x14ac:dyDescent="0.3">
      <c r="A116" s="384" t="str">
        <f>'Budget with Assumptions'!H116</f>
        <v>Total Office Administration</v>
      </c>
      <c r="B116" s="42"/>
      <c r="C116" s="42"/>
      <c r="D116" s="487">
        <f>SUM(D95:D114)</f>
        <v>0</v>
      </c>
      <c r="E116" s="361"/>
      <c r="F116" s="487">
        <f>SUM(F95:F114)</f>
        <v>0</v>
      </c>
      <c r="G116" s="361"/>
      <c r="H116" s="487">
        <f>SUM(H95:H114)</f>
        <v>0</v>
      </c>
      <c r="I116" s="361"/>
      <c r="J116" s="487">
        <f>SUM(J95:J114)</f>
        <v>0</v>
      </c>
      <c r="K116" s="362"/>
      <c r="L116" s="487">
        <f>SUM(L95:L114)</f>
        <v>107754.70838359999</v>
      </c>
      <c r="M116" s="875"/>
      <c r="N116" s="487">
        <f>SUM(N95:N114)</f>
        <v>99151.910045871977</v>
      </c>
      <c r="O116"/>
      <c r="P116" s="706" t="e">
        <f>SUM(P95:P114)</f>
        <v>#DIV/0!</v>
      </c>
      <c r="Q116" s="706" t="e">
        <f>SUM(Q95:Q114)</f>
        <v>#DIV/0!</v>
      </c>
      <c r="R116" s="706" t="e">
        <f>SUM(R95:R114)</f>
        <v>#DIV/0!</v>
      </c>
      <c r="S116" s="706">
        <f>SUM(S95:S114)</f>
        <v>5.7857883838488437E-2</v>
      </c>
      <c r="T116" s="706">
        <f>SUM(T95:T114)</f>
        <v>5.1847233860885043E-2</v>
      </c>
      <c r="U116"/>
      <c r="V116" s="708" t="e">
        <f>SUM(V95:V114)</f>
        <v>#DIV/0!</v>
      </c>
      <c r="W116" s="708" t="e">
        <f>SUM(W95:W114)</f>
        <v>#DIV/0!</v>
      </c>
      <c r="X116" s="708" t="e">
        <f>SUM(X95:X114)</f>
        <v>#DIV/0!</v>
      </c>
      <c r="Y116" s="708">
        <f>SUM(Y95:Y114)</f>
        <v>653.0588386884848</v>
      </c>
      <c r="Z116" s="708">
        <f>SUM(Z95:Z114)</f>
        <v>600.92066694467871</v>
      </c>
    </row>
    <row r="117" spans="1:26" ht="16.5" thickBot="1" x14ac:dyDescent="0.3">
      <c r="A117" s="53"/>
      <c r="B117" s="38"/>
      <c r="C117" s="38"/>
      <c r="D117" s="743"/>
      <c r="E117" s="743"/>
      <c r="F117" s="743"/>
      <c r="G117" s="743"/>
      <c r="H117" s="743"/>
      <c r="I117" s="743"/>
      <c r="J117" s="743"/>
      <c r="K117" s="876"/>
      <c r="L117" s="743"/>
      <c r="M117" s="876"/>
      <c r="N117" s="743"/>
      <c r="P117" s="917"/>
      <c r="Q117" s="917"/>
      <c r="R117" s="917"/>
      <c r="S117" s="917"/>
      <c r="T117" s="917"/>
      <c r="V117" s="743"/>
      <c r="W117" s="743"/>
      <c r="X117" s="743"/>
      <c r="Y117" s="743"/>
      <c r="Z117" s="743"/>
    </row>
    <row r="118" spans="1:26" ht="18.75" thickBot="1" x14ac:dyDescent="0.3">
      <c r="A118" s="705" t="s">
        <v>241</v>
      </c>
      <c r="B118" s="55"/>
      <c r="C118" s="55"/>
      <c r="D118" s="908"/>
      <c r="E118" s="901"/>
      <c r="F118" s="908"/>
      <c r="G118" s="901"/>
      <c r="H118" s="908"/>
      <c r="I118" s="901"/>
      <c r="J118" s="908"/>
      <c r="K118" s="902"/>
      <c r="L118" s="908"/>
      <c r="M118" s="890"/>
      <c r="N118" s="908"/>
      <c r="O118"/>
      <c r="P118" s="917"/>
      <c r="Q118" s="917"/>
      <c r="R118" s="917"/>
      <c r="S118" s="917"/>
      <c r="T118" s="917"/>
      <c r="U118"/>
      <c r="V118" s="743"/>
      <c r="W118" s="743"/>
      <c r="X118" s="743"/>
      <c r="Y118" s="743"/>
      <c r="Z118" s="743"/>
    </row>
    <row r="119" spans="1:26" ht="18.75" customHeight="1" x14ac:dyDescent="0.25">
      <c r="A119" s="712" t="str">
        <f>'Budget with Assumptions'!A119</f>
        <v>Rent</v>
      </c>
      <c r="B119" s="38"/>
      <c r="C119" s="38"/>
      <c r="D119" s="365">
        <f>'Budget with Assumptions'!J119</f>
        <v>0</v>
      </c>
      <c r="E119" s="901"/>
      <c r="F119" s="365">
        <f>'Budget with Assumptions'!L119</f>
        <v>0</v>
      </c>
      <c r="G119" s="901"/>
      <c r="H119" s="365">
        <f>'Budget with Assumptions'!N119</f>
        <v>0</v>
      </c>
      <c r="I119" s="901"/>
      <c r="J119" s="365">
        <f>'Budget with Assumptions'!P119</f>
        <v>0</v>
      </c>
      <c r="K119" s="902"/>
      <c r="L119" s="365">
        <f>'Budget with Assumptions'!R119</f>
        <v>188000</v>
      </c>
      <c r="M119" s="890"/>
      <c r="N119" s="365">
        <f>'Budget with Assumptions'!T119</f>
        <v>188000</v>
      </c>
      <c r="O119"/>
      <c r="P119" s="916" t="e">
        <f t="shared" ref="P119:P136" si="35">F119/$F$159</f>
        <v>#DIV/0!</v>
      </c>
      <c r="Q119" s="916" t="e">
        <f t="shared" ref="Q119:Q136" si="36">H119/$H$159</f>
        <v>#DIV/0!</v>
      </c>
      <c r="R119" s="916" t="e">
        <f t="shared" ref="R119:R136" si="37">J119/$J$159</f>
        <v>#DIV/0!</v>
      </c>
      <c r="S119" s="916">
        <f t="shared" ref="S119:S136" si="38">L119/$L$159</f>
        <v>0.10094484338367271</v>
      </c>
      <c r="T119" s="916">
        <f t="shared" ref="T119:T136" si="39">N119/$N$159</f>
        <v>9.8306527441951175E-2</v>
      </c>
      <c r="U119"/>
      <c r="V119" s="925" t="e">
        <f>F119/$F$178</f>
        <v>#DIV/0!</v>
      </c>
      <c r="W119" s="925" t="e">
        <f>H119/$H$178</f>
        <v>#DIV/0!</v>
      </c>
      <c r="X119" s="925" t="e">
        <f>J119/$J$178</f>
        <v>#DIV/0!</v>
      </c>
      <c r="Y119" s="925">
        <f>L119/$L$178</f>
        <v>1139.3939393939395</v>
      </c>
      <c r="Z119" s="925">
        <f>N119/$N$178</f>
        <v>1139.3939393939395</v>
      </c>
    </row>
    <row r="120" spans="1:26" ht="15.75" x14ac:dyDescent="0.25">
      <c r="A120" s="712" t="str">
        <f>'Budget with Assumptions'!A120</f>
        <v>Utilities</v>
      </c>
      <c r="B120" s="42"/>
      <c r="C120" s="42"/>
      <c r="D120" s="365">
        <f>'Budget with Assumptions'!J120</f>
        <v>0</v>
      </c>
      <c r="E120" s="901"/>
      <c r="F120" s="365">
        <f>'Budget with Assumptions'!L120</f>
        <v>0</v>
      </c>
      <c r="G120" s="901"/>
      <c r="H120" s="365">
        <f>'Budget with Assumptions'!N120</f>
        <v>0</v>
      </c>
      <c r="I120" s="901"/>
      <c r="J120" s="365">
        <f>'Budget with Assumptions'!P120</f>
        <v>0</v>
      </c>
      <c r="K120" s="902"/>
      <c r="L120" s="365">
        <f>'Budget with Assumptions'!R120</f>
        <v>49876.775999999998</v>
      </c>
      <c r="M120" s="890"/>
      <c r="N120" s="365">
        <f>'Budget with Assumptions'!T120</f>
        <v>50874.311519999996</v>
      </c>
      <c r="O120"/>
      <c r="P120" s="916" t="e">
        <f t="shared" si="35"/>
        <v>#DIV/0!</v>
      </c>
      <c r="Q120" s="916" t="e">
        <f t="shared" si="36"/>
        <v>#DIV/0!</v>
      </c>
      <c r="R120" s="916" t="e">
        <f t="shared" si="37"/>
        <v>#DIV/0!</v>
      </c>
      <c r="S120" s="916">
        <f t="shared" si="38"/>
        <v>2.6780868839375138E-2</v>
      </c>
      <c r="T120" s="916">
        <f t="shared" si="39"/>
        <v>2.6602536710272618E-2</v>
      </c>
      <c r="U120"/>
      <c r="V120" s="925" t="e">
        <f t="shared" ref="V120:V136" si="40">F120/$F$178</f>
        <v>#DIV/0!</v>
      </c>
      <c r="W120" s="925" t="e">
        <f t="shared" ref="W120:W136" si="41">H120/$H$178</f>
        <v>#DIV/0!</v>
      </c>
      <c r="X120" s="925" t="e">
        <f t="shared" ref="X120:X136" si="42">J120/$J$178</f>
        <v>#DIV/0!</v>
      </c>
      <c r="Y120" s="925">
        <f t="shared" ref="Y120:Y136" si="43">L120/$L$178</f>
        <v>302.28349090909092</v>
      </c>
      <c r="Z120" s="925">
        <f t="shared" ref="Z120:Z136" si="44">N120/$N$178</f>
        <v>308.32916072727272</v>
      </c>
    </row>
    <row r="121" spans="1:26" ht="15.75" x14ac:dyDescent="0.25">
      <c r="A121" s="712" t="str">
        <f>'Budget with Assumptions'!A121</f>
        <v>Repairs &amp; Maintenance</v>
      </c>
      <c r="B121" s="42"/>
      <c r="C121" s="42"/>
      <c r="D121" s="365">
        <f>'Budget with Assumptions'!J121</f>
        <v>0</v>
      </c>
      <c r="E121" s="901"/>
      <c r="F121" s="365">
        <f>'Budget with Assumptions'!L121</f>
        <v>0</v>
      </c>
      <c r="G121" s="901"/>
      <c r="H121" s="365">
        <f>'Budget with Assumptions'!N121</f>
        <v>0</v>
      </c>
      <c r="I121" s="901"/>
      <c r="J121" s="365">
        <f>'Budget with Assumptions'!P121</f>
        <v>0</v>
      </c>
      <c r="K121" s="902"/>
      <c r="L121" s="365">
        <f>'Budget with Assumptions'!R121</f>
        <v>24938.387999999999</v>
      </c>
      <c r="M121" s="890"/>
      <c r="N121" s="365">
        <f>'Budget with Assumptions'!T121</f>
        <v>25437.155759999998</v>
      </c>
      <c r="O121"/>
      <c r="P121" s="916" t="e">
        <f t="shared" si="35"/>
        <v>#DIV/0!</v>
      </c>
      <c r="Q121" s="916" t="e">
        <f t="shared" si="36"/>
        <v>#DIV/0!</v>
      </c>
      <c r="R121" s="916" t="e">
        <f t="shared" si="37"/>
        <v>#DIV/0!</v>
      </c>
      <c r="S121" s="916">
        <f t="shared" si="38"/>
        <v>1.3390434419687569E-2</v>
      </c>
      <c r="T121" s="916">
        <f t="shared" si="39"/>
        <v>1.3301268355136309E-2</v>
      </c>
      <c r="U121"/>
      <c r="V121" s="925" t="e">
        <f t="shared" si="40"/>
        <v>#DIV/0!</v>
      </c>
      <c r="W121" s="925" t="e">
        <f t="shared" si="41"/>
        <v>#DIV/0!</v>
      </c>
      <c r="X121" s="925" t="e">
        <f t="shared" si="42"/>
        <v>#DIV/0!</v>
      </c>
      <c r="Y121" s="925">
        <f t="shared" si="43"/>
        <v>151.14174545454546</v>
      </c>
      <c r="Z121" s="925">
        <f t="shared" si="44"/>
        <v>154.16458036363636</v>
      </c>
    </row>
    <row r="122" spans="1:26" ht="15.75" x14ac:dyDescent="0.25">
      <c r="A122" s="712" t="str">
        <f>'Budget with Assumptions'!A122</f>
        <v>Supplies</v>
      </c>
      <c r="B122" s="42"/>
      <c r="C122" s="42"/>
      <c r="D122" s="365">
        <f>'Budget with Assumptions'!J122</f>
        <v>0</v>
      </c>
      <c r="E122" s="901"/>
      <c r="F122" s="365">
        <f>'Budget with Assumptions'!L122</f>
        <v>0</v>
      </c>
      <c r="G122" s="901"/>
      <c r="H122" s="365">
        <f>'Budget with Assumptions'!N122</f>
        <v>0</v>
      </c>
      <c r="I122" s="901"/>
      <c r="J122" s="365">
        <f>'Budget with Assumptions'!P122</f>
        <v>0</v>
      </c>
      <c r="K122" s="902"/>
      <c r="L122" s="365">
        <f>'Budget with Assumptions'!R122</f>
        <v>1246.9194</v>
      </c>
      <c r="M122" s="890"/>
      <c r="N122" s="365">
        <f>'Budget with Assumptions'!T122</f>
        <v>1271.857788</v>
      </c>
      <c r="O122"/>
      <c r="P122" s="916" t="e">
        <f t="shared" si="35"/>
        <v>#DIV/0!</v>
      </c>
      <c r="Q122" s="916" t="e">
        <f t="shared" si="36"/>
        <v>#DIV/0!</v>
      </c>
      <c r="R122" s="916" t="e">
        <f t="shared" si="37"/>
        <v>#DIV/0!</v>
      </c>
      <c r="S122" s="916">
        <f t="shared" si="38"/>
        <v>6.695217209843785E-4</v>
      </c>
      <c r="T122" s="916">
        <f t="shared" si="39"/>
        <v>6.6506341775681549E-4</v>
      </c>
      <c r="U122"/>
      <c r="V122" s="925" t="e">
        <f t="shared" si="40"/>
        <v>#DIV/0!</v>
      </c>
      <c r="W122" s="925" t="e">
        <f t="shared" si="41"/>
        <v>#DIV/0!</v>
      </c>
      <c r="X122" s="925" t="e">
        <f t="shared" si="42"/>
        <v>#DIV/0!</v>
      </c>
      <c r="Y122" s="925">
        <f t="shared" si="43"/>
        <v>7.5570872727272729</v>
      </c>
      <c r="Z122" s="925">
        <f t="shared" si="44"/>
        <v>7.708229018181818</v>
      </c>
    </row>
    <row r="123" spans="1:26" ht="15.75" x14ac:dyDescent="0.25">
      <c r="A123" s="712" t="str">
        <f>'Budget with Assumptions'!A123</f>
        <v>Contracted Services-Security</v>
      </c>
      <c r="B123" s="42"/>
      <c r="C123" s="42"/>
      <c r="D123" s="365">
        <f>'Budget with Assumptions'!J123</f>
        <v>0</v>
      </c>
      <c r="E123" s="901"/>
      <c r="F123" s="365">
        <f>'Budget with Assumptions'!L123</f>
        <v>0</v>
      </c>
      <c r="G123" s="901"/>
      <c r="H123" s="365">
        <f>'Budget with Assumptions'!N123</f>
        <v>0</v>
      </c>
      <c r="I123" s="901"/>
      <c r="J123" s="365">
        <f>'Budget with Assumptions'!P123</f>
        <v>0</v>
      </c>
      <c r="K123" s="902"/>
      <c r="L123" s="365">
        <f>'Budget with Assumptions'!R123</f>
        <v>42395.259599999998</v>
      </c>
      <c r="M123" s="890"/>
      <c r="N123" s="365">
        <f>'Budget with Assumptions'!T123</f>
        <v>43243.164791999996</v>
      </c>
      <c r="O123"/>
      <c r="P123" s="916" t="e">
        <f t="shared" si="35"/>
        <v>#DIV/0!</v>
      </c>
      <c r="Q123" s="916" t="e">
        <f t="shared" si="36"/>
        <v>#DIV/0!</v>
      </c>
      <c r="R123" s="916" t="e">
        <f t="shared" si="37"/>
        <v>#DIV/0!</v>
      </c>
      <c r="S123" s="916">
        <f t="shared" si="38"/>
        <v>2.2763738513468867E-2</v>
      </c>
      <c r="T123" s="916">
        <f t="shared" si="39"/>
        <v>2.2612156203731724E-2</v>
      </c>
      <c r="U123"/>
      <c r="V123" s="925" t="e">
        <f t="shared" si="40"/>
        <v>#DIV/0!</v>
      </c>
      <c r="W123" s="925" t="e">
        <f t="shared" si="41"/>
        <v>#DIV/0!</v>
      </c>
      <c r="X123" s="925" t="e">
        <f t="shared" si="42"/>
        <v>#DIV/0!</v>
      </c>
      <c r="Y123" s="925">
        <f t="shared" si="43"/>
        <v>256.94096727272728</v>
      </c>
      <c r="Z123" s="925">
        <f t="shared" si="44"/>
        <v>262.0797866181818</v>
      </c>
    </row>
    <row r="124" spans="1:26" ht="15.75" x14ac:dyDescent="0.25">
      <c r="A124" s="712" t="str">
        <f>'Budget with Assumptions'!A124</f>
        <v>Contracted Services-Custodial</v>
      </c>
      <c r="B124" s="42"/>
      <c r="C124" s="42"/>
      <c r="D124" s="365">
        <f>'Budget with Assumptions'!J124</f>
        <v>0</v>
      </c>
      <c r="E124" s="901"/>
      <c r="F124" s="365">
        <f>'Budget with Assumptions'!L124</f>
        <v>0</v>
      </c>
      <c r="G124" s="901"/>
      <c r="H124" s="365">
        <f>'Budget with Assumptions'!N124</f>
        <v>0</v>
      </c>
      <c r="I124" s="901"/>
      <c r="J124" s="365">
        <f>'Budget with Assumptions'!P124</f>
        <v>0</v>
      </c>
      <c r="K124" s="902"/>
      <c r="L124" s="365">
        <f>'Budget with Assumptions'!R124</f>
        <v>37407.581999999995</v>
      </c>
      <c r="M124" s="890"/>
      <c r="N124" s="365">
        <f>'Budget with Assumptions'!T124</f>
        <v>38155.733639999999</v>
      </c>
      <c r="O124"/>
      <c r="P124" s="916" t="e">
        <f t="shared" si="35"/>
        <v>#DIV/0!</v>
      </c>
      <c r="Q124" s="916" t="e">
        <f t="shared" si="36"/>
        <v>#DIV/0!</v>
      </c>
      <c r="R124" s="916" t="e">
        <f t="shared" si="37"/>
        <v>#DIV/0!</v>
      </c>
      <c r="S124" s="916">
        <f t="shared" si="38"/>
        <v>2.008565162953135E-2</v>
      </c>
      <c r="T124" s="916">
        <f t="shared" si="39"/>
        <v>1.9951902532704464E-2</v>
      </c>
      <c r="U124"/>
      <c r="V124" s="925" t="e">
        <f t="shared" si="40"/>
        <v>#DIV/0!</v>
      </c>
      <c r="W124" s="925" t="e">
        <f t="shared" si="41"/>
        <v>#DIV/0!</v>
      </c>
      <c r="X124" s="925" t="e">
        <f t="shared" si="42"/>
        <v>#DIV/0!</v>
      </c>
      <c r="Y124" s="925">
        <f t="shared" si="43"/>
        <v>226.71261818181816</v>
      </c>
      <c r="Z124" s="925">
        <f t="shared" si="44"/>
        <v>231.24687054545453</v>
      </c>
    </row>
    <row r="125" spans="1:26" ht="15.75" x14ac:dyDescent="0.25">
      <c r="A125" s="712" t="str">
        <f>'Budget with Assumptions'!A125</f>
        <v>Contracted Services-(Trash Removal, Snow Removal, Grounds, etc.)</v>
      </c>
      <c r="B125" s="42"/>
      <c r="C125" s="42"/>
      <c r="D125" s="365">
        <f>'Budget with Assumptions'!J125</f>
        <v>0</v>
      </c>
      <c r="E125" s="901"/>
      <c r="F125" s="365">
        <f>'Budget with Assumptions'!L125</f>
        <v>0</v>
      </c>
      <c r="G125" s="901"/>
      <c r="H125" s="365">
        <f>'Budget with Assumptions'!N125</f>
        <v>0</v>
      </c>
      <c r="I125" s="901"/>
      <c r="J125" s="365">
        <f>'Budget with Assumptions'!P125</f>
        <v>0</v>
      </c>
      <c r="K125" s="902"/>
      <c r="L125" s="365">
        <f>'Budget with Assumptions'!R125</f>
        <v>9975.3552</v>
      </c>
      <c r="M125" s="890"/>
      <c r="N125" s="365">
        <f>'Budget with Assumptions'!T125</f>
        <v>10174.862304</v>
      </c>
      <c r="O125"/>
      <c r="P125" s="916" t="e">
        <f t="shared" si="35"/>
        <v>#DIV/0!</v>
      </c>
      <c r="Q125" s="916" t="e">
        <f t="shared" si="36"/>
        <v>#DIV/0!</v>
      </c>
      <c r="R125" s="916" t="e">
        <f t="shared" si="37"/>
        <v>#DIV/0!</v>
      </c>
      <c r="S125" s="916">
        <f t="shared" si="38"/>
        <v>5.356173767875028E-3</v>
      </c>
      <c r="T125" s="916">
        <f t="shared" si="39"/>
        <v>5.320507342054524E-3</v>
      </c>
      <c r="U125"/>
      <c r="V125" s="925" t="e">
        <f t="shared" si="40"/>
        <v>#DIV/0!</v>
      </c>
      <c r="W125" s="925" t="e">
        <f t="shared" si="41"/>
        <v>#DIV/0!</v>
      </c>
      <c r="X125" s="925" t="e">
        <f t="shared" si="42"/>
        <v>#DIV/0!</v>
      </c>
      <c r="Y125" s="925">
        <f t="shared" si="43"/>
        <v>60.456698181818183</v>
      </c>
      <c r="Z125" s="925">
        <f t="shared" si="44"/>
        <v>61.665832145454544</v>
      </c>
    </row>
    <row r="126" spans="1:26" ht="15.75" x14ac:dyDescent="0.25">
      <c r="A126" s="712" t="str">
        <f>'Budget with Assumptions'!A126</f>
        <v>Contracted Services-Other</v>
      </c>
      <c r="B126" s="42"/>
      <c r="C126" s="42"/>
      <c r="D126" s="365">
        <f>'Budget with Assumptions'!J126</f>
        <v>0</v>
      </c>
      <c r="E126" s="901"/>
      <c r="F126" s="365">
        <f>'Budget with Assumptions'!L126</f>
        <v>0</v>
      </c>
      <c r="G126" s="901"/>
      <c r="H126" s="365">
        <f>'Budget with Assumptions'!N126</f>
        <v>0</v>
      </c>
      <c r="I126" s="901"/>
      <c r="J126" s="365">
        <f>'Budget with Assumptions'!P126</f>
        <v>0</v>
      </c>
      <c r="K126" s="902"/>
      <c r="L126" s="365">
        <f>'Budget with Assumptions'!R126</f>
        <v>16209.9522</v>
      </c>
      <c r="M126" s="890"/>
      <c r="N126" s="365">
        <f>'Budget with Assumptions'!T126</f>
        <v>16534.151244000001</v>
      </c>
      <c r="O126"/>
      <c r="P126" s="916" t="e">
        <f t="shared" si="35"/>
        <v>#DIV/0!</v>
      </c>
      <c r="Q126" s="916" t="e">
        <f t="shared" si="36"/>
        <v>#DIV/0!</v>
      </c>
      <c r="R126" s="916" t="e">
        <f t="shared" si="37"/>
        <v>#DIV/0!</v>
      </c>
      <c r="S126" s="916">
        <f t="shared" si="38"/>
        <v>8.7037823727969203E-3</v>
      </c>
      <c r="T126" s="916">
        <f t="shared" si="39"/>
        <v>8.6458244308386008E-3</v>
      </c>
      <c r="U126"/>
      <c r="V126" s="925" t="e">
        <f t="shared" si="40"/>
        <v>#DIV/0!</v>
      </c>
      <c r="W126" s="925" t="e">
        <f t="shared" si="41"/>
        <v>#DIV/0!</v>
      </c>
      <c r="X126" s="925" t="e">
        <f t="shared" si="42"/>
        <v>#DIV/0!</v>
      </c>
      <c r="Y126" s="925">
        <f t="shared" si="43"/>
        <v>98.242134545454547</v>
      </c>
      <c r="Z126" s="925">
        <f t="shared" si="44"/>
        <v>100.20697723636364</v>
      </c>
    </row>
    <row r="127" spans="1:26" ht="15.75" x14ac:dyDescent="0.25">
      <c r="A127" s="712" t="str">
        <f>'Budget with Assumptions'!A127</f>
        <v>Insurance</v>
      </c>
      <c r="B127" s="46"/>
      <c r="C127" s="46"/>
      <c r="D127" s="365">
        <f>'Budget with Assumptions'!J127</f>
        <v>0</v>
      </c>
      <c r="E127" s="901"/>
      <c r="F127" s="365">
        <f>'Budget with Assumptions'!L127</f>
        <v>0</v>
      </c>
      <c r="G127" s="901"/>
      <c r="H127" s="365">
        <f>'Budget with Assumptions'!N127</f>
        <v>0</v>
      </c>
      <c r="I127" s="901"/>
      <c r="J127" s="365">
        <f>'Budget with Assumptions'!P127</f>
        <v>0</v>
      </c>
      <c r="K127" s="902"/>
      <c r="L127" s="365">
        <f>'Budget with Assumptions'!R127</f>
        <v>0</v>
      </c>
      <c r="M127" s="890"/>
      <c r="N127" s="365">
        <f>'Budget with Assumptions'!T127</f>
        <v>0</v>
      </c>
      <c r="O127"/>
      <c r="P127" s="916" t="e">
        <f t="shared" si="35"/>
        <v>#DIV/0!</v>
      </c>
      <c r="Q127" s="916" t="e">
        <f t="shared" si="36"/>
        <v>#DIV/0!</v>
      </c>
      <c r="R127" s="916" t="e">
        <f t="shared" si="37"/>
        <v>#DIV/0!</v>
      </c>
      <c r="S127" s="916">
        <f t="shared" si="38"/>
        <v>0</v>
      </c>
      <c r="T127" s="916">
        <f t="shared" si="39"/>
        <v>0</v>
      </c>
      <c r="U127"/>
      <c r="V127" s="925" t="e">
        <f t="shared" si="40"/>
        <v>#DIV/0!</v>
      </c>
      <c r="W127" s="925" t="e">
        <f t="shared" si="41"/>
        <v>#DIV/0!</v>
      </c>
      <c r="X127" s="925" t="e">
        <f t="shared" si="42"/>
        <v>#DIV/0!</v>
      </c>
      <c r="Y127" s="925">
        <f t="shared" si="43"/>
        <v>0</v>
      </c>
      <c r="Z127" s="925">
        <f t="shared" si="44"/>
        <v>0</v>
      </c>
    </row>
    <row r="128" spans="1:26" ht="15.75" x14ac:dyDescent="0.25">
      <c r="A128" s="712" t="str">
        <f>'Budget with Assumptions'!A128</f>
        <v>Facility Loan Debt Service (P &amp; I)</v>
      </c>
      <c r="B128" s="46"/>
      <c r="C128" s="46"/>
      <c r="D128" s="365">
        <f>'Budget with Assumptions'!J128</f>
        <v>0</v>
      </c>
      <c r="E128" s="901"/>
      <c r="F128" s="365">
        <f>'Budget with Assumptions'!L128</f>
        <v>0</v>
      </c>
      <c r="G128" s="901"/>
      <c r="H128" s="365">
        <f>'Budget with Assumptions'!N128</f>
        <v>0</v>
      </c>
      <c r="I128" s="901"/>
      <c r="J128" s="365">
        <f>'Budget with Assumptions'!P128</f>
        <v>0</v>
      </c>
      <c r="K128" s="902"/>
      <c r="L128" s="365">
        <f>'Budget with Assumptions'!R128</f>
        <v>9646.5325853411468</v>
      </c>
      <c r="M128" s="890"/>
      <c r="N128" s="365">
        <f>'Budget with Assumptions'!T128</f>
        <v>9646.5325853411468</v>
      </c>
      <c r="O128"/>
      <c r="P128" s="916" t="e">
        <f t="shared" si="35"/>
        <v>#DIV/0!</v>
      </c>
      <c r="Q128" s="916" t="e">
        <f t="shared" si="36"/>
        <v>#DIV/0!</v>
      </c>
      <c r="R128" s="916" t="e">
        <f t="shared" si="37"/>
        <v>#DIV/0!</v>
      </c>
      <c r="S128" s="916">
        <f t="shared" si="38"/>
        <v>5.179615537355093E-3</v>
      </c>
      <c r="T128" s="916">
        <f t="shared" si="39"/>
        <v>5.0442400017048699E-3</v>
      </c>
      <c r="U128"/>
      <c r="V128" s="925" t="e">
        <f t="shared" si="40"/>
        <v>#DIV/0!</v>
      </c>
      <c r="W128" s="925" t="e">
        <f t="shared" si="41"/>
        <v>#DIV/0!</v>
      </c>
      <c r="X128" s="925" t="e">
        <f t="shared" si="42"/>
        <v>#DIV/0!</v>
      </c>
      <c r="Y128" s="925">
        <f t="shared" si="43"/>
        <v>58.463833850552405</v>
      </c>
      <c r="Z128" s="925">
        <f t="shared" si="44"/>
        <v>58.463833850552405</v>
      </c>
    </row>
    <row r="129" spans="1:26" ht="15.75" x14ac:dyDescent="0.25">
      <c r="A129" s="712">
        <f>'Budget with Assumptions'!A129</f>
        <v>0</v>
      </c>
      <c r="B129" s="46"/>
      <c r="C129" s="46"/>
      <c r="D129" s="365">
        <f>'Budget with Assumptions'!J129</f>
        <v>0</v>
      </c>
      <c r="E129" s="901"/>
      <c r="F129" s="365">
        <f>'Budget with Assumptions'!L129</f>
        <v>0</v>
      </c>
      <c r="G129" s="901"/>
      <c r="H129" s="365">
        <f>'Budget with Assumptions'!N129</f>
        <v>0</v>
      </c>
      <c r="I129" s="901"/>
      <c r="J129" s="365">
        <f>'Budget with Assumptions'!P129</f>
        <v>0</v>
      </c>
      <c r="K129" s="902"/>
      <c r="L129" s="365">
        <f>'Budget with Assumptions'!R129</f>
        <v>0</v>
      </c>
      <c r="M129" s="890"/>
      <c r="N129" s="365">
        <f>'Budget with Assumptions'!T129</f>
        <v>0</v>
      </c>
      <c r="O129"/>
      <c r="P129" s="916" t="e">
        <f t="shared" si="35"/>
        <v>#DIV/0!</v>
      </c>
      <c r="Q129" s="916" t="e">
        <f t="shared" si="36"/>
        <v>#DIV/0!</v>
      </c>
      <c r="R129" s="916" t="e">
        <f t="shared" si="37"/>
        <v>#DIV/0!</v>
      </c>
      <c r="S129" s="916">
        <f t="shared" si="38"/>
        <v>0</v>
      </c>
      <c r="T129" s="916">
        <f t="shared" si="39"/>
        <v>0</v>
      </c>
      <c r="U129"/>
      <c r="V129" s="925" t="e">
        <f t="shared" si="40"/>
        <v>#DIV/0!</v>
      </c>
      <c r="W129" s="925" t="e">
        <f t="shared" si="41"/>
        <v>#DIV/0!</v>
      </c>
      <c r="X129" s="925" t="e">
        <f t="shared" si="42"/>
        <v>#DIV/0!</v>
      </c>
      <c r="Y129" s="925">
        <f t="shared" si="43"/>
        <v>0</v>
      </c>
      <c r="Z129" s="925">
        <f t="shared" si="44"/>
        <v>0</v>
      </c>
    </row>
    <row r="130" spans="1:26" ht="15.75" x14ac:dyDescent="0.25">
      <c r="A130" s="712">
        <f>'Budget with Assumptions'!A130</f>
        <v>0</v>
      </c>
      <c r="B130" s="46"/>
      <c r="C130" s="46"/>
      <c r="D130" s="365">
        <f>'Budget with Assumptions'!J130</f>
        <v>0</v>
      </c>
      <c r="E130" s="901"/>
      <c r="F130" s="365">
        <f>'Budget with Assumptions'!L130</f>
        <v>0</v>
      </c>
      <c r="G130" s="901"/>
      <c r="H130" s="365">
        <f>'Budget with Assumptions'!N130</f>
        <v>0</v>
      </c>
      <c r="I130" s="901"/>
      <c r="J130" s="365">
        <f>'Budget with Assumptions'!P130</f>
        <v>0</v>
      </c>
      <c r="K130" s="902"/>
      <c r="L130" s="365">
        <f>'Budget with Assumptions'!R130</f>
        <v>0</v>
      </c>
      <c r="M130" s="890"/>
      <c r="N130" s="365">
        <f>'Budget with Assumptions'!T130</f>
        <v>0</v>
      </c>
      <c r="O130"/>
      <c r="P130" s="916" t="e">
        <f t="shared" si="35"/>
        <v>#DIV/0!</v>
      </c>
      <c r="Q130" s="916" t="e">
        <f t="shared" si="36"/>
        <v>#DIV/0!</v>
      </c>
      <c r="R130" s="916" t="e">
        <f t="shared" si="37"/>
        <v>#DIV/0!</v>
      </c>
      <c r="S130" s="916">
        <f t="shared" si="38"/>
        <v>0</v>
      </c>
      <c r="T130" s="916">
        <f t="shared" si="39"/>
        <v>0</v>
      </c>
      <c r="U130"/>
      <c r="V130" s="925" t="e">
        <f t="shared" si="40"/>
        <v>#DIV/0!</v>
      </c>
      <c r="W130" s="925" t="e">
        <f t="shared" si="41"/>
        <v>#DIV/0!</v>
      </c>
      <c r="X130" s="925" t="e">
        <f t="shared" si="42"/>
        <v>#DIV/0!</v>
      </c>
      <c r="Y130" s="925">
        <f t="shared" si="43"/>
        <v>0</v>
      </c>
      <c r="Z130" s="925">
        <f t="shared" si="44"/>
        <v>0</v>
      </c>
    </row>
    <row r="131" spans="1:26" ht="15.75" x14ac:dyDescent="0.25">
      <c r="A131" s="712">
        <f>'Budget with Assumptions'!A131</f>
        <v>0</v>
      </c>
      <c r="B131" s="46"/>
      <c r="C131" s="46"/>
      <c r="D131" s="365">
        <f>'Budget with Assumptions'!J131</f>
        <v>0</v>
      </c>
      <c r="E131" s="901"/>
      <c r="F131" s="365">
        <f>'Budget with Assumptions'!L131</f>
        <v>0</v>
      </c>
      <c r="G131" s="901"/>
      <c r="H131" s="365">
        <f>'Budget with Assumptions'!N131</f>
        <v>0</v>
      </c>
      <c r="I131" s="901"/>
      <c r="J131" s="365">
        <f>'Budget with Assumptions'!P131</f>
        <v>0</v>
      </c>
      <c r="K131" s="902"/>
      <c r="L131" s="365">
        <f>'Budget with Assumptions'!R131</f>
        <v>0</v>
      </c>
      <c r="M131" s="890"/>
      <c r="N131" s="365">
        <f>'Budget with Assumptions'!T131</f>
        <v>0</v>
      </c>
      <c r="O131"/>
      <c r="P131" s="916" t="e">
        <f t="shared" si="35"/>
        <v>#DIV/0!</v>
      </c>
      <c r="Q131" s="916" t="e">
        <f t="shared" si="36"/>
        <v>#DIV/0!</v>
      </c>
      <c r="R131" s="916" t="e">
        <f t="shared" si="37"/>
        <v>#DIV/0!</v>
      </c>
      <c r="S131" s="916">
        <f t="shared" si="38"/>
        <v>0</v>
      </c>
      <c r="T131" s="916">
        <f t="shared" si="39"/>
        <v>0</v>
      </c>
      <c r="U131"/>
      <c r="V131" s="925" t="e">
        <f t="shared" si="40"/>
        <v>#DIV/0!</v>
      </c>
      <c r="W131" s="925" t="e">
        <f t="shared" si="41"/>
        <v>#DIV/0!</v>
      </c>
      <c r="X131" s="925" t="e">
        <f t="shared" si="42"/>
        <v>#DIV/0!</v>
      </c>
      <c r="Y131" s="925">
        <f t="shared" si="43"/>
        <v>0</v>
      </c>
      <c r="Z131" s="925">
        <f t="shared" si="44"/>
        <v>0</v>
      </c>
    </row>
    <row r="132" spans="1:26" ht="15.75" x14ac:dyDescent="0.25">
      <c r="A132" s="712">
        <f>'Budget with Assumptions'!A132</f>
        <v>0</v>
      </c>
      <c r="B132" s="46"/>
      <c r="C132" s="46"/>
      <c r="D132" s="365">
        <f>'Budget with Assumptions'!J132</f>
        <v>0</v>
      </c>
      <c r="E132" s="901"/>
      <c r="F132" s="365">
        <f>'Budget with Assumptions'!L132</f>
        <v>0</v>
      </c>
      <c r="G132" s="901"/>
      <c r="H132" s="365">
        <f>'Budget with Assumptions'!N132</f>
        <v>0</v>
      </c>
      <c r="I132" s="901"/>
      <c r="J132" s="365">
        <f>'Budget with Assumptions'!P132</f>
        <v>0</v>
      </c>
      <c r="K132" s="902"/>
      <c r="L132" s="365">
        <f>'Budget with Assumptions'!R132</f>
        <v>0</v>
      </c>
      <c r="M132" s="890"/>
      <c r="N132" s="365">
        <f>'Budget with Assumptions'!T132</f>
        <v>0</v>
      </c>
      <c r="O132"/>
      <c r="P132" s="916" t="e">
        <f t="shared" si="35"/>
        <v>#DIV/0!</v>
      </c>
      <c r="Q132" s="916" t="e">
        <f t="shared" si="36"/>
        <v>#DIV/0!</v>
      </c>
      <c r="R132" s="916" t="e">
        <f t="shared" si="37"/>
        <v>#DIV/0!</v>
      </c>
      <c r="S132" s="916">
        <f t="shared" si="38"/>
        <v>0</v>
      </c>
      <c r="T132" s="916">
        <f t="shared" si="39"/>
        <v>0</v>
      </c>
      <c r="U132"/>
      <c r="V132" s="925" t="e">
        <f t="shared" si="40"/>
        <v>#DIV/0!</v>
      </c>
      <c r="W132" s="925" t="e">
        <f t="shared" si="41"/>
        <v>#DIV/0!</v>
      </c>
      <c r="X132" s="925" t="e">
        <f t="shared" si="42"/>
        <v>#DIV/0!</v>
      </c>
      <c r="Y132" s="925">
        <f t="shared" si="43"/>
        <v>0</v>
      </c>
      <c r="Z132" s="925">
        <f t="shared" si="44"/>
        <v>0</v>
      </c>
    </row>
    <row r="133" spans="1:26" ht="15.75" x14ac:dyDescent="0.25">
      <c r="A133" s="712">
        <f>'Budget with Assumptions'!A133</f>
        <v>0</v>
      </c>
      <c r="B133" s="46"/>
      <c r="C133" s="46"/>
      <c r="D133" s="365">
        <f>'Budget with Assumptions'!J133</f>
        <v>0</v>
      </c>
      <c r="E133" s="901"/>
      <c r="F133" s="365">
        <f>'Budget with Assumptions'!L133</f>
        <v>0</v>
      </c>
      <c r="G133" s="901"/>
      <c r="H133" s="365">
        <f>'Budget with Assumptions'!N133</f>
        <v>0</v>
      </c>
      <c r="I133" s="901"/>
      <c r="J133" s="365">
        <f>'Budget with Assumptions'!P133</f>
        <v>0</v>
      </c>
      <c r="K133" s="902"/>
      <c r="L133" s="365">
        <f>'Budget with Assumptions'!R133</f>
        <v>0</v>
      </c>
      <c r="M133" s="890"/>
      <c r="N133" s="365">
        <f>'Budget with Assumptions'!T133</f>
        <v>0</v>
      </c>
      <c r="O133"/>
      <c r="P133" s="916" t="e">
        <f t="shared" si="35"/>
        <v>#DIV/0!</v>
      </c>
      <c r="Q133" s="916" t="e">
        <f t="shared" si="36"/>
        <v>#DIV/0!</v>
      </c>
      <c r="R133" s="916" t="e">
        <f t="shared" si="37"/>
        <v>#DIV/0!</v>
      </c>
      <c r="S133" s="916">
        <f t="shared" si="38"/>
        <v>0</v>
      </c>
      <c r="T133" s="916">
        <f t="shared" si="39"/>
        <v>0</v>
      </c>
      <c r="U133"/>
      <c r="V133" s="925" t="e">
        <f t="shared" si="40"/>
        <v>#DIV/0!</v>
      </c>
      <c r="W133" s="925" t="e">
        <f t="shared" si="41"/>
        <v>#DIV/0!</v>
      </c>
      <c r="X133" s="925" t="e">
        <f t="shared" si="42"/>
        <v>#DIV/0!</v>
      </c>
      <c r="Y133" s="925">
        <f t="shared" si="43"/>
        <v>0</v>
      </c>
      <c r="Z133" s="925">
        <f t="shared" si="44"/>
        <v>0</v>
      </c>
    </row>
    <row r="134" spans="1:26" ht="15.75" x14ac:dyDescent="0.25">
      <c r="A134" s="712">
        <f>'Budget with Assumptions'!A134</f>
        <v>0</v>
      </c>
      <c r="B134" s="46"/>
      <c r="C134" s="46"/>
      <c r="D134" s="365">
        <f>'Budget with Assumptions'!J134</f>
        <v>0</v>
      </c>
      <c r="E134" s="901"/>
      <c r="F134" s="365">
        <f>'Budget with Assumptions'!L134</f>
        <v>0</v>
      </c>
      <c r="G134" s="901"/>
      <c r="H134" s="365">
        <f>'Budget with Assumptions'!N134</f>
        <v>0</v>
      </c>
      <c r="I134" s="901"/>
      <c r="J134" s="365">
        <f>'Budget with Assumptions'!P134</f>
        <v>0</v>
      </c>
      <c r="K134" s="902"/>
      <c r="L134" s="365">
        <f>'Budget with Assumptions'!R134</f>
        <v>0</v>
      </c>
      <c r="M134" s="890"/>
      <c r="N134" s="365">
        <f>'Budget with Assumptions'!T134</f>
        <v>0</v>
      </c>
      <c r="O134"/>
      <c r="P134" s="916" t="e">
        <f t="shared" si="35"/>
        <v>#DIV/0!</v>
      </c>
      <c r="Q134" s="916" t="e">
        <f t="shared" si="36"/>
        <v>#DIV/0!</v>
      </c>
      <c r="R134" s="916" t="e">
        <f t="shared" si="37"/>
        <v>#DIV/0!</v>
      </c>
      <c r="S134" s="916">
        <f t="shared" si="38"/>
        <v>0</v>
      </c>
      <c r="T134" s="916">
        <f t="shared" si="39"/>
        <v>0</v>
      </c>
      <c r="U134"/>
      <c r="V134" s="925" t="e">
        <f t="shared" si="40"/>
        <v>#DIV/0!</v>
      </c>
      <c r="W134" s="925" t="e">
        <f t="shared" si="41"/>
        <v>#DIV/0!</v>
      </c>
      <c r="X134" s="925" t="e">
        <f t="shared" si="42"/>
        <v>#DIV/0!</v>
      </c>
      <c r="Y134" s="925">
        <f t="shared" si="43"/>
        <v>0</v>
      </c>
      <c r="Z134" s="925">
        <f t="shared" si="44"/>
        <v>0</v>
      </c>
    </row>
    <row r="135" spans="1:26" ht="15.75" x14ac:dyDescent="0.25">
      <c r="A135" s="712">
        <f>'Budget with Assumptions'!A135</f>
        <v>0</v>
      </c>
      <c r="B135" s="46"/>
      <c r="C135" s="46"/>
      <c r="D135" s="365">
        <f>'Budget with Assumptions'!J135</f>
        <v>0</v>
      </c>
      <c r="E135" s="901"/>
      <c r="F135" s="365">
        <f>'Budget with Assumptions'!L135</f>
        <v>0</v>
      </c>
      <c r="G135" s="901"/>
      <c r="H135" s="365">
        <f>'Budget with Assumptions'!N135</f>
        <v>0</v>
      </c>
      <c r="I135" s="901"/>
      <c r="J135" s="365">
        <f>'Budget with Assumptions'!P135</f>
        <v>0</v>
      </c>
      <c r="K135" s="902"/>
      <c r="L135" s="365">
        <f>'Budget with Assumptions'!R135</f>
        <v>0</v>
      </c>
      <c r="M135" s="890"/>
      <c r="N135" s="365">
        <f>'Budget with Assumptions'!T135</f>
        <v>0</v>
      </c>
      <c r="O135"/>
      <c r="P135" s="916" t="e">
        <f t="shared" si="35"/>
        <v>#DIV/0!</v>
      </c>
      <c r="Q135" s="916" t="e">
        <f t="shared" si="36"/>
        <v>#DIV/0!</v>
      </c>
      <c r="R135" s="916" t="e">
        <f t="shared" si="37"/>
        <v>#DIV/0!</v>
      </c>
      <c r="S135" s="916">
        <f t="shared" si="38"/>
        <v>0</v>
      </c>
      <c r="T135" s="916">
        <f t="shared" si="39"/>
        <v>0</v>
      </c>
      <c r="U135"/>
      <c r="V135" s="925" t="e">
        <f t="shared" si="40"/>
        <v>#DIV/0!</v>
      </c>
      <c r="W135" s="925" t="e">
        <f t="shared" si="41"/>
        <v>#DIV/0!</v>
      </c>
      <c r="X135" s="925" t="e">
        <f t="shared" si="42"/>
        <v>#DIV/0!</v>
      </c>
      <c r="Y135" s="925">
        <f t="shared" si="43"/>
        <v>0</v>
      </c>
      <c r="Z135" s="925">
        <f t="shared" si="44"/>
        <v>0</v>
      </c>
    </row>
    <row r="136" spans="1:26" ht="15.75" x14ac:dyDescent="0.25">
      <c r="A136" s="712">
        <f>'Budget with Assumptions'!A136</f>
        <v>0</v>
      </c>
      <c r="B136" s="46"/>
      <c r="C136" s="46"/>
      <c r="D136" s="365">
        <f>'Budget with Assumptions'!J136</f>
        <v>0</v>
      </c>
      <c r="E136" s="901"/>
      <c r="F136" s="365">
        <f>'Budget with Assumptions'!L136</f>
        <v>0</v>
      </c>
      <c r="G136" s="901"/>
      <c r="H136" s="365">
        <f>'Budget with Assumptions'!N136</f>
        <v>0</v>
      </c>
      <c r="I136" s="901"/>
      <c r="J136" s="365">
        <f>'Budget with Assumptions'!P136</f>
        <v>0</v>
      </c>
      <c r="K136" s="902"/>
      <c r="L136" s="365">
        <f>'Budget with Assumptions'!R136</f>
        <v>0</v>
      </c>
      <c r="M136" s="890"/>
      <c r="N136" s="365">
        <f>'Budget with Assumptions'!T136</f>
        <v>0</v>
      </c>
      <c r="O136"/>
      <c r="P136" s="916" t="e">
        <f t="shared" si="35"/>
        <v>#DIV/0!</v>
      </c>
      <c r="Q136" s="916" t="e">
        <f t="shared" si="36"/>
        <v>#DIV/0!</v>
      </c>
      <c r="R136" s="916" t="e">
        <f t="shared" si="37"/>
        <v>#DIV/0!</v>
      </c>
      <c r="S136" s="916">
        <f t="shared" si="38"/>
        <v>0</v>
      </c>
      <c r="T136" s="916">
        <f t="shared" si="39"/>
        <v>0</v>
      </c>
      <c r="U136"/>
      <c r="V136" s="925" t="e">
        <f t="shared" si="40"/>
        <v>#DIV/0!</v>
      </c>
      <c r="W136" s="925" t="e">
        <f t="shared" si="41"/>
        <v>#DIV/0!</v>
      </c>
      <c r="X136" s="925" t="e">
        <f t="shared" si="42"/>
        <v>#DIV/0!</v>
      </c>
      <c r="Y136" s="925">
        <f t="shared" si="43"/>
        <v>0</v>
      </c>
      <c r="Z136" s="925">
        <f t="shared" si="44"/>
        <v>0</v>
      </c>
    </row>
    <row r="137" spans="1:26" ht="16.5" thickBot="1" x14ac:dyDescent="0.3">
      <c r="A137" s="45"/>
      <c r="B137" s="46"/>
      <c r="C137" s="46"/>
      <c r="D137" s="908"/>
      <c r="E137" s="901"/>
      <c r="F137" s="908"/>
      <c r="G137" s="901"/>
      <c r="H137" s="908"/>
      <c r="I137" s="901"/>
      <c r="J137" s="908"/>
      <c r="K137" s="902"/>
      <c r="L137" s="882"/>
      <c r="M137" s="890"/>
      <c r="N137" s="882"/>
      <c r="O137"/>
      <c r="P137" s="917"/>
      <c r="Q137" s="917"/>
      <c r="R137" s="917"/>
      <c r="S137" s="917"/>
      <c r="T137" s="917"/>
      <c r="U137"/>
      <c r="V137" s="743"/>
      <c r="W137" s="743"/>
      <c r="X137" s="743"/>
      <c r="Y137" s="743"/>
      <c r="Z137" s="743"/>
    </row>
    <row r="138" spans="1:26" ht="16.5" thickBot="1" x14ac:dyDescent="0.3">
      <c r="A138" s="384" t="str">
        <f>'Budget with Assumptions'!H138</f>
        <v>Total Occupancy</v>
      </c>
      <c r="B138" s="46"/>
      <c r="C138" s="46"/>
      <c r="D138" s="487">
        <f>SUM(D119:D136)</f>
        <v>0</v>
      </c>
      <c r="E138" s="361"/>
      <c r="F138" s="487">
        <f>SUM(F119:F136)</f>
        <v>0</v>
      </c>
      <c r="G138" s="361"/>
      <c r="H138" s="487">
        <f>SUM(H119:H136)</f>
        <v>0</v>
      </c>
      <c r="I138" s="361"/>
      <c r="J138" s="487">
        <f>SUM(J119:J136)</f>
        <v>0</v>
      </c>
      <c r="K138" s="362"/>
      <c r="L138" s="487">
        <f>SUM(L119:L136)</f>
        <v>379696.76498534111</v>
      </c>
      <c r="M138" s="875"/>
      <c r="N138" s="487">
        <f>SUM(N119:N136)</f>
        <v>383337.76963334111</v>
      </c>
      <c r="O138"/>
      <c r="P138" s="706" t="e">
        <f>SUM(P119:P136)</f>
        <v>#DIV/0!</v>
      </c>
      <c r="Q138" s="706" t="e">
        <f>SUM(Q119:Q136)</f>
        <v>#DIV/0!</v>
      </c>
      <c r="R138" s="706" t="e">
        <f>SUM(R119:R136)</f>
        <v>#DIV/0!</v>
      </c>
      <c r="S138" s="706">
        <f>SUM(S119:S136)</f>
        <v>0.20387463018474708</v>
      </c>
      <c r="T138" s="706">
        <f>SUM(T119:T136)</f>
        <v>0.20045002643615109</v>
      </c>
      <c r="U138"/>
      <c r="V138" s="708" t="e">
        <f>SUM(V119:V136)</f>
        <v>#DIV/0!</v>
      </c>
      <c r="W138" s="708" t="e">
        <f>SUM(W119:W136)</f>
        <v>#DIV/0!</v>
      </c>
      <c r="X138" s="708" t="e">
        <f>SUM(X119:X136)</f>
        <v>#DIV/0!</v>
      </c>
      <c r="Y138" s="708">
        <f>SUM(Y119:Y136)</f>
        <v>2301.1925150626739</v>
      </c>
      <c r="Z138" s="708">
        <f>SUM(Z119:Z136)</f>
        <v>2323.2592098990376</v>
      </c>
    </row>
    <row r="139" spans="1:26" ht="16.5" thickBot="1" x14ac:dyDescent="0.3">
      <c r="A139" s="57"/>
      <c r="B139" s="38"/>
      <c r="C139" s="38"/>
      <c r="D139" s="908"/>
      <c r="E139" s="909"/>
      <c r="F139" s="908"/>
      <c r="G139" s="909"/>
      <c r="H139" s="908"/>
      <c r="I139" s="909"/>
      <c r="J139" s="908"/>
      <c r="K139" s="910"/>
      <c r="L139" s="882"/>
      <c r="M139" s="884"/>
      <c r="N139" s="882"/>
      <c r="O139"/>
      <c r="P139" s="917"/>
      <c r="Q139" s="917"/>
      <c r="R139" s="917"/>
      <c r="S139" s="917"/>
      <c r="T139" s="917"/>
      <c r="U139"/>
      <c r="V139" s="743"/>
      <c r="W139" s="743"/>
      <c r="X139" s="743"/>
      <c r="Y139" s="743"/>
      <c r="Z139" s="743"/>
    </row>
    <row r="140" spans="1:26" ht="16.5" thickBot="1" x14ac:dyDescent="0.3">
      <c r="A140" s="289" t="str">
        <f>'Budget with Assumptions'!H140</f>
        <v>Education Management Organization Fee</v>
      </c>
      <c r="B140" s="58"/>
      <c r="C140" s="58"/>
      <c r="D140" s="365">
        <f>'Budget with Assumptions'!J140</f>
        <v>0</v>
      </c>
      <c r="E140" s="361"/>
      <c r="F140" s="365">
        <f>'Budget with Assumptions'!L140</f>
        <v>0</v>
      </c>
      <c r="G140" s="901"/>
      <c r="H140" s="365">
        <f>'Budget with Assumptions'!N140</f>
        <v>0</v>
      </c>
      <c r="I140" s="901"/>
      <c r="J140" s="365">
        <f>'Budget with Assumptions'!P140</f>
        <v>0</v>
      </c>
      <c r="K140" s="902"/>
      <c r="L140" s="365">
        <f>'Budget with Assumptions'!R140</f>
        <v>0</v>
      </c>
      <c r="M140" s="890"/>
      <c r="N140" s="365">
        <f>'Budget with Assumptions'!T140</f>
        <v>0</v>
      </c>
      <c r="O140"/>
      <c r="P140" s="918" t="e">
        <f>F140/$F$159</f>
        <v>#DIV/0!</v>
      </c>
      <c r="Q140" s="918" t="e">
        <f>H140/$H$159</f>
        <v>#DIV/0!</v>
      </c>
      <c r="R140" s="918" t="e">
        <f>J140/$J$159</f>
        <v>#DIV/0!</v>
      </c>
      <c r="S140" s="918">
        <f>L140/$L$159</f>
        <v>0</v>
      </c>
      <c r="T140" s="918">
        <f>N140/$N$159</f>
        <v>0</v>
      </c>
      <c r="U140"/>
      <c r="V140" s="923" t="e">
        <f>F140/$F$178</f>
        <v>#DIV/0!</v>
      </c>
      <c r="W140" s="923" t="e">
        <f>H140/$H$178</f>
        <v>#DIV/0!</v>
      </c>
      <c r="X140" s="923" t="e">
        <f>J140/$J$178</f>
        <v>#DIV/0!</v>
      </c>
      <c r="Y140" s="923">
        <f>L140/$L$178</f>
        <v>0</v>
      </c>
      <c r="Z140" s="923">
        <f>N140/$N$178</f>
        <v>0</v>
      </c>
    </row>
    <row r="141" spans="1:26" ht="18.75" customHeight="1" thickBot="1" x14ac:dyDescent="0.3">
      <c r="A141" s="57"/>
      <c r="B141" s="38"/>
      <c r="C141" s="38"/>
      <c r="D141" s="743"/>
      <c r="E141" s="743"/>
      <c r="F141" s="743"/>
      <c r="G141" s="743"/>
      <c r="H141" s="743"/>
      <c r="I141" s="743"/>
      <c r="J141" s="743"/>
      <c r="K141" s="876"/>
      <c r="L141" s="743"/>
      <c r="M141" s="876"/>
      <c r="N141" s="743"/>
      <c r="P141" s="917"/>
      <c r="Q141" s="917"/>
      <c r="R141" s="917"/>
      <c r="S141" s="917"/>
      <c r="T141" s="917"/>
      <c r="V141" s="743"/>
      <c r="W141" s="743"/>
      <c r="X141" s="743"/>
      <c r="Y141" s="743"/>
      <c r="Z141" s="743"/>
    </row>
    <row r="142" spans="1:26" ht="18.75" thickBot="1" x14ac:dyDescent="0.3">
      <c r="A142" s="705" t="s">
        <v>242</v>
      </c>
      <c r="B142" s="58"/>
      <c r="C142" s="58"/>
      <c r="D142" s="908"/>
      <c r="E142" s="909"/>
      <c r="F142" s="908"/>
      <c r="G142" s="909"/>
      <c r="H142" s="908"/>
      <c r="I142" s="909"/>
      <c r="J142" s="908"/>
      <c r="K142" s="910"/>
      <c r="L142" s="882"/>
      <c r="M142" s="884"/>
      <c r="N142" s="882"/>
      <c r="O142"/>
      <c r="P142" s="917"/>
      <c r="Q142" s="917"/>
      <c r="R142" s="917"/>
      <c r="S142" s="917"/>
      <c r="T142" s="917"/>
      <c r="U142"/>
      <c r="V142" s="743"/>
      <c r="W142" s="743"/>
      <c r="X142" s="743"/>
      <c r="Y142" s="743"/>
      <c r="Z142" s="743"/>
    </row>
    <row r="143" spans="1:26" ht="18.75" customHeight="1" x14ac:dyDescent="0.25">
      <c r="A143" s="712" t="str">
        <f>'Budget with Assumptions'!A143</f>
        <v>Insurance</v>
      </c>
      <c r="B143" s="55"/>
      <c r="C143" s="55"/>
      <c r="D143" s="365">
        <f>'Budget with Assumptions'!J143</f>
        <v>0</v>
      </c>
      <c r="E143" s="901"/>
      <c r="F143" s="365">
        <f>'Budget with Assumptions'!L143</f>
        <v>0</v>
      </c>
      <c r="G143" s="901"/>
      <c r="H143" s="365">
        <f>'Budget with Assumptions'!N143</f>
        <v>0</v>
      </c>
      <c r="I143" s="901"/>
      <c r="J143" s="365">
        <f>'Budget with Assumptions'!P143</f>
        <v>0</v>
      </c>
      <c r="K143" s="902"/>
      <c r="L143" s="365">
        <f>'Budget with Assumptions'!R143</f>
        <v>11550</v>
      </c>
      <c r="M143" s="890"/>
      <c r="N143" s="365">
        <f>'Budget with Assumptions'!T143</f>
        <v>11550</v>
      </c>
      <c r="O143"/>
      <c r="P143" s="916" t="e">
        <f>F143/$F$159</f>
        <v>#DIV/0!</v>
      </c>
      <c r="Q143" s="916" t="e">
        <f>H143/$H$159</f>
        <v>#DIV/0!</v>
      </c>
      <c r="R143" s="916" t="e">
        <f>J143/$J$159</f>
        <v>#DIV/0!</v>
      </c>
      <c r="S143" s="916">
        <f>L143/$L$159</f>
        <v>6.2016645802203188E-3</v>
      </c>
      <c r="T143" s="916">
        <f>N143/$N$159</f>
        <v>6.0395765529496596E-3</v>
      </c>
      <c r="U143"/>
      <c r="V143" s="925" t="e">
        <f>F143/$F$178</f>
        <v>#DIV/0!</v>
      </c>
      <c r="W143" s="925" t="e">
        <f>H143/$H$178</f>
        <v>#DIV/0!</v>
      </c>
      <c r="X143" s="925" t="e">
        <f>J143/$J$178</f>
        <v>#DIV/0!</v>
      </c>
      <c r="Y143" s="925">
        <f>L143/$L$178</f>
        <v>70</v>
      </c>
      <c r="Z143" s="925">
        <f>N143/$N$178</f>
        <v>70</v>
      </c>
    </row>
    <row r="144" spans="1:26" ht="15.75" x14ac:dyDescent="0.25">
      <c r="A144" s="712" t="str">
        <f>'Budget with Assumptions'!A144</f>
        <v>Non-Facility Loan Payments (P &amp; I)</v>
      </c>
      <c r="B144" s="42"/>
      <c r="C144" s="42"/>
      <c r="D144" s="365">
        <f>'Budget with Assumptions'!J144</f>
        <v>0</v>
      </c>
      <c r="E144" s="901"/>
      <c r="F144" s="365">
        <f>'Budget with Assumptions'!L144</f>
        <v>0</v>
      </c>
      <c r="G144" s="901"/>
      <c r="H144" s="365">
        <f>'Budget with Assumptions'!N144</f>
        <v>0</v>
      </c>
      <c r="I144" s="901"/>
      <c r="J144" s="365">
        <f>'Budget with Assumptions'!P144</f>
        <v>0</v>
      </c>
      <c r="K144" s="902"/>
      <c r="L144" s="365">
        <f>'Budget with Assumptions'!R144</f>
        <v>0</v>
      </c>
      <c r="M144" s="890"/>
      <c r="N144" s="365">
        <f>'Budget with Assumptions'!T144</f>
        <v>0</v>
      </c>
      <c r="O144"/>
      <c r="P144" s="916" t="e">
        <f t="shared" ref="P144:P155" si="45">F144/$F$159</f>
        <v>#DIV/0!</v>
      </c>
      <c r="Q144" s="916" t="e">
        <f t="shared" ref="Q144:Q155" si="46">H144/$H$159</f>
        <v>#DIV/0!</v>
      </c>
      <c r="R144" s="916" t="e">
        <f t="shared" ref="R144:R155" si="47">J144/$J$159</f>
        <v>#DIV/0!</v>
      </c>
      <c r="S144" s="916">
        <f t="shared" ref="S144:S155" si="48">L144/$L$159</f>
        <v>0</v>
      </c>
      <c r="T144" s="916">
        <f t="shared" ref="T144:T155" si="49">N144/$N$159</f>
        <v>0</v>
      </c>
      <c r="U144"/>
      <c r="V144" s="925" t="e">
        <f t="shared" ref="V144:V155" si="50">F144/$F$178</f>
        <v>#DIV/0!</v>
      </c>
      <c r="W144" s="925" t="e">
        <f t="shared" ref="W144:W155" si="51">H144/$H$178</f>
        <v>#DIV/0!</v>
      </c>
      <c r="X144" s="925" t="e">
        <f t="shared" ref="X144:X155" si="52">J144/$J$178</f>
        <v>#DIV/0!</v>
      </c>
      <c r="Y144" s="925">
        <f t="shared" ref="Y144:Y155" si="53">L144/$L$178</f>
        <v>0</v>
      </c>
      <c r="Z144" s="925">
        <f t="shared" ref="Z144:Z155" si="54">N144/$N$178</f>
        <v>0</v>
      </c>
    </row>
    <row r="145" spans="1:26" ht="15.75" x14ac:dyDescent="0.25">
      <c r="A145" s="712" t="str">
        <f>'Budget with Assumptions'!A145</f>
        <v>Fundraising Expense</v>
      </c>
      <c r="B145" s="42"/>
      <c r="C145" s="42"/>
      <c r="D145" s="365">
        <f>'Budget with Assumptions'!J145</f>
        <v>0</v>
      </c>
      <c r="E145" s="901"/>
      <c r="F145" s="365">
        <f>'Budget with Assumptions'!L145</f>
        <v>0</v>
      </c>
      <c r="G145" s="901"/>
      <c r="H145" s="365">
        <f>'Budget with Assumptions'!N145</f>
        <v>0</v>
      </c>
      <c r="I145" s="901"/>
      <c r="J145" s="365">
        <f>'Budget with Assumptions'!P145</f>
        <v>0</v>
      </c>
      <c r="K145" s="902"/>
      <c r="L145" s="365">
        <f>'Budget with Assumptions'!R145</f>
        <v>0</v>
      </c>
      <c r="M145" s="890"/>
      <c r="N145" s="365">
        <f>'Budget with Assumptions'!T145</f>
        <v>0</v>
      </c>
      <c r="P145" s="916" t="e">
        <f t="shared" si="45"/>
        <v>#DIV/0!</v>
      </c>
      <c r="Q145" s="916" t="e">
        <f t="shared" si="46"/>
        <v>#DIV/0!</v>
      </c>
      <c r="R145" s="916" t="e">
        <f t="shared" si="47"/>
        <v>#DIV/0!</v>
      </c>
      <c r="S145" s="916">
        <f t="shared" si="48"/>
        <v>0</v>
      </c>
      <c r="T145" s="916">
        <f t="shared" si="49"/>
        <v>0</v>
      </c>
      <c r="U145"/>
      <c r="V145" s="925" t="e">
        <f t="shared" si="50"/>
        <v>#DIV/0!</v>
      </c>
      <c r="W145" s="925" t="e">
        <f t="shared" si="51"/>
        <v>#DIV/0!</v>
      </c>
      <c r="X145" s="925" t="e">
        <f t="shared" si="52"/>
        <v>#DIV/0!</v>
      </c>
      <c r="Y145" s="925">
        <f t="shared" si="53"/>
        <v>0</v>
      </c>
      <c r="Z145" s="925">
        <f t="shared" si="54"/>
        <v>0</v>
      </c>
    </row>
    <row r="146" spans="1:26" ht="15.75" x14ac:dyDescent="0.25">
      <c r="A146" s="712" t="str">
        <f>'Budget with Assumptions'!A146</f>
        <v>Contingency</v>
      </c>
      <c r="B146" s="42"/>
      <c r="C146" s="42"/>
      <c r="D146" s="365">
        <f>'Budget with Assumptions'!J146</f>
        <v>0</v>
      </c>
      <c r="E146" s="901"/>
      <c r="F146" s="365">
        <f>'Budget with Assumptions'!L146</f>
        <v>0</v>
      </c>
      <c r="G146" s="901"/>
      <c r="H146" s="365">
        <f>'Budget with Assumptions'!N146</f>
        <v>0</v>
      </c>
      <c r="I146" s="901"/>
      <c r="J146" s="365">
        <f>'Budget with Assumptions'!P146</f>
        <v>0</v>
      </c>
      <c r="K146" s="902"/>
      <c r="L146" s="365">
        <f>'Budget with Assumptions'!R146</f>
        <v>0</v>
      </c>
      <c r="M146" s="890"/>
      <c r="N146" s="365">
        <f>'Budget with Assumptions'!T146</f>
        <v>0</v>
      </c>
      <c r="P146" s="916" t="e">
        <f t="shared" si="45"/>
        <v>#DIV/0!</v>
      </c>
      <c r="Q146" s="916" t="e">
        <f t="shared" si="46"/>
        <v>#DIV/0!</v>
      </c>
      <c r="R146" s="916" t="e">
        <f t="shared" si="47"/>
        <v>#DIV/0!</v>
      </c>
      <c r="S146" s="916">
        <f t="shared" si="48"/>
        <v>0</v>
      </c>
      <c r="T146" s="916">
        <f t="shared" si="49"/>
        <v>0</v>
      </c>
      <c r="U146"/>
      <c r="V146" s="925" t="e">
        <f t="shared" si="50"/>
        <v>#DIV/0!</v>
      </c>
      <c r="W146" s="925" t="e">
        <f t="shared" si="51"/>
        <v>#DIV/0!</v>
      </c>
      <c r="X146" s="925" t="e">
        <f t="shared" si="52"/>
        <v>#DIV/0!</v>
      </c>
      <c r="Y146" s="925">
        <f t="shared" si="53"/>
        <v>0</v>
      </c>
      <c r="Z146" s="925">
        <f t="shared" si="54"/>
        <v>0</v>
      </c>
    </row>
    <row r="147" spans="1:26" ht="15.75" x14ac:dyDescent="0.25">
      <c r="A147" s="712" t="str">
        <f>'Budget with Assumptions'!A147</f>
        <v>Replacement Reserve</v>
      </c>
      <c r="B147" s="42"/>
      <c r="C147" s="42"/>
      <c r="D147" s="365">
        <f>'Budget with Assumptions'!J147</f>
        <v>0</v>
      </c>
      <c r="E147" s="901"/>
      <c r="F147" s="365">
        <f>'Budget with Assumptions'!L147</f>
        <v>0</v>
      </c>
      <c r="G147" s="901"/>
      <c r="H147" s="365">
        <f>'Budget with Assumptions'!N147</f>
        <v>0</v>
      </c>
      <c r="I147" s="901"/>
      <c r="J147" s="365">
        <f>'Budget with Assumptions'!P147</f>
        <v>0</v>
      </c>
      <c r="K147" s="902"/>
      <c r="L147" s="365">
        <f>'Budget with Assumptions'!R147</f>
        <v>0</v>
      </c>
      <c r="M147" s="890"/>
      <c r="N147" s="365">
        <f>'Budget with Assumptions'!T147</f>
        <v>0</v>
      </c>
      <c r="P147" s="916" t="e">
        <f t="shared" si="45"/>
        <v>#DIV/0!</v>
      </c>
      <c r="Q147" s="916" t="e">
        <f t="shared" si="46"/>
        <v>#DIV/0!</v>
      </c>
      <c r="R147" s="916" t="e">
        <f t="shared" si="47"/>
        <v>#DIV/0!</v>
      </c>
      <c r="S147" s="916">
        <f t="shared" si="48"/>
        <v>0</v>
      </c>
      <c r="T147" s="916">
        <f t="shared" si="49"/>
        <v>0</v>
      </c>
      <c r="U147"/>
      <c r="V147" s="925" t="e">
        <f t="shared" si="50"/>
        <v>#DIV/0!</v>
      </c>
      <c r="W147" s="925" t="e">
        <f t="shared" si="51"/>
        <v>#DIV/0!</v>
      </c>
      <c r="X147" s="925" t="e">
        <f t="shared" si="52"/>
        <v>#DIV/0!</v>
      </c>
      <c r="Y147" s="925">
        <f t="shared" si="53"/>
        <v>0</v>
      </c>
      <c r="Z147" s="925">
        <f t="shared" si="54"/>
        <v>0</v>
      </c>
    </row>
    <row r="148" spans="1:26" ht="15.75" x14ac:dyDescent="0.25">
      <c r="A148" s="712" t="str">
        <f>'Budget with Assumptions'!A148</f>
        <v>Central Operations Fees</v>
      </c>
      <c r="B148" s="42"/>
      <c r="C148" s="42"/>
      <c r="D148" s="365">
        <f>'Budget with Assumptions'!J148</f>
        <v>0</v>
      </c>
      <c r="E148" s="901"/>
      <c r="F148" s="365">
        <f>'Budget with Assumptions'!L148</f>
        <v>0</v>
      </c>
      <c r="G148" s="901"/>
      <c r="H148" s="365">
        <f>'Budget with Assumptions'!N148</f>
        <v>0</v>
      </c>
      <c r="I148" s="901"/>
      <c r="J148" s="365">
        <f>'Budget with Assumptions'!P148</f>
        <v>0</v>
      </c>
      <c r="K148" s="902"/>
      <c r="L148" s="365">
        <f>'Budget with Assumptions'!R148</f>
        <v>143315.28699689105</v>
      </c>
      <c r="M148" s="890"/>
      <c r="N148" s="365">
        <f>'Budget with Assumptions'!T148</f>
        <v>146181.5927368289</v>
      </c>
      <c r="P148" s="916" t="e">
        <f t="shared" si="45"/>
        <v>#DIV/0!</v>
      </c>
      <c r="Q148" s="916" t="e">
        <f t="shared" si="46"/>
        <v>#DIV/0!</v>
      </c>
      <c r="R148" s="916" t="e">
        <f t="shared" si="47"/>
        <v>#DIV/0!</v>
      </c>
      <c r="S148" s="916">
        <f t="shared" si="48"/>
        <v>7.6951804257379117E-2</v>
      </c>
      <c r="T148" s="916">
        <f t="shared" si="49"/>
        <v>7.6439387010059576E-2</v>
      </c>
      <c r="U148"/>
      <c r="V148" s="925" t="e">
        <f t="shared" si="50"/>
        <v>#DIV/0!</v>
      </c>
      <c r="W148" s="925" t="e">
        <f t="shared" si="51"/>
        <v>#DIV/0!</v>
      </c>
      <c r="X148" s="925" t="e">
        <f t="shared" si="52"/>
        <v>#DIV/0!</v>
      </c>
      <c r="Y148" s="925">
        <f t="shared" si="53"/>
        <v>868.57749695085488</v>
      </c>
      <c r="Z148" s="925">
        <f t="shared" si="54"/>
        <v>885.94904688987208</v>
      </c>
    </row>
    <row r="149" spans="1:26" ht="15.75" x14ac:dyDescent="0.25">
      <c r="A149" s="712">
        <f>'Budget with Assumptions'!A149</f>
        <v>0</v>
      </c>
      <c r="B149" s="42"/>
      <c r="C149" s="42"/>
      <c r="D149" s="365">
        <f>'Budget with Assumptions'!J149</f>
        <v>0</v>
      </c>
      <c r="E149" s="901"/>
      <c r="F149" s="365">
        <f>'Budget with Assumptions'!L149</f>
        <v>0</v>
      </c>
      <c r="G149" s="901"/>
      <c r="H149" s="365">
        <f>'Budget with Assumptions'!N149</f>
        <v>0</v>
      </c>
      <c r="I149" s="901"/>
      <c r="J149" s="365">
        <f>'Budget with Assumptions'!P149</f>
        <v>0</v>
      </c>
      <c r="K149" s="902"/>
      <c r="L149" s="365">
        <f>'Budget with Assumptions'!R149</f>
        <v>0</v>
      </c>
      <c r="M149" s="890"/>
      <c r="N149" s="365">
        <f>'Budget with Assumptions'!T149</f>
        <v>0</v>
      </c>
      <c r="P149" s="916" t="e">
        <f t="shared" si="45"/>
        <v>#DIV/0!</v>
      </c>
      <c r="Q149" s="916" t="e">
        <f t="shared" si="46"/>
        <v>#DIV/0!</v>
      </c>
      <c r="R149" s="916" t="e">
        <f t="shared" si="47"/>
        <v>#DIV/0!</v>
      </c>
      <c r="S149" s="916">
        <f t="shared" si="48"/>
        <v>0</v>
      </c>
      <c r="T149" s="916">
        <f t="shared" si="49"/>
        <v>0</v>
      </c>
      <c r="U149"/>
      <c r="V149" s="925" t="e">
        <f t="shared" si="50"/>
        <v>#DIV/0!</v>
      </c>
      <c r="W149" s="925" t="e">
        <f t="shared" si="51"/>
        <v>#DIV/0!</v>
      </c>
      <c r="X149" s="925" t="e">
        <f t="shared" si="52"/>
        <v>#DIV/0!</v>
      </c>
      <c r="Y149" s="925">
        <f t="shared" si="53"/>
        <v>0</v>
      </c>
      <c r="Z149" s="925">
        <f t="shared" si="54"/>
        <v>0</v>
      </c>
    </row>
    <row r="150" spans="1:26" ht="15.75" x14ac:dyDescent="0.25">
      <c r="A150" s="712">
        <f>'Budget with Assumptions'!A150</f>
        <v>0</v>
      </c>
      <c r="B150" s="42"/>
      <c r="C150" s="42"/>
      <c r="D150" s="365">
        <f>'Budget with Assumptions'!J150</f>
        <v>0</v>
      </c>
      <c r="E150" s="901"/>
      <c r="F150" s="365">
        <f>'Budget with Assumptions'!L150</f>
        <v>0</v>
      </c>
      <c r="G150" s="901"/>
      <c r="H150" s="365">
        <f>'Budget with Assumptions'!N150</f>
        <v>0</v>
      </c>
      <c r="I150" s="901"/>
      <c r="J150" s="365">
        <f>'Budget with Assumptions'!P150</f>
        <v>0</v>
      </c>
      <c r="K150" s="902"/>
      <c r="L150" s="365">
        <f>'Budget with Assumptions'!R150</f>
        <v>0</v>
      </c>
      <c r="M150" s="890"/>
      <c r="N150" s="365">
        <f>'Budget with Assumptions'!T150</f>
        <v>0</v>
      </c>
      <c r="P150" s="916" t="e">
        <f t="shared" si="45"/>
        <v>#DIV/0!</v>
      </c>
      <c r="Q150" s="916" t="e">
        <f t="shared" si="46"/>
        <v>#DIV/0!</v>
      </c>
      <c r="R150" s="916" t="e">
        <f t="shared" si="47"/>
        <v>#DIV/0!</v>
      </c>
      <c r="S150" s="916">
        <f t="shared" si="48"/>
        <v>0</v>
      </c>
      <c r="T150" s="916">
        <f t="shared" si="49"/>
        <v>0</v>
      </c>
      <c r="U150"/>
      <c r="V150" s="925" t="e">
        <f t="shared" si="50"/>
        <v>#DIV/0!</v>
      </c>
      <c r="W150" s="925" t="e">
        <f t="shared" si="51"/>
        <v>#DIV/0!</v>
      </c>
      <c r="X150" s="925" t="e">
        <f t="shared" si="52"/>
        <v>#DIV/0!</v>
      </c>
      <c r="Y150" s="925">
        <f t="shared" si="53"/>
        <v>0</v>
      </c>
      <c r="Z150" s="925">
        <f t="shared" si="54"/>
        <v>0</v>
      </c>
    </row>
    <row r="151" spans="1:26" ht="15.75" x14ac:dyDescent="0.25">
      <c r="A151" s="712">
        <f>'Budget with Assumptions'!A151</f>
        <v>0</v>
      </c>
      <c r="B151" s="42"/>
      <c r="C151" s="42"/>
      <c r="D151" s="365">
        <f>'Budget with Assumptions'!J151</f>
        <v>0</v>
      </c>
      <c r="E151" s="901"/>
      <c r="F151" s="365">
        <f>'Budget with Assumptions'!L151</f>
        <v>0</v>
      </c>
      <c r="G151" s="901"/>
      <c r="H151" s="365">
        <f>'Budget with Assumptions'!N151</f>
        <v>0</v>
      </c>
      <c r="I151" s="901"/>
      <c r="J151" s="365">
        <f>'Budget with Assumptions'!P151</f>
        <v>0</v>
      </c>
      <c r="K151" s="902"/>
      <c r="L151" s="365">
        <f>'Budget with Assumptions'!R151</f>
        <v>0</v>
      </c>
      <c r="M151" s="890"/>
      <c r="N151" s="365">
        <f>'Budget with Assumptions'!T151</f>
        <v>0</v>
      </c>
      <c r="P151" s="916" t="e">
        <f t="shared" si="45"/>
        <v>#DIV/0!</v>
      </c>
      <c r="Q151" s="916" t="e">
        <f t="shared" si="46"/>
        <v>#DIV/0!</v>
      </c>
      <c r="R151" s="916" t="e">
        <f t="shared" si="47"/>
        <v>#DIV/0!</v>
      </c>
      <c r="S151" s="916">
        <f t="shared" si="48"/>
        <v>0</v>
      </c>
      <c r="T151" s="916">
        <f t="shared" si="49"/>
        <v>0</v>
      </c>
      <c r="U151"/>
      <c r="V151" s="925" t="e">
        <f t="shared" si="50"/>
        <v>#DIV/0!</v>
      </c>
      <c r="W151" s="925" t="e">
        <f t="shared" si="51"/>
        <v>#DIV/0!</v>
      </c>
      <c r="X151" s="925" t="e">
        <f t="shared" si="52"/>
        <v>#DIV/0!</v>
      </c>
      <c r="Y151" s="925">
        <f t="shared" si="53"/>
        <v>0</v>
      </c>
      <c r="Z151" s="925">
        <f t="shared" si="54"/>
        <v>0</v>
      </c>
    </row>
    <row r="152" spans="1:26" ht="15.75" x14ac:dyDescent="0.25">
      <c r="A152" s="712">
        <f>'Budget with Assumptions'!A152</f>
        <v>0</v>
      </c>
      <c r="B152" s="42"/>
      <c r="C152" s="42"/>
      <c r="D152" s="365">
        <f>'Budget with Assumptions'!J152</f>
        <v>0</v>
      </c>
      <c r="E152" s="901"/>
      <c r="F152" s="365">
        <f>'Budget with Assumptions'!L152</f>
        <v>0</v>
      </c>
      <c r="G152" s="901"/>
      <c r="H152" s="365">
        <f>'Budget with Assumptions'!N152</f>
        <v>0</v>
      </c>
      <c r="I152" s="901"/>
      <c r="J152" s="365">
        <f>'Budget with Assumptions'!P152</f>
        <v>0</v>
      </c>
      <c r="K152" s="902"/>
      <c r="L152" s="365">
        <f>'Budget with Assumptions'!R152</f>
        <v>0</v>
      </c>
      <c r="M152" s="890"/>
      <c r="N152" s="365">
        <f>'Budget with Assumptions'!T152</f>
        <v>0</v>
      </c>
      <c r="P152" s="916" t="e">
        <f t="shared" si="45"/>
        <v>#DIV/0!</v>
      </c>
      <c r="Q152" s="916" t="e">
        <f t="shared" si="46"/>
        <v>#DIV/0!</v>
      </c>
      <c r="R152" s="916" t="e">
        <f t="shared" si="47"/>
        <v>#DIV/0!</v>
      </c>
      <c r="S152" s="916">
        <f t="shared" si="48"/>
        <v>0</v>
      </c>
      <c r="T152" s="916">
        <f t="shared" si="49"/>
        <v>0</v>
      </c>
      <c r="U152"/>
      <c r="V152" s="925" t="e">
        <f>F152/$F$178</f>
        <v>#DIV/0!</v>
      </c>
      <c r="W152" s="925" t="e">
        <f>H152/$H$178</f>
        <v>#DIV/0!</v>
      </c>
      <c r="X152" s="925" t="e">
        <f>J152/$J$178</f>
        <v>#DIV/0!</v>
      </c>
      <c r="Y152" s="925">
        <f>L152/$L$178</f>
        <v>0</v>
      </c>
      <c r="Z152" s="925">
        <f>N152/$N$178</f>
        <v>0</v>
      </c>
    </row>
    <row r="153" spans="1:26" ht="15.75" x14ac:dyDescent="0.25">
      <c r="A153" s="712">
        <f>'Budget with Assumptions'!A153</f>
        <v>0</v>
      </c>
      <c r="B153" s="42"/>
      <c r="C153" s="42"/>
      <c r="D153" s="365">
        <f>'Budget with Assumptions'!J153</f>
        <v>0</v>
      </c>
      <c r="E153" s="901"/>
      <c r="F153" s="365">
        <f>'Budget with Assumptions'!L153</f>
        <v>0</v>
      </c>
      <c r="G153" s="901"/>
      <c r="H153" s="365">
        <f>'Budget with Assumptions'!N153</f>
        <v>0</v>
      </c>
      <c r="I153" s="901"/>
      <c r="J153" s="365">
        <f>'Budget with Assumptions'!P153</f>
        <v>0</v>
      </c>
      <c r="K153" s="902"/>
      <c r="L153" s="365">
        <f>'Budget with Assumptions'!R153</f>
        <v>0</v>
      </c>
      <c r="M153" s="890"/>
      <c r="N153" s="365">
        <f>'Budget with Assumptions'!T153</f>
        <v>0</v>
      </c>
      <c r="P153" s="916" t="e">
        <f t="shared" si="45"/>
        <v>#DIV/0!</v>
      </c>
      <c r="Q153" s="916" t="e">
        <f t="shared" si="46"/>
        <v>#DIV/0!</v>
      </c>
      <c r="R153" s="916" t="e">
        <f t="shared" si="47"/>
        <v>#DIV/0!</v>
      </c>
      <c r="S153" s="916">
        <f t="shared" si="48"/>
        <v>0</v>
      </c>
      <c r="T153" s="916">
        <f t="shared" si="49"/>
        <v>0</v>
      </c>
      <c r="U153"/>
      <c r="V153" s="925" t="e">
        <f>F153/$F$178</f>
        <v>#DIV/0!</v>
      </c>
      <c r="W153" s="925" t="e">
        <f>H153/$H$178</f>
        <v>#DIV/0!</v>
      </c>
      <c r="X153" s="925" t="e">
        <f>J153/$J$178</f>
        <v>#DIV/0!</v>
      </c>
      <c r="Y153" s="925">
        <f>L153/$L$178</f>
        <v>0</v>
      </c>
      <c r="Z153" s="925">
        <f>N153/$N$178</f>
        <v>0</v>
      </c>
    </row>
    <row r="154" spans="1:26" ht="15.75" x14ac:dyDescent="0.25">
      <c r="A154" s="712">
        <f>'Budget with Assumptions'!A154</f>
        <v>0</v>
      </c>
      <c r="B154" s="46"/>
      <c r="C154" s="46"/>
      <c r="D154" s="365">
        <f>'Budget with Assumptions'!J154</f>
        <v>0</v>
      </c>
      <c r="E154" s="901"/>
      <c r="F154" s="365">
        <f>'Budget with Assumptions'!L154</f>
        <v>0</v>
      </c>
      <c r="G154" s="901"/>
      <c r="H154" s="365">
        <f>'Budget with Assumptions'!N154</f>
        <v>0</v>
      </c>
      <c r="I154" s="901"/>
      <c r="J154" s="365">
        <f>'Budget with Assumptions'!P154</f>
        <v>0</v>
      </c>
      <c r="K154" s="902"/>
      <c r="L154" s="365">
        <f>'Budget with Assumptions'!R154</f>
        <v>0</v>
      </c>
      <c r="M154" s="890"/>
      <c r="N154" s="365">
        <f>'Budget with Assumptions'!T154</f>
        <v>0</v>
      </c>
      <c r="P154" s="916" t="e">
        <f t="shared" si="45"/>
        <v>#DIV/0!</v>
      </c>
      <c r="Q154" s="916" t="e">
        <f t="shared" si="46"/>
        <v>#DIV/0!</v>
      </c>
      <c r="R154" s="916" t="e">
        <f t="shared" si="47"/>
        <v>#DIV/0!</v>
      </c>
      <c r="S154" s="916">
        <f t="shared" si="48"/>
        <v>0</v>
      </c>
      <c r="T154" s="916">
        <f t="shared" si="49"/>
        <v>0</v>
      </c>
      <c r="U154"/>
      <c r="V154" s="925" t="e">
        <f t="shared" si="50"/>
        <v>#DIV/0!</v>
      </c>
      <c r="W154" s="925" t="e">
        <f t="shared" si="51"/>
        <v>#DIV/0!</v>
      </c>
      <c r="X154" s="925" t="e">
        <f t="shared" si="52"/>
        <v>#DIV/0!</v>
      </c>
      <c r="Y154" s="925">
        <f t="shared" si="53"/>
        <v>0</v>
      </c>
      <c r="Z154" s="925">
        <f t="shared" si="54"/>
        <v>0</v>
      </c>
    </row>
    <row r="155" spans="1:26" ht="15.75" x14ac:dyDescent="0.25">
      <c r="A155" s="712">
        <f>'Budget with Assumptions'!A155</f>
        <v>0</v>
      </c>
      <c r="B155" s="46"/>
      <c r="C155" s="46"/>
      <c r="D155" s="365">
        <f>'Budget with Assumptions'!J155</f>
        <v>0</v>
      </c>
      <c r="E155" s="901"/>
      <c r="F155" s="365">
        <f>'Budget with Assumptions'!L155</f>
        <v>0</v>
      </c>
      <c r="G155" s="901"/>
      <c r="H155" s="365">
        <f>'Budget with Assumptions'!N155</f>
        <v>0</v>
      </c>
      <c r="I155" s="901"/>
      <c r="J155" s="365">
        <f>'Budget with Assumptions'!P155</f>
        <v>0</v>
      </c>
      <c r="K155" s="902"/>
      <c r="L155" s="365">
        <f>'Budget with Assumptions'!R155</f>
        <v>0</v>
      </c>
      <c r="M155" s="890"/>
      <c r="N155" s="365">
        <f>'Budget with Assumptions'!T155</f>
        <v>0</v>
      </c>
      <c r="P155" s="916" t="e">
        <f t="shared" si="45"/>
        <v>#DIV/0!</v>
      </c>
      <c r="Q155" s="916" t="e">
        <f t="shared" si="46"/>
        <v>#DIV/0!</v>
      </c>
      <c r="R155" s="916" t="e">
        <f t="shared" si="47"/>
        <v>#DIV/0!</v>
      </c>
      <c r="S155" s="916">
        <f t="shared" si="48"/>
        <v>0</v>
      </c>
      <c r="T155" s="916">
        <f t="shared" si="49"/>
        <v>0</v>
      </c>
      <c r="U155"/>
      <c r="V155" s="925" t="e">
        <f t="shared" si="50"/>
        <v>#DIV/0!</v>
      </c>
      <c r="W155" s="925" t="e">
        <f t="shared" si="51"/>
        <v>#DIV/0!</v>
      </c>
      <c r="X155" s="925" t="e">
        <f t="shared" si="52"/>
        <v>#DIV/0!</v>
      </c>
      <c r="Y155" s="925">
        <f t="shared" si="53"/>
        <v>0</v>
      </c>
      <c r="Z155" s="925">
        <f t="shared" si="54"/>
        <v>0</v>
      </c>
    </row>
    <row r="156" spans="1:26" ht="16.5" thickBot="1" x14ac:dyDescent="0.3">
      <c r="A156" s="40"/>
      <c r="B156" s="46"/>
      <c r="C156" s="46"/>
      <c r="D156" s="908"/>
      <c r="E156" s="901"/>
      <c r="F156" s="908"/>
      <c r="G156" s="901"/>
      <c r="H156" s="908"/>
      <c r="I156" s="901"/>
      <c r="J156" s="908"/>
      <c r="K156" s="902"/>
      <c r="L156" s="882"/>
      <c r="M156" s="890"/>
      <c r="N156" s="882"/>
      <c r="P156" s="917"/>
      <c r="Q156" s="917"/>
      <c r="R156" s="917"/>
      <c r="S156" s="917"/>
      <c r="T156" s="917"/>
      <c r="U156"/>
      <c r="V156" s="743"/>
      <c r="W156" s="743"/>
      <c r="X156" s="743"/>
      <c r="Y156" s="743"/>
      <c r="Z156" s="743"/>
    </row>
    <row r="157" spans="1:26" ht="16.5" thickBot="1" x14ac:dyDescent="0.3">
      <c r="A157" s="289" t="s">
        <v>24</v>
      </c>
      <c r="B157" s="42"/>
      <c r="C157" s="42"/>
      <c r="D157" s="487">
        <f>SUM(D143:D155)</f>
        <v>0</v>
      </c>
      <c r="E157" s="361"/>
      <c r="F157" s="487">
        <f>SUM(F143:F155)</f>
        <v>0</v>
      </c>
      <c r="G157" s="361"/>
      <c r="H157" s="487">
        <f>SUM(H143:H155)</f>
        <v>0</v>
      </c>
      <c r="I157" s="361"/>
      <c r="J157" s="487">
        <f>SUM(J143:J155)</f>
        <v>0</v>
      </c>
      <c r="K157" s="362"/>
      <c r="L157" s="487">
        <f>SUM(L143:L155)</f>
        <v>154865.28699689105</v>
      </c>
      <c r="M157" s="875"/>
      <c r="N157" s="487">
        <f>SUM(N143:N155)</f>
        <v>157731.5927368289</v>
      </c>
      <c r="O157" s="112"/>
      <c r="P157" s="706" t="e">
        <f>SUM(P143:P155)</f>
        <v>#DIV/0!</v>
      </c>
      <c r="Q157" s="706" t="e">
        <f>SUM(Q143:Q155)</f>
        <v>#DIV/0!</v>
      </c>
      <c r="R157" s="706" t="e">
        <f>SUM(R143:R155)</f>
        <v>#DIV/0!</v>
      </c>
      <c r="S157" s="706">
        <f>SUM(S143:S155)</f>
        <v>8.3153468837599442E-2</v>
      </c>
      <c r="T157" s="706">
        <f>SUM(T143:T155)</f>
        <v>8.2478963563009239E-2</v>
      </c>
      <c r="U157"/>
      <c r="V157" s="708" t="e">
        <f>SUM(V143:V155)</f>
        <v>#DIV/0!</v>
      </c>
      <c r="W157" s="708" t="e">
        <f>SUM(W143:W155)</f>
        <v>#DIV/0!</v>
      </c>
      <c r="X157" s="708" t="e">
        <f>SUM(X143:X155)</f>
        <v>#DIV/0!</v>
      </c>
      <c r="Y157" s="708">
        <f>SUM(Y143:Y155)</f>
        <v>938.57749695085488</v>
      </c>
      <c r="Z157" s="708">
        <f>SUM(Z143:Z155)</f>
        <v>955.94904688987208</v>
      </c>
    </row>
    <row r="158" spans="1:26" ht="16.5" thickBot="1" x14ac:dyDescent="0.3">
      <c r="A158" s="61"/>
      <c r="B158" s="38"/>
      <c r="C158" s="38"/>
      <c r="D158" s="743"/>
      <c r="E158" s="743"/>
      <c r="F158" s="743"/>
      <c r="G158" s="743"/>
      <c r="H158" s="743"/>
      <c r="I158" s="743"/>
      <c r="J158" s="743"/>
      <c r="K158" s="876"/>
      <c r="L158" s="743"/>
      <c r="M158" s="876"/>
      <c r="N158" s="743"/>
      <c r="P158" s="917"/>
      <c r="Q158" s="917"/>
      <c r="R158" s="917"/>
      <c r="S158" s="917"/>
      <c r="T158" s="917"/>
      <c r="V158" s="743"/>
      <c r="W158" s="743"/>
      <c r="X158" s="743"/>
      <c r="Y158" s="743"/>
      <c r="Z158" s="743"/>
    </row>
    <row r="159" spans="1:26" ht="16.5" thickBot="1" x14ac:dyDescent="0.3">
      <c r="A159" s="292" t="s">
        <v>25</v>
      </c>
      <c r="B159" s="62"/>
      <c r="C159" s="62"/>
      <c r="D159" s="487">
        <f>D64+D92+D116+D138+D140+D157</f>
        <v>0</v>
      </c>
      <c r="E159" s="877"/>
      <c r="F159" s="487">
        <f>F64+F92+F116+F138+F140+F157</f>
        <v>0</v>
      </c>
      <c r="G159" s="877"/>
      <c r="H159" s="487">
        <f>H64+H92+H116+H138+H140+H157</f>
        <v>0</v>
      </c>
      <c r="I159" s="877"/>
      <c r="J159" s="487">
        <f>J64+J92+J116+J138+J140+J157</f>
        <v>0</v>
      </c>
      <c r="K159" s="878"/>
      <c r="L159" s="487">
        <f>L64+L92+L116+L138+L140+L157</f>
        <v>1862403.2065258322</v>
      </c>
      <c r="M159" s="879"/>
      <c r="N159" s="487">
        <f>N64+N92+N116+N138+N140+N157</f>
        <v>1912385.7274992422</v>
      </c>
      <c r="P159" s="921" t="e">
        <f>P64+P92+P116+P138+P140+P157</f>
        <v>#DIV/0!</v>
      </c>
      <c r="Q159" s="921" t="e">
        <f>Q64+Q92+Q116+Q138+Q140+Q157</f>
        <v>#DIV/0!</v>
      </c>
      <c r="R159" s="921" t="e">
        <f>R64+R92+R116+R138+R140+R157</f>
        <v>#DIV/0!</v>
      </c>
      <c r="S159" s="921">
        <f>S64+S92+S116+S138+S140+S157</f>
        <v>1</v>
      </c>
      <c r="T159" s="921">
        <f>T64+T92+T116+T138+T140+T157</f>
        <v>0.99999999999999978</v>
      </c>
      <c r="U159"/>
      <c r="V159" s="926" t="e">
        <f>V64+V92+V116+V138+V140+V157</f>
        <v>#DIV/0!</v>
      </c>
      <c r="W159" s="926" t="e">
        <f>W64+W92+W116+W138+W140+W157</f>
        <v>#DIV/0!</v>
      </c>
      <c r="X159" s="926" t="e">
        <f>X64+X92+X116+X138+X140+X157</f>
        <v>#DIV/0!</v>
      </c>
      <c r="Y159" s="926">
        <f>Y64+Y92+Y116+Y138+Y140+Y157</f>
        <v>11287.292160762621</v>
      </c>
      <c r="Z159" s="926">
        <f>Z64+Z92+Z116+Z138+Z140+Z157</f>
        <v>11590.216530298436</v>
      </c>
    </row>
    <row r="160" spans="1:26" ht="16.5" thickBot="1" x14ac:dyDescent="0.3">
      <c r="A160" s="287"/>
      <c r="B160" s="64"/>
      <c r="C160" s="64"/>
      <c r="D160" s="743"/>
      <c r="E160" s="743"/>
      <c r="F160" s="743"/>
      <c r="G160" s="743"/>
      <c r="H160" s="743"/>
      <c r="I160" s="743"/>
      <c r="J160" s="743"/>
      <c r="K160" s="876"/>
      <c r="L160" s="743"/>
      <c r="M160" s="876"/>
      <c r="N160" s="743"/>
    </row>
    <row r="161" spans="1:26" ht="16.5" thickBot="1" x14ac:dyDescent="0.3">
      <c r="A161" s="375" t="s">
        <v>30</v>
      </c>
      <c r="B161" s="62"/>
      <c r="C161" s="62"/>
      <c r="D161" s="880">
        <f>D35-D159</f>
        <v>152000</v>
      </c>
      <c r="E161" s="881"/>
      <c r="F161" s="880" t="e">
        <f>F35-F159</f>
        <v>#DIV/0!</v>
      </c>
      <c r="G161" s="881"/>
      <c r="H161" s="880" t="e">
        <f>H35-H159</f>
        <v>#DIV/0!</v>
      </c>
      <c r="I161" s="877"/>
      <c r="J161" s="880" t="e">
        <f>J35-J159</f>
        <v>#DIV/0!</v>
      </c>
      <c r="K161" s="878"/>
      <c r="L161" s="880">
        <f>L35-L159</f>
        <v>340417.80247416743</v>
      </c>
      <c r="M161" s="935"/>
      <c r="N161" s="880">
        <f>N35-N159</f>
        <v>110367.93150075758</v>
      </c>
      <c r="P161" s="703"/>
      <c r="Q161" s="703"/>
      <c r="R161" s="703"/>
      <c r="S161" s="703"/>
      <c r="T161" s="703"/>
      <c r="U161"/>
      <c r="V161"/>
      <c r="W161"/>
      <c r="X161"/>
      <c r="Y161"/>
      <c r="Z161"/>
    </row>
    <row r="162" spans="1:26" ht="16.5" thickBot="1" x14ac:dyDescent="0.3">
      <c r="A162" s="371"/>
      <c r="B162" s="374"/>
      <c r="C162" s="368"/>
      <c r="D162" s="882"/>
      <c r="E162" s="882"/>
      <c r="F162" s="882"/>
      <c r="G162" s="882"/>
      <c r="H162" s="882"/>
      <c r="I162" s="882"/>
      <c r="J162" s="882"/>
      <c r="K162" s="883"/>
      <c r="L162" s="882"/>
      <c r="M162" s="884"/>
      <c r="N162" s="882"/>
      <c r="P162" s="703"/>
      <c r="Q162" s="703"/>
      <c r="R162" s="703"/>
      <c r="S162" s="703"/>
      <c r="T162" s="703"/>
      <c r="U162"/>
      <c r="V162" s="707"/>
      <c r="W162" s="707"/>
      <c r="X162" s="707"/>
      <c r="Y162" s="707"/>
      <c r="Z162" s="707"/>
    </row>
    <row r="163" spans="1:26" ht="16.5" thickBot="1" x14ac:dyDescent="0.3">
      <c r="A163" s="372" t="s">
        <v>212</v>
      </c>
      <c r="B163" s="56"/>
      <c r="C163" s="56"/>
      <c r="D163" s="485">
        <f>0</f>
        <v>0</v>
      </c>
      <c r="E163" s="882"/>
      <c r="F163" s="489">
        <f>D165</f>
        <v>152000</v>
      </c>
      <c r="G163" s="885"/>
      <c r="H163" s="489" t="e">
        <f>F165</f>
        <v>#DIV/0!</v>
      </c>
      <c r="I163" s="885"/>
      <c r="J163" s="489" t="e">
        <f>H165</f>
        <v>#DIV/0!</v>
      </c>
      <c r="K163" s="886"/>
      <c r="L163" s="489" t="e">
        <f>J165</f>
        <v>#DIV/0!</v>
      </c>
      <c r="M163" s="886"/>
      <c r="N163" s="489" t="e">
        <f>L165</f>
        <v>#DIV/0!</v>
      </c>
      <c r="P163" s="703"/>
      <c r="Q163" s="703"/>
      <c r="R163" s="703"/>
      <c r="S163" s="703"/>
      <c r="T163" s="703"/>
      <c r="U163"/>
      <c r="V163" s="707"/>
      <c r="W163" s="707"/>
      <c r="X163" s="707"/>
      <c r="Y163" s="707"/>
      <c r="Z163" s="707"/>
    </row>
    <row r="164" spans="1:26" ht="16.5" thickBot="1" x14ac:dyDescent="0.3">
      <c r="A164" s="373" t="s">
        <v>213</v>
      </c>
      <c r="B164" s="56"/>
      <c r="C164" s="56"/>
      <c r="D164" s="489">
        <f>D161</f>
        <v>152000</v>
      </c>
      <c r="E164" s="68"/>
      <c r="F164" s="489" t="e">
        <f>F161</f>
        <v>#DIV/0!</v>
      </c>
      <c r="G164" s="656"/>
      <c r="H164" s="489" t="e">
        <f>H161</f>
        <v>#DIV/0!</v>
      </c>
      <c r="I164" s="656"/>
      <c r="J164" s="489" t="e">
        <f>J161</f>
        <v>#DIV/0!</v>
      </c>
      <c r="K164" s="657"/>
      <c r="L164" s="489">
        <f>L161</f>
        <v>340417.80247416743</v>
      </c>
      <c r="M164" s="657"/>
      <c r="N164" s="489">
        <f>N161</f>
        <v>110367.93150075758</v>
      </c>
      <c r="O164"/>
      <c r="P164" s="703"/>
      <c r="Q164" s="703"/>
      <c r="R164" s="703"/>
      <c r="S164" s="703"/>
      <c r="T164" s="703"/>
      <c r="U164"/>
      <c r="V164"/>
      <c r="W164"/>
      <c r="X164"/>
      <c r="Y164"/>
      <c r="Z164"/>
    </row>
    <row r="165" spans="1:26" ht="16.5" thickBot="1" x14ac:dyDescent="0.3">
      <c r="A165" s="454" t="s">
        <v>214</v>
      </c>
      <c r="B165" s="67"/>
      <c r="C165" s="67"/>
      <c r="D165" s="489">
        <f>D163+D164</f>
        <v>152000</v>
      </c>
      <c r="E165" s="67"/>
      <c r="F165" s="489" t="e">
        <f>F163+F164</f>
        <v>#DIV/0!</v>
      </c>
      <c r="G165" s="887"/>
      <c r="H165" s="489" t="e">
        <f>H163+H164</f>
        <v>#DIV/0!</v>
      </c>
      <c r="I165" s="887"/>
      <c r="J165" s="489" t="e">
        <f>J163+J164</f>
        <v>#DIV/0!</v>
      </c>
      <c r="K165" s="888"/>
      <c r="L165" s="489" t="e">
        <f>L163+L164</f>
        <v>#DIV/0!</v>
      </c>
      <c r="M165" s="657"/>
      <c r="N165" s="489" t="e">
        <f>N163+N164</f>
        <v>#DIV/0!</v>
      </c>
      <c r="O165"/>
      <c r="P165" s="703"/>
      <c r="Q165" s="703"/>
      <c r="R165" s="703"/>
      <c r="S165" s="703"/>
      <c r="T165" s="703"/>
      <c r="U165"/>
      <c r="V165"/>
      <c r="W165"/>
      <c r="X165"/>
      <c r="Y165"/>
      <c r="Z165"/>
    </row>
    <row r="166" spans="1:26" ht="15.75" x14ac:dyDescent="0.25">
      <c r="A166" s="35"/>
      <c r="B166" s="65"/>
      <c r="C166" s="65"/>
      <c r="D166" s="889"/>
      <c r="E166" s="66"/>
      <c r="F166" s="889"/>
      <c r="G166" s="66"/>
      <c r="H166" s="889"/>
      <c r="I166" s="66"/>
      <c r="J166" s="889"/>
      <c r="K166" s="875"/>
      <c r="L166" s="889"/>
      <c r="M166" s="890"/>
      <c r="N166" s="743"/>
      <c r="O166"/>
      <c r="P166" s="703"/>
      <c r="Q166" s="703"/>
      <c r="R166" s="703"/>
      <c r="S166" s="703"/>
      <c r="T166" s="703"/>
      <c r="U166"/>
      <c r="V166"/>
      <c r="W166"/>
      <c r="X166"/>
      <c r="Y166"/>
      <c r="Z166"/>
    </row>
    <row r="167" spans="1:26" ht="15.75" x14ac:dyDescent="0.25">
      <c r="A167" s="35"/>
      <c r="B167" s="35"/>
      <c r="C167" s="35"/>
      <c r="D167" s="743"/>
      <c r="E167" s="743"/>
      <c r="F167" s="743"/>
      <c r="G167" s="743"/>
      <c r="H167" s="743"/>
      <c r="I167" s="743"/>
      <c r="J167" s="743"/>
      <c r="K167" s="876"/>
      <c r="L167" s="743"/>
      <c r="M167" s="876"/>
      <c r="N167" s="743"/>
      <c r="O167"/>
      <c r="P167" s="703"/>
      <c r="Q167" s="703"/>
      <c r="R167" s="703"/>
      <c r="S167" s="703"/>
      <c r="T167" s="703"/>
      <c r="U167"/>
      <c r="V167"/>
      <c r="W167"/>
      <c r="X167"/>
      <c r="Y167"/>
      <c r="Z167"/>
    </row>
    <row r="168" spans="1:26" ht="15.75" x14ac:dyDescent="0.25">
      <c r="A168" s="35"/>
      <c r="B168" s="35"/>
      <c r="C168" s="35"/>
      <c r="D168" s="889"/>
      <c r="E168" s="66"/>
      <c r="F168" s="889"/>
      <c r="G168" s="66"/>
      <c r="H168" s="889"/>
      <c r="I168" s="66"/>
      <c r="J168" s="889"/>
      <c r="K168" s="875"/>
      <c r="L168" s="889"/>
      <c r="M168" s="890"/>
      <c r="N168" s="743"/>
      <c r="O168"/>
      <c r="P168" s="703"/>
      <c r="Q168" s="703"/>
      <c r="R168" s="703"/>
      <c r="S168" s="703"/>
      <c r="T168" s="703"/>
      <c r="U168"/>
      <c r="V168"/>
      <c r="W168"/>
      <c r="X168"/>
      <c r="Y168"/>
      <c r="Z168"/>
    </row>
    <row r="169" spans="1:26" ht="15.75" x14ac:dyDescent="0.25">
      <c r="B169" s="35"/>
      <c r="C169" s="35"/>
      <c r="D169" s="889"/>
      <c r="E169" s="66"/>
      <c r="F169" s="889"/>
      <c r="G169" s="66"/>
      <c r="H169" s="889"/>
      <c r="I169" s="66"/>
      <c r="J169" s="889"/>
      <c r="K169" s="875"/>
      <c r="L169" s="889"/>
      <c r="M169" s="890"/>
      <c r="N169" s="743"/>
      <c r="O169"/>
      <c r="P169" s="703"/>
      <c r="Q169" s="703"/>
      <c r="R169" s="703"/>
      <c r="S169" s="703"/>
      <c r="T169" s="703"/>
      <c r="U169"/>
      <c r="V169"/>
      <c r="W169"/>
      <c r="X169"/>
      <c r="Y169"/>
      <c r="Z169"/>
    </row>
    <row r="170" spans="1:26" x14ac:dyDescent="0.2">
      <c r="D170" s="743"/>
      <c r="E170" s="743"/>
      <c r="F170" s="743"/>
      <c r="G170" s="743"/>
      <c r="H170" s="743"/>
      <c r="I170" s="743"/>
      <c r="J170" s="743"/>
      <c r="K170" s="876"/>
      <c r="L170" s="743"/>
      <c r="M170" s="876"/>
      <c r="N170" s="743"/>
    </row>
    <row r="171" spans="1:26" x14ac:dyDescent="0.2">
      <c r="D171" s="743"/>
      <c r="E171" s="743"/>
      <c r="F171" s="743"/>
      <c r="G171" s="743"/>
      <c r="H171" s="743"/>
      <c r="I171" s="743"/>
      <c r="J171" s="743"/>
      <c r="K171" s="876"/>
      <c r="L171" s="743"/>
      <c r="M171" s="876"/>
      <c r="N171" s="743"/>
    </row>
    <row r="172" spans="1:26" x14ac:dyDescent="0.2">
      <c r="C172" s="164"/>
      <c r="D172" s="743"/>
      <c r="E172" s="743"/>
      <c r="F172" s="743"/>
      <c r="G172" s="743"/>
      <c r="H172" s="743"/>
      <c r="I172" s="743"/>
      <c r="J172" s="743"/>
      <c r="K172" s="876"/>
      <c r="L172" s="743"/>
      <c r="M172" s="876"/>
      <c r="N172" s="743"/>
    </row>
    <row r="173" spans="1:26" ht="13.5" thickBot="1" x14ac:dyDescent="0.25">
      <c r="C173" s="164"/>
      <c r="D173" s="743"/>
      <c r="E173" s="743"/>
      <c r="F173" s="743"/>
      <c r="G173" s="743"/>
      <c r="H173" s="743"/>
      <c r="I173" s="743"/>
      <c r="J173" s="743"/>
      <c r="K173" s="876"/>
      <c r="L173" s="743"/>
      <c r="M173" s="876"/>
      <c r="N173" s="743"/>
    </row>
    <row r="174" spans="1:26" ht="13.5" thickBot="1" x14ac:dyDescent="0.25">
      <c r="C174" s="319"/>
      <c r="D174" s="1256" t="s">
        <v>204</v>
      </c>
      <c r="E174" s="1257"/>
      <c r="F174" s="1257"/>
      <c r="G174" s="1257"/>
      <c r="H174" s="1257"/>
      <c r="I174" s="1257"/>
      <c r="J174" s="1257"/>
      <c r="K174" s="1257"/>
      <c r="L174" s="1257"/>
      <c r="M174" s="1257"/>
      <c r="N174" s="1258"/>
    </row>
    <row r="175" spans="1:26" ht="17.100000000000001" customHeight="1" thickBot="1" x14ac:dyDescent="0.25">
      <c r="C175" s="164"/>
      <c r="D175" s="397" t="s">
        <v>171</v>
      </c>
      <c r="E175" s="911"/>
      <c r="F175" s="431">
        <f>F9</f>
        <v>2017</v>
      </c>
      <c r="G175" s="911"/>
      <c r="H175" s="431">
        <f>H9</f>
        <v>2018</v>
      </c>
      <c r="I175" s="911"/>
      <c r="J175" s="431">
        <f>J9</f>
        <v>2019</v>
      </c>
      <c r="K175" s="911"/>
      <c r="L175" s="431">
        <f>L9</f>
        <v>2020</v>
      </c>
      <c r="M175" s="911"/>
      <c r="N175" s="431">
        <f>N9</f>
        <v>2021</v>
      </c>
    </row>
    <row r="176" spans="1:26" ht="40.5" customHeight="1" thickBot="1" x14ac:dyDescent="0.25">
      <c r="C176" s="97"/>
      <c r="D176" s="397" t="s">
        <v>182</v>
      </c>
      <c r="E176" s="912"/>
      <c r="F176" s="635">
        <f>Personnel!G191</f>
        <v>0</v>
      </c>
      <c r="G176" s="911"/>
      <c r="H176" s="635">
        <f>Personnel!I191</f>
        <v>0</v>
      </c>
      <c r="I176" s="911"/>
      <c r="J176" s="635">
        <f>Personnel!K191</f>
        <v>0</v>
      </c>
      <c r="K176" s="911"/>
      <c r="L176" s="635">
        <f>Personnel!M191</f>
        <v>15.899999999999999</v>
      </c>
      <c r="M176" s="911"/>
      <c r="N176" s="635">
        <f>Personnel!O191</f>
        <v>15.899999999999999</v>
      </c>
    </row>
    <row r="177" spans="3:14" ht="40.5" customHeight="1" thickBot="1" x14ac:dyDescent="0.25">
      <c r="C177" s="97"/>
      <c r="D177" s="397" t="s">
        <v>183</v>
      </c>
      <c r="E177" s="912"/>
      <c r="F177" s="864">
        <f>Personnel!G189</f>
        <v>0</v>
      </c>
      <c r="G177" s="912"/>
      <c r="H177" s="864">
        <f>Personnel!I189</f>
        <v>0</v>
      </c>
      <c r="I177" s="912"/>
      <c r="J177" s="864">
        <f>Personnel!K189</f>
        <v>0</v>
      </c>
      <c r="K177" s="912"/>
      <c r="L177" s="864">
        <f>Personnel!M189</f>
        <v>745250</v>
      </c>
      <c r="M177" s="912"/>
      <c r="N177" s="864">
        <f>Personnel!O189</f>
        <v>760155</v>
      </c>
    </row>
    <row r="178" spans="3:14" ht="40.5" customHeight="1" thickBot="1" x14ac:dyDescent="0.25">
      <c r="C178" s="97"/>
      <c r="D178" s="397" t="s">
        <v>247</v>
      </c>
      <c r="E178" s="913"/>
      <c r="F178" s="635">
        <f>'Revenues-Fed, State, &amp; Expan. '!E97</f>
        <v>0</v>
      </c>
      <c r="G178" s="913"/>
      <c r="H178" s="635">
        <f>'Revenues-Fed, State, &amp; Expan. '!G97</f>
        <v>0</v>
      </c>
      <c r="I178" s="913"/>
      <c r="J178" s="635">
        <f>'Revenues-Fed, State, &amp; Expan. '!I97</f>
        <v>0</v>
      </c>
      <c r="K178" s="913"/>
      <c r="L178" s="635">
        <f>'Revenues-Fed, State, &amp; Expan. '!K97</f>
        <v>165</v>
      </c>
      <c r="M178" s="913"/>
      <c r="N178" s="635">
        <f>'Revenues-Fed, State, &amp; Expan. '!M97</f>
        <v>165</v>
      </c>
    </row>
    <row r="179" spans="3:14" hidden="1" x14ac:dyDescent="0.2"/>
    <row r="180" spans="3:14" hidden="1" x14ac:dyDescent="0.2"/>
    <row r="181" spans="3:14" hidden="1" x14ac:dyDescent="0.2"/>
    <row r="182" spans="3:14" hidden="1" x14ac:dyDescent="0.2"/>
    <row r="183" spans="3:14" hidden="1" x14ac:dyDescent="0.2"/>
    <row r="184" spans="3:14" hidden="1" x14ac:dyDescent="0.2"/>
    <row r="185" spans="3:14" hidden="1" x14ac:dyDescent="0.2"/>
    <row r="186" spans="3:14" hidden="1" x14ac:dyDescent="0.2"/>
    <row r="187" spans="3:14" hidden="1" x14ac:dyDescent="0.2"/>
    <row r="188" spans="3:14" hidden="1" x14ac:dyDescent="0.2"/>
    <row r="189" spans="3:14" hidden="1" x14ac:dyDescent="0.2"/>
    <row r="190" spans="3:14" hidden="1" x14ac:dyDescent="0.2"/>
    <row r="191" spans="3:14" hidden="1" x14ac:dyDescent="0.2"/>
    <row r="192" spans="3:14"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sheetData>
  <sheetProtection password="CC59" sheet="1" formatColumns="0" formatRows="0"/>
  <mergeCells count="6">
    <mergeCell ref="V38:Z38"/>
    <mergeCell ref="D174:N174"/>
    <mergeCell ref="F8:N8"/>
    <mergeCell ref="D7:D8"/>
    <mergeCell ref="P8:T8"/>
    <mergeCell ref="P39:T39"/>
  </mergeCells>
  <pageMargins left="0" right="0" top="0" bottom="0"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19" workbookViewId="0">
      <selection activeCell="B18" sqref="B18"/>
    </sheetView>
  </sheetViews>
  <sheetFormatPr defaultRowHeight="12.75" x14ac:dyDescent="0.2"/>
  <cols>
    <col min="1" max="1" width="28.28515625" style="4" customWidth="1"/>
    <col min="2" max="2" width="22.140625" style="4" customWidth="1"/>
    <col min="3" max="3" width="73.42578125" style="4" customWidth="1"/>
  </cols>
  <sheetData>
    <row r="1" spans="1:3" ht="16.5" thickBot="1" x14ac:dyDescent="0.3">
      <c r="A1" s="764" t="s">
        <v>368</v>
      </c>
      <c r="B1" s="1285" t="str">
        <f>'Budget with Assumptions'!A2</f>
        <v>Connected Future Academy Campus 5</v>
      </c>
      <c r="C1" s="1286"/>
    </row>
    <row r="2" spans="1:3" ht="16.5" thickBot="1" x14ac:dyDescent="0.3">
      <c r="A2" s="741"/>
      <c r="B2" s="742"/>
      <c r="C2" s="742"/>
    </row>
    <row r="3" spans="1:3" ht="13.5" thickBot="1" x14ac:dyDescent="0.25">
      <c r="A3" s="1287" t="s">
        <v>399</v>
      </c>
      <c r="B3" s="1288"/>
      <c r="C3" s="1289"/>
    </row>
    <row r="4" spans="1:3" x14ac:dyDescent="0.2">
      <c r="A4" s="743"/>
      <c r="B4" s="743"/>
      <c r="C4" s="743"/>
    </row>
    <row r="5" spans="1:3" ht="13.5" thickBot="1" x14ac:dyDescent="0.25">
      <c r="A5" s="743"/>
      <c r="B5" s="743"/>
      <c r="C5" s="743"/>
    </row>
    <row r="6" spans="1:3" ht="16.5" thickBot="1" x14ac:dyDescent="0.3">
      <c r="A6" s="765" t="s">
        <v>444</v>
      </c>
      <c r="B6" s="766"/>
      <c r="C6" s="767"/>
    </row>
    <row r="7" spans="1:3" ht="13.5" thickBot="1" x14ac:dyDescent="0.25">
      <c r="A7" s="768" t="s">
        <v>552</v>
      </c>
      <c r="B7" s="766"/>
      <c r="C7" s="767"/>
    </row>
    <row r="8" spans="1:3" ht="13.5" thickBot="1" x14ac:dyDescent="0.25">
      <c r="A8" s="744"/>
      <c r="B8" s="207"/>
      <c r="C8" s="745"/>
    </row>
    <row r="9" spans="1:3" x14ac:dyDescent="0.2">
      <c r="A9" s="753" t="s">
        <v>369</v>
      </c>
      <c r="B9" s="754"/>
      <c r="C9" s="755"/>
    </row>
    <row r="10" spans="1:3" x14ac:dyDescent="0.2">
      <c r="A10" s="763" t="s">
        <v>400</v>
      </c>
      <c r="B10" s="757"/>
      <c r="C10" s="758"/>
    </row>
    <row r="11" spans="1:3" x14ac:dyDescent="0.2">
      <c r="A11" s="756" t="s">
        <v>370</v>
      </c>
      <c r="B11" s="757"/>
      <c r="C11" s="758"/>
    </row>
    <row r="12" spans="1:3" ht="13.5" thickBot="1" x14ac:dyDescent="0.25">
      <c r="A12" s="762" t="s">
        <v>438</v>
      </c>
      <c r="B12" s="759"/>
      <c r="C12" s="760"/>
    </row>
    <row r="13" spans="1:3" ht="13.5" thickBot="1" x14ac:dyDescent="0.25">
      <c r="A13" s="746"/>
      <c r="B13" s="107"/>
      <c r="C13" s="747"/>
    </row>
    <row r="14" spans="1:3" ht="13.5" thickBot="1" x14ac:dyDescent="0.25">
      <c r="A14" s="643" t="s">
        <v>374</v>
      </c>
      <c r="B14" s="107"/>
      <c r="C14" s="747"/>
    </row>
    <row r="15" spans="1:3" x14ac:dyDescent="0.2">
      <c r="A15" s="769" t="s">
        <v>33</v>
      </c>
      <c r="B15" s="793">
        <v>100000</v>
      </c>
      <c r="C15" s="747"/>
    </row>
    <row r="16" spans="1:3" x14ac:dyDescent="0.2">
      <c r="A16" s="770" t="s">
        <v>371</v>
      </c>
      <c r="B16" s="794">
        <v>180</v>
      </c>
      <c r="C16" s="747"/>
    </row>
    <row r="17" spans="1:3" ht="13.5" thickBot="1" x14ac:dyDescent="0.25">
      <c r="A17" s="771" t="s">
        <v>372</v>
      </c>
      <c r="B17" s="795">
        <v>5.2499999999999998E-2</v>
      </c>
      <c r="C17" s="747"/>
    </row>
    <row r="18" spans="1:3" ht="26.25" thickBot="1" x14ac:dyDescent="0.25">
      <c r="A18" s="772" t="s">
        <v>373</v>
      </c>
      <c r="B18" s="532">
        <f>-IF(SUM(B15:B17)=0,0,PMT(B17/12,B16,B15)*12)</f>
        <v>9646.5325853411468</v>
      </c>
      <c r="C18" s="747"/>
    </row>
    <row r="19" spans="1:3" x14ac:dyDescent="0.2">
      <c r="A19" s="746"/>
      <c r="B19" s="107"/>
      <c r="C19" s="747"/>
    </row>
    <row r="20" spans="1:3" x14ac:dyDescent="0.2">
      <c r="A20" s="783"/>
      <c r="B20" s="782"/>
      <c r="C20" s="749"/>
    </row>
    <row r="22" spans="1:3" ht="13.5" thickBot="1" x14ac:dyDescent="0.25"/>
    <row r="23" spans="1:3" ht="16.5" thickBot="1" x14ac:dyDescent="0.3">
      <c r="A23" s="765" t="s">
        <v>445</v>
      </c>
      <c r="B23" s="766"/>
      <c r="C23" s="767"/>
    </row>
    <row r="24" spans="1:3" ht="13.5" thickBot="1" x14ac:dyDescent="0.25">
      <c r="A24" s="768" t="s">
        <v>448</v>
      </c>
      <c r="B24" s="766"/>
      <c r="C24" s="767"/>
    </row>
    <row r="25" spans="1:3" ht="13.5" thickBot="1" x14ac:dyDescent="0.25">
      <c r="A25" s="746"/>
      <c r="B25" s="207"/>
      <c r="C25" s="745"/>
    </row>
    <row r="26" spans="1:3" x14ac:dyDescent="0.2">
      <c r="A26" s="761" t="s">
        <v>369</v>
      </c>
      <c r="B26" s="754"/>
      <c r="C26" s="755"/>
    </row>
    <row r="27" spans="1:3" x14ac:dyDescent="0.2">
      <c r="A27" s="763" t="s">
        <v>437</v>
      </c>
      <c r="B27" s="757"/>
      <c r="C27" s="758"/>
    </row>
    <row r="28" spans="1:3" ht="13.5" thickBot="1" x14ac:dyDescent="0.25">
      <c r="A28" s="762" t="s">
        <v>439</v>
      </c>
      <c r="B28" s="759"/>
      <c r="C28" s="760"/>
    </row>
    <row r="29" spans="1:3" x14ac:dyDescent="0.2">
      <c r="A29" s="746"/>
      <c r="B29" s="207"/>
      <c r="C29" s="745"/>
    </row>
    <row r="30" spans="1:3" ht="13.5" thickBot="1" x14ac:dyDescent="0.25">
      <c r="A30" s="746"/>
      <c r="B30" s="207"/>
      <c r="C30" s="745"/>
    </row>
    <row r="31" spans="1:3" ht="13.5" thickBot="1" x14ac:dyDescent="0.25">
      <c r="A31" s="643" t="s">
        <v>378</v>
      </c>
      <c r="B31" s="207"/>
      <c r="C31" s="745"/>
    </row>
    <row r="32" spans="1:3" x14ac:dyDescent="0.2">
      <c r="A32" s="769" t="s">
        <v>33</v>
      </c>
      <c r="B32" s="793"/>
      <c r="C32" s="747"/>
    </row>
    <row r="33" spans="1:3" x14ac:dyDescent="0.2">
      <c r="A33" s="770" t="s">
        <v>371</v>
      </c>
      <c r="B33" s="794"/>
      <c r="C33" s="747"/>
    </row>
    <row r="34" spans="1:3" ht="13.5" thickBot="1" x14ac:dyDescent="0.25">
      <c r="A34" s="771" t="s">
        <v>372</v>
      </c>
      <c r="B34" s="796"/>
      <c r="C34" s="747"/>
    </row>
    <row r="35" spans="1:3" ht="26.25" thickBot="1" x14ac:dyDescent="0.25">
      <c r="A35" s="772" t="s">
        <v>373</v>
      </c>
      <c r="B35" s="532">
        <f>-IF(SUM(B32:B34)=0,0,PMT(B34/12,B33,B32)*12)</f>
        <v>0</v>
      </c>
      <c r="C35" s="747"/>
    </row>
    <row r="36" spans="1:3" x14ac:dyDescent="0.2">
      <c r="A36" s="750"/>
      <c r="B36" s="751"/>
      <c r="C36" s="752"/>
    </row>
    <row r="37" spans="1:3" x14ac:dyDescent="0.2">
      <c r="A37" s="748"/>
      <c r="B37" s="782"/>
      <c r="C37" s="749"/>
    </row>
    <row r="38" spans="1:3" x14ac:dyDescent="0.2">
      <c r="A38" s="743"/>
    </row>
  </sheetData>
  <sheetProtection password="C9A0" sheet="1" objects="1" scenarios="1"/>
  <mergeCells count="2">
    <mergeCell ref="B1:C1"/>
    <mergeCell ref="A3:C3"/>
  </mergeCells>
  <pageMargins left="0.7" right="0.7" top="0.75" bottom="0.75" header="0.3" footer="0.3"/>
  <pageSetup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selection activeCell="B10" sqref="B10"/>
    </sheetView>
  </sheetViews>
  <sheetFormatPr defaultRowHeight="12.75" x14ac:dyDescent="0.2"/>
  <cols>
    <col min="1" max="1" width="62.7109375" customWidth="1"/>
  </cols>
  <sheetData>
    <row r="1" spans="1:13" ht="13.5" thickBot="1" x14ac:dyDescent="0.25">
      <c r="A1" s="933" t="str">
        <f>'Budget with Assumptions'!A2</f>
        <v>Connected Future Academy Campus 5</v>
      </c>
      <c r="B1" s="729"/>
      <c r="C1" s="729"/>
      <c r="D1" s="729"/>
      <c r="E1" s="729"/>
      <c r="F1" s="626"/>
    </row>
    <row r="2" spans="1:13" x14ac:dyDescent="0.2">
      <c r="A2" s="11"/>
    </row>
    <row r="4" spans="1:13" x14ac:dyDescent="0.2">
      <c r="A4" s="7" t="s">
        <v>354</v>
      </c>
      <c r="B4" s="7"/>
      <c r="C4" s="7"/>
      <c r="D4" s="7"/>
      <c r="E4" s="7"/>
      <c r="F4" s="7"/>
    </row>
    <row r="5" spans="1:13" x14ac:dyDescent="0.2">
      <c r="A5" s="97"/>
      <c r="B5" s="97"/>
      <c r="C5" s="97"/>
      <c r="D5" s="97"/>
      <c r="E5" s="97"/>
      <c r="F5" s="97"/>
    </row>
    <row r="6" spans="1:13" x14ac:dyDescent="0.2">
      <c r="A6" s="1026"/>
      <c r="B6" s="1022"/>
      <c r="C6" s="97"/>
      <c r="D6" s="97"/>
      <c r="E6" s="97"/>
      <c r="F6" s="97"/>
    </row>
    <row r="7" spans="1:13" x14ac:dyDescent="0.2">
      <c r="A7" s="1055" t="s">
        <v>598</v>
      </c>
      <c r="B7" s="1032"/>
      <c r="C7" s="1032"/>
      <c r="D7" s="1032"/>
      <c r="E7" s="1032"/>
      <c r="F7" s="1032"/>
      <c r="G7" s="1030"/>
      <c r="H7" s="1030"/>
      <c r="I7" s="1030"/>
      <c r="J7" s="1030"/>
      <c r="K7" s="1030"/>
      <c r="L7" s="1030"/>
      <c r="M7" s="1030"/>
    </row>
    <row r="8" spans="1:13" x14ac:dyDescent="0.2">
      <c r="A8" s="1035" t="s">
        <v>171</v>
      </c>
      <c r="B8" s="1036">
        <v>2016</v>
      </c>
      <c r="C8" s="1036">
        <v>2017</v>
      </c>
      <c r="D8" s="1036">
        <v>2018</v>
      </c>
      <c r="E8" s="1036">
        <v>2019</v>
      </c>
      <c r="F8" s="1036">
        <v>2020</v>
      </c>
      <c r="G8" s="1036">
        <v>2021</v>
      </c>
      <c r="H8" s="1036">
        <v>2022</v>
      </c>
      <c r="I8" s="1036">
        <v>2023</v>
      </c>
      <c r="J8" s="1036">
        <v>2024</v>
      </c>
      <c r="K8" s="1036">
        <v>2025</v>
      </c>
      <c r="L8" s="1036">
        <v>2026</v>
      </c>
      <c r="M8" s="1030"/>
    </row>
    <row r="9" spans="1:13" x14ac:dyDescent="0.2">
      <c r="A9" s="1035" t="s">
        <v>599</v>
      </c>
      <c r="B9" s="1037"/>
      <c r="C9" s="1038">
        <f>$B$28+$B$29/C$15</f>
        <v>275000</v>
      </c>
      <c r="D9" s="1038">
        <f>$B$27+$B$30/D$15</f>
        <v>91666.666666666672</v>
      </c>
      <c r="E9" s="1164">
        <f t="shared" ref="E9:L13" si="0">$B$27+$B$30/E$15</f>
        <v>87500</v>
      </c>
      <c r="F9" s="1164">
        <f t="shared" si="0"/>
        <v>85000</v>
      </c>
      <c r="G9" s="1164">
        <f t="shared" si="0"/>
        <v>85000</v>
      </c>
      <c r="H9" s="1164">
        <f t="shared" si="0"/>
        <v>85000</v>
      </c>
      <c r="I9" s="1164">
        <f t="shared" si="0"/>
        <v>85000</v>
      </c>
      <c r="J9" s="1164">
        <f t="shared" si="0"/>
        <v>85000</v>
      </c>
      <c r="K9" s="1164">
        <f t="shared" si="0"/>
        <v>85000</v>
      </c>
      <c r="L9" s="1164">
        <f t="shared" si="0"/>
        <v>85000</v>
      </c>
      <c r="M9" s="1037"/>
    </row>
    <row r="10" spans="1:13" x14ac:dyDescent="0.2">
      <c r="A10" s="1035" t="s">
        <v>657</v>
      </c>
      <c r="B10" s="1164">
        <f>B28</f>
        <v>150000</v>
      </c>
      <c r="C10" s="1164">
        <f>$B$29+$B$30/C$15</f>
        <v>275000</v>
      </c>
      <c r="D10" s="1164">
        <f>$B$27+$B$30/D$15</f>
        <v>91666.666666666672</v>
      </c>
      <c r="E10" s="1164">
        <f t="shared" si="0"/>
        <v>87500</v>
      </c>
      <c r="F10" s="1164">
        <f t="shared" si="0"/>
        <v>85000</v>
      </c>
      <c r="G10" s="1164">
        <f t="shared" si="0"/>
        <v>85000</v>
      </c>
      <c r="H10" s="1164">
        <f t="shared" si="0"/>
        <v>85000</v>
      </c>
      <c r="I10" s="1164">
        <f t="shared" si="0"/>
        <v>85000</v>
      </c>
      <c r="J10" s="1164">
        <f t="shared" si="0"/>
        <v>85000</v>
      </c>
      <c r="K10" s="1164">
        <f t="shared" si="0"/>
        <v>85000</v>
      </c>
      <c r="L10" s="1164">
        <f t="shared" si="0"/>
        <v>85000</v>
      </c>
      <c r="M10" s="1037"/>
    </row>
    <row r="11" spans="1:13" x14ac:dyDescent="0.2">
      <c r="A11" s="1035" t="s">
        <v>600</v>
      </c>
      <c r="B11" s="1037"/>
      <c r="C11" s="1037"/>
      <c r="D11" s="1164">
        <f>$B$29+$B$30/D$15</f>
        <v>266666.66666666669</v>
      </c>
      <c r="E11" s="1164">
        <f t="shared" si="0"/>
        <v>87500</v>
      </c>
      <c r="F11" s="1164">
        <f t="shared" si="0"/>
        <v>85000</v>
      </c>
      <c r="G11" s="1164">
        <f t="shared" si="0"/>
        <v>85000</v>
      </c>
      <c r="H11" s="1164">
        <f t="shared" si="0"/>
        <v>85000</v>
      </c>
      <c r="I11" s="1164">
        <f t="shared" si="0"/>
        <v>85000</v>
      </c>
      <c r="J11" s="1164">
        <f t="shared" si="0"/>
        <v>85000</v>
      </c>
      <c r="K11" s="1164">
        <f t="shared" si="0"/>
        <v>85000</v>
      </c>
      <c r="L11" s="1164">
        <f t="shared" si="0"/>
        <v>85000</v>
      </c>
      <c r="M11" s="1037"/>
    </row>
    <row r="12" spans="1:13" x14ac:dyDescent="0.2">
      <c r="A12" s="1035" t="s">
        <v>601</v>
      </c>
      <c r="B12" s="1037"/>
      <c r="C12" s="1037"/>
      <c r="D12" s="1038"/>
      <c r="E12" s="1164">
        <f>$B$29+$B$30/E$15</f>
        <v>262500</v>
      </c>
      <c r="F12" s="1164">
        <f t="shared" si="0"/>
        <v>85000</v>
      </c>
      <c r="G12" s="1164">
        <f t="shared" si="0"/>
        <v>85000</v>
      </c>
      <c r="H12" s="1164">
        <f t="shared" si="0"/>
        <v>85000</v>
      </c>
      <c r="I12" s="1164">
        <f t="shared" si="0"/>
        <v>85000</v>
      </c>
      <c r="J12" s="1164">
        <f t="shared" si="0"/>
        <v>85000</v>
      </c>
      <c r="K12" s="1164">
        <f t="shared" si="0"/>
        <v>85000</v>
      </c>
      <c r="L12" s="1164">
        <f t="shared" si="0"/>
        <v>85000</v>
      </c>
      <c r="M12" s="1037"/>
    </row>
    <row r="13" spans="1:13" x14ac:dyDescent="0.2">
      <c r="A13" s="1035" t="s">
        <v>602</v>
      </c>
      <c r="B13" s="1037"/>
      <c r="C13" s="1037"/>
      <c r="D13" s="1038"/>
      <c r="E13" s="1038"/>
      <c r="F13" s="1164">
        <f>$B$29+$B$30/F$15</f>
        <v>260000</v>
      </c>
      <c r="G13" s="1164">
        <f t="shared" si="0"/>
        <v>85000</v>
      </c>
      <c r="H13" s="1164">
        <f t="shared" si="0"/>
        <v>85000</v>
      </c>
      <c r="I13" s="1164">
        <f t="shared" si="0"/>
        <v>85000</v>
      </c>
      <c r="J13" s="1164">
        <f t="shared" si="0"/>
        <v>85000</v>
      </c>
      <c r="K13" s="1164">
        <f t="shared" si="0"/>
        <v>85000</v>
      </c>
      <c r="L13" s="1164">
        <f t="shared" si="0"/>
        <v>85000</v>
      </c>
      <c r="M13" s="1037"/>
    </row>
    <row r="14" spans="1:13" x14ac:dyDescent="0.2">
      <c r="A14" s="1035"/>
      <c r="B14" s="1037"/>
      <c r="C14" s="1037"/>
      <c r="D14" s="1037"/>
      <c r="E14" s="1037"/>
      <c r="F14" s="1037"/>
      <c r="G14" s="1037"/>
      <c r="H14" s="1037"/>
      <c r="I14" s="1037"/>
      <c r="J14" s="1037"/>
      <c r="K14" s="1037"/>
      <c r="L14" s="1037"/>
      <c r="M14" s="1030"/>
    </row>
    <row r="15" spans="1:13" x14ac:dyDescent="0.2">
      <c r="A15" s="1035" t="s">
        <v>603</v>
      </c>
      <c r="B15" s="1039">
        <v>0</v>
      </c>
      <c r="C15" s="1039">
        <v>2</v>
      </c>
      <c r="D15" s="1039">
        <v>3</v>
      </c>
      <c r="E15" s="1039">
        <v>4</v>
      </c>
      <c r="F15" s="1039">
        <v>5</v>
      </c>
      <c r="G15" s="1039">
        <v>5</v>
      </c>
      <c r="H15" s="1039">
        <v>5</v>
      </c>
      <c r="I15" s="1039">
        <v>5</v>
      </c>
      <c r="J15" s="1039">
        <v>5</v>
      </c>
      <c r="K15" s="1039">
        <v>5</v>
      </c>
      <c r="L15" s="1039">
        <v>5</v>
      </c>
      <c r="M15" s="1030"/>
    </row>
    <row r="16" spans="1:13" x14ac:dyDescent="0.2">
      <c r="A16" s="1035"/>
      <c r="B16" s="1037"/>
      <c r="C16" s="1037"/>
      <c r="D16" s="1037"/>
      <c r="E16" s="1037"/>
      <c r="F16" s="1037"/>
      <c r="G16" s="1037"/>
      <c r="H16" s="1037"/>
      <c r="I16" s="1037"/>
      <c r="J16" s="1037"/>
      <c r="K16" s="1037"/>
      <c r="L16" s="1037"/>
      <c r="M16" s="1030"/>
    </row>
    <row r="17" spans="1:13" x14ac:dyDescent="0.2">
      <c r="A17" s="1040" t="s">
        <v>604</v>
      </c>
      <c r="B17" s="1041" t="s">
        <v>605</v>
      </c>
      <c r="C17" s="1030"/>
      <c r="D17" s="1030"/>
      <c r="E17" s="1030"/>
      <c r="F17" s="1030"/>
      <c r="G17" s="1030"/>
      <c r="H17" s="1030"/>
      <c r="I17" s="1030"/>
      <c r="J17" s="1030"/>
      <c r="K17" s="1030"/>
      <c r="L17" s="1030"/>
      <c r="M17" s="1030"/>
    </row>
    <row r="18" spans="1:13" x14ac:dyDescent="0.2">
      <c r="A18" s="1148" t="s">
        <v>723</v>
      </c>
      <c r="B18" s="1036">
        <v>2016</v>
      </c>
      <c r="C18" s="1036">
        <v>2017</v>
      </c>
      <c r="D18" s="1036">
        <v>2018</v>
      </c>
      <c r="E18" s="1036">
        <v>2019</v>
      </c>
      <c r="F18" s="1036">
        <v>2020</v>
      </c>
      <c r="G18" s="1036"/>
      <c r="H18" s="1036"/>
      <c r="I18" s="1036"/>
      <c r="J18" s="1036"/>
      <c r="K18" s="1036"/>
      <c r="L18" s="1036"/>
    </row>
    <row r="19" spans="1:13" x14ac:dyDescent="0.2">
      <c r="A19" s="1042" t="s">
        <v>599</v>
      </c>
      <c r="B19" s="1043"/>
      <c r="C19" s="1044" t="s">
        <v>606</v>
      </c>
      <c r="D19" s="1045"/>
      <c r="E19" s="1046"/>
      <c r="F19" s="1046"/>
      <c r="G19" s="1037"/>
      <c r="H19" s="1037"/>
      <c r="I19" s="1037"/>
      <c r="J19" s="1037"/>
      <c r="K19" s="1037"/>
      <c r="L19" s="1037"/>
    </row>
    <row r="20" spans="1:13" x14ac:dyDescent="0.2">
      <c r="A20" s="1042" t="s">
        <v>657</v>
      </c>
      <c r="B20" s="1047"/>
      <c r="C20" s="1044" t="s">
        <v>606</v>
      </c>
      <c r="D20" s="1045"/>
      <c r="E20" s="1046"/>
      <c r="F20" s="1046"/>
      <c r="G20" s="1037"/>
      <c r="H20" s="1037"/>
      <c r="I20" s="1037"/>
      <c r="J20" s="1037"/>
      <c r="K20" s="1037"/>
      <c r="L20" s="1037"/>
    </row>
    <row r="21" spans="1:13" x14ac:dyDescent="0.2">
      <c r="A21" s="1042" t="s">
        <v>600</v>
      </c>
      <c r="B21" s="1043"/>
      <c r="C21" s="1045"/>
      <c r="D21" s="1044" t="s">
        <v>606</v>
      </c>
      <c r="E21" s="1046"/>
      <c r="F21" s="1046"/>
      <c r="G21" s="1037"/>
      <c r="H21" s="1037"/>
      <c r="I21" s="1037"/>
      <c r="J21" s="1037"/>
      <c r="K21" s="1037"/>
      <c r="L21" s="1037"/>
    </row>
    <row r="22" spans="1:13" x14ac:dyDescent="0.2">
      <c r="A22" s="1042" t="s">
        <v>601</v>
      </c>
      <c r="B22" s="1043"/>
      <c r="C22" s="1046"/>
      <c r="D22" s="1048" t="s">
        <v>607</v>
      </c>
      <c r="E22" s="1046" t="s">
        <v>608</v>
      </c>
      <c r="F22" s="1046"/>
      <c r="G22" s="1037"/>
      <c r="H22" s="1037"/>
      <c r="I22" s="1037"/>
      <c r="J22" s="1037"/>
      <c r="K22" s="1037"/>
      <c r="L22" s="1037"/>
    </row>
    <row r="23" spans="1:13" x14ac:dyDescent="0.2">
      <c r="A23" s="1042" t="s">
        <v>602</v>
      </c>
      <c r="B23" s="1043"/>
      <c r="C23" s="1046"/>
      <c r="D23" s="1048" t="s">
        <v>607</v>
      </c>
      <c r="E23" s="1046"/>
      <c r="F23" s="1046" t="s">
        <v>608</v>
      </c>
      <c r="G23" s="1037"/>
      <c r="H23" s="1037"/>
      <c r="I23" s="1037"/>
      <c r="J23" s="1037"/>
      <c r="K23" s="1037"/>
      <c r="L23" s="1037"/>
    </row>
    <row r="24" spans="1:13" x14ac:dyDescent="0.2">
      <c r="A24" s="1035"/>
      <c r="B24" s="1037"/>
      <c r="C24" s="1030"/>
      <c r="D24" s="1030"/>
      <c r="E24" s="1030"/>
      <c r="F24" s="1030"/>
      <c r="G24" s="1030"/>
      <c r="H24" s="1030"/>
      <c r="I24" s="1030"/>
      <c r="J24" s="1030"/>
      <c r="K24" s="1030"/>
      <c r="L24" s="1030"/>
    </row>
    <row r="25" spans="1:13" x14ac:dyDescent="0.2">
      <c r="A25" s="1040" t="s">
        <v>609</v>
      </c>
      <c r="B25" s="1037"/>
      <c r="C25" s="1030"/>
      <c r="D25" s="1030"/>
      <c r="E25" s="1030"/>
      <c r="F25" s="1030"/>
      <c r="G25" s="1030"/>
      <c r="H25" s="1030"/>
      <c r="I25" s="1030"/>
      <c r="J25" s="1030"/>
      <c r="K25" s="1030"/>
      <c r="L25" s="1030"/>
    </row>
    <row r="26" spans="1:13" x14ac:dyDescent="0.2">
      <c r="A26" s="1036" t="s">
        <v>610</v>
      </c>
      <c r="B26" s="1036" t="s">
        <v>611</v>
      </c>
      <c r="C26" s="1036" t="s">
        <v>612</v>
      </c>
      <c r="D26" s="1030"/>
      <c r="E26" s="1030"/>
      <c r="F26" s="1030"/>
      <c r="G26" s="1030"/>
      <c r="H26" s="1030"/>
      <c r="I26" s="1030"/>
      <c r="J26" s="1030"/>
      <c r="K26" s="1030"/>
      <c r="L26" s="1030"/>
    </row>
    <row r="27" spans="1:13" x14ac:dyDescent="0.2">
      <c r="A27" s="1049" t="s">
        <v>613</v>
      </c>
      <c r="B27" s="1050">
        <v>75000</v>
      </c>
      <c r="C27" s="1051" t="s">
        <v>614</v>
      </c>
      <c r="D27" s="1030"/>
      <c r="E27" s="1030"/>
      <c r="F27" s="1030"/>
      <c r="G27" s="1030"/>
      <c r="H27" s="1030"/>
      <c r="I27" s="1030"/>
      <c r="J27" s="1030"/>
      <c r="K27" s="1030"/>
      <c r="L27" s="1030"/>
    </row>
    <row r="28" spans="1:13" x14ac:dyDescent="0.2">
      <c r="A28" s="1052" t="s">
        <v>615</v>
      </c>
      <c r="B28" s="1053">
        <v>150000</v>
      </c>
      <c r="C28" s="1051" t="s">
        <v>616</v>
      </c>
      <c r="D28" s="1030"/>
      <c r="E28" s="1030"/>
      <c r="F28" s="1030"/>
      <c r="G28" s="1030"/>
      <c r="H28" s="1030"/>
      <c r="I28" s="1030"/>
      <c r="J28" s="1030"/>
      <c r="K28" s="1030"/>
      <c r="L28" s="1030"/>
    </row>
    <row r="29" spans="1:13" x14ac:dyDescent="0.2">
      <c r="A29" s="1049" t="s">
        <v>617</v>
      </c>
      <c r="B29" s="1050">
        <v>250000</v>
      </c>
      <c r="C29" s="1054" t="s">
        <v>618</v>
      </c>
      <c r="D29" s="1030"/>
      <c r="E29" s="1030"/>
      <c r="F29" s="1030"/>
      <c r="G29" s="1030"/>
      <c r="H29" s="1030"/>
      <c r="I29" s="1030"/>
      <c r="J29" s="1030"/>
      <c r="K29" s="1030"/>
      <c r="L29" s="1030"/>
    </row>
    <row r="30" spans="1:13" x14ac:dyDescent="0.2">
      <c r="A30" s="1049" t="s">
        <v>619</v>
      </c>
      <c r="B30" s="1050">
        <v>50000</v>
      </c>
      <c r="C30" s="1054" t="s">
        <v>620</v>
      </c>
      <c r="D30" s="1030"/>
      <c r="E30" s="1030"/>
      <c r="F30" s="1030"/>
      <c r="G30" s="1030"/>
      <c r="H30" s="1030"/>
      <c r="I30" s="1030"/>
      <c r="J30" s="1030"/>
      <c r="K30" s="1030"/>
      <c r="L30" s="1030"/>
    </row>
    <row r="31" spans="1:13" x14ac:dyDescent="0.2">
      <c r="A31" s="1030"/>
      <c r="B31" s="1030"/>
      <c r="C31" s="1030"/>
      <c r="D31" s="1030"/>
      <c r="E31" s="1030"/>
      <c r="F31" s="1030"/>
      <c r="G31" s="1030"/>
      <c r="H31" s="1030"/>
      <c r="I31" s="1030"/>
      <c r="J31" s="1030"/>
      <c r="K31" s="1030"/>
      <c r="L31" s="1030"/>
    </row>
    <row r="32" spans="1:13" x14ac:dyDescent="0.2">
      <c r="A32" s="1065"/>
      <c r="B32" s="1065"/>
      <c r="C32" s="1065"/>
      <c r="D32" s="1065"/>
      <c r="E32" s="1065"/>
      <c r="F32" s="1065"/>
      <c r="G32" s="1065"/>
      <c r="H32" s="1065"/>
      <c r="I32" s="1065"/>
      <c r="J32" s="1065"/>
      <c r="K32" s="1065"/>
      <c r="L32" s="1065"/>
    </row>
    <row r="33" spans="1:12" x14ac:dyDescent="0.2">
      <c r="A33" s="1030"/>
      <c r="B33" s="1030"/>
      <c r="C33" s="1030"/>
      <c r="D33" s="1030"/>
      <c r="E33" s="1030"/>
      <c r="F33" s="1030"/>
      <c r="G33" s="1030"/>
      <c r="H33" s="1030"/>
      <c r="I33" s="1030"/>
      <c r="J33" s="1030"/>
      <c r="K33" s="1030"/>
      <c r="L33" s="1030"/>
    </row>
    <row r="34" spans="1:12" x14ac:dyDescent="0.2">
      <c r="A34" s="1055" t="s">
        <v>621</v>
      </c>
      <c r="B34" s="1030"/>
      <c r="C34" s="1030"/>
      <c r="D34" s="1030"/>
      <c r="E34" s="1030"/>
      <c r="F34" s="1030"/>
      <c r="G34" s="1030"/>
      <c r="H34" s="1030"/>
    </row>
    <row r="35" spans="1:12" x14ac:dyDescent="0.2">
      <c r="A35" s="1030"/>
      <c r="B35" s="1066" t="s">
        <v>622</v>
      </c>
      <c r="C35" s="1066" t="s">
        <v>623</v>
      </c>
      <c r="D35" s="1066" t="s">
        <v>624</v>
      </c>
      <c r="E35" s="1066" t="s">
        <v>625</v>
      </c>
      <c r="F35" s="1066" t="s">
        <v>626</v>
      </c>
      <c r="G35" s="1056"/>
      <c r="H35" s="1056"/>
    </row>
    <row r="36" spans="1:12" x14ac:dyDescent="0.2">
      <c r="A36" s="1056" t="s">
        <v>627</v>
      </c>
      <c r="B36" s="1166">
        <f>0.106*B42</f>
        <v>0</v>
      </c>
      <c r="C36" s="1166">
        <f t="shared" ref="C36:F36" si="1">0.106*C42</f>
        <v>0</v>
      </c>
      <c r="D36" s="1166">
        <f t="shared" si="1"/>
        <v>0</v>
      </c>
      <c r="E36" s="1166">
        <f t="shared" si="1"/>
        <v>37391.5</v>
      </c>
      <c r="F36" s="1166">
        <f t="shared" si="1"/>
        <v>38139.33</v>
      </c>
      <c r="G36" s="1030"/>
      <c r="H36" s="1030"/>
    </row>
    <row r="37" spans="1:12" x14ac:dyDescent="0.2">
      <c r="A37" s="1056" t="s">
        <v>166</v>
      </c>
      <c r="B37" s="1166">
        <f>'Budget Summary '!F74</f>
        <v>0</v>
      </c>
      <c r="C37" s="1166">
        <f>'Budget Summary '!H74</f>
        <v>0</v>
      </c>
      <c r="D37" s="1166">
        <f>'Budget Summary '!J74</f>
        <v>0</v>
      </c>
      <c r="E37" s="1166">
        <f>'Budget Summary '!L74</f>
        <v>10806.125</v>
      </c>
      <c r="F37" s="1166">
        <f>'Budget Summary '!N74</f>
        <v>11022.247500000001</v>
      </c>
      <c r="G37" s="1030"/>
      <c r="H37" s="1057"/>
    </row>
    <row r="38" spans="1:12" x14ac:dyDescent="0.2">
      <c r="A38" s="1056" t="s">
        <v>163</v>
      </c>
      <c r="B38" s="1166">
        <f>('Budget with Assumptions'!$D$75/(AVERAGE(Personnel!$B$66,Personnel!$B$68:$B$70,Personnel!$B$73)))*B42</f>
        <v>0</v>
      </c>
      <c r="C38" s="1166">
        <f>('Budget with Assumptions'!$D$75/(AVERAGE(Personnel!$B$66,Personnel!$B$68:$B$70,Personnel!$B$73)))*C42</f>
        <v>0</v>
      </c>
      <c r="D38" s="1166">
        <f>('Budget with Assumptions'!$D$75/(AVERAGE(Personnel!$B$66,Personnel!$B$68:$B$70,Personnel!$B$73)))*D42</f>
        <v>0</v>
      </c>
      <c r="E38" s="1166">
        <f>('Budget with Assumptions'!$D$75/(AVERAGE(Personnel!$B$66,Personnel!$B$68:$B$70,Personnel!$B$73)))*E42</f>
        <v>29968.141592920354</v>
      </c>
      <c r="F38" s="1166">
        <f>('Budget with Assumptions'!$D$75/(AVERAGE(Personnel!$B$66,Personnel!$B$68:$B$70,Personnel!$B$73)))*F42</f>
        <v>30567.504424778759</v>
      </c>
      <c r="G38" s="1030"/>
      <c r="H38" s="1030"/>
    </row>
    <row r="39" spans="1:12" x14ac:dyDescent="0.2">
      <c r="A39" s="1056" t="s">
        <v>167</v>
      </c>
      <c r="B39" s="1166">
        <f>0.01*B$42</f>
        <v>0</v>
      </c>
      <c r="C39" s="1166">
        <f t="shared" ref="C39:F39" si="2">0.01*C$42</f>
        <v>0</v>
      </c>
      <c r="D39" s="1166">
        <f t="shared" si="2"/>
        <v>0</v>
      </c>
      <c r="E39" s="1166">
        <f t="shared" si="2"/>
        <v>3527.5</v>
      </c>
      <c r="F39" s="1166">
        <f t="shared" si="2"/>
        <v>3598.05</v>
      </c>
      <c r="G39" s="1030"/>
      <c r="H39" s="1030"/>
    </row>
    <row r="40" spans="1:12" x14ac:dyDescent="0.2">
      <c r="A40" s="1058" t="s">
        <v>177</v>
      </c>
      <c r="B40" s="1168">
        <f>0.01*B$42</f>
        <v>0</v>
      </c>
      <c r="C40" s="1168">
        <f t="shared" ref="C40:F40" si="3">0.01*C$42</f>
        <v>0</v>
      </c>
      <c r="D40" s="1168">
        <f t="shared" si="3"/>
        <v>0</v>
      </c>
      <c r="E40" s="1168">
        <f t="shared" si="3"/>
        <v>3527.5</v>
      </c>
      <c r="F40" s="1168">
        <f t="shared" si="3"/>
        <v>3598.05</v>
      </c>
      <c r="G40" s="1030"/>
      <c r="H40" s="1030"/>
    </row>
    <row r="41" spans="1:12" x14ac:dyDescent="0.2">
      <c r="A41" s="1056" t="s">
        <v>628</v>
      </c>
      <c r="B41" s="1166">
        <f>SUM(B36:B40)</f>
        <v>0</v>
      </c>
      <c r="C41" s="1166">
        <f t="shared" ref="C41:F41" si="4">SUM(C36:C40)</f>
        <v>0</v>
      </c>
      <c r="D41" s="1166">
        <f t="shared" si="4"/>
        <v>0</v>
      </c>
      <c r="E41" s="1166">
        <f t="shared" si="4"/>
        <v>85220.76659292035</v>
      </c>
      <c r="F41" s="1166">
        <f t="shared" si="4"/>
        <v>86925.181924778764</v>
      </c>
      <c r="G41" s="1056"/>
      <c r="H41" s="1056"/>
    </row>
    <row r="42" spans="1:12" x14ac:dyDescent="0.2">
      <c r="A42" s="1056" t="s">
        <v>629</v>
      </c>
      <c r="B42" s="1166">
        <f>Personnel!G142</f>
        <v>0</v>
      </c>
      <c r="C42" s="1166">
        <f>Personnel!I142</f>
        <v>0</v>
      </c>
      <c r="D42" s="1166">
        <f>Personnel!K142</f>
        <v>0</v>
      </c>
      <c r="E42" s="1166">
        <f>Personnel!M142</f>
        <v>352750</v>
      </c>
      <c r="F42" s="1166">
        <f>Personnel!O142</f>
        <v>359805</v>
      </c>
      <c r="G42" s="1030"/>
      <c r="H42" s="1030"/>
    </row>
    <row r="43" spans="1:12" x14ac:dyDescent="0.2">
      <c r="A43" s="1056" t="s">
        <v>630</v>
      </c>
      <c r="B43" s="1167" t="e">
        <f>B41/B42</f>
        <v>#DIV/0!</v>
      </c>
      <c r="C43" s="1167" t="e">
        <f t="shared" ref="C43:F43" si="5">C41/C42</f>
        <v>#DIV/0!</v>
      </c>
      <c r="D43" s="1167" t="e">
        <f t="shared" si="5"/>
        <v>#DIV/0!</v>
      </c>
      <c r="E43" s="1167">
        <f t="shared" si="5"/>
        <v>0.24158969976731495</v>
      </c>
      <c r="F43" s="1167">
        <f t="shared" si="5"/>
        <v>0.24158969976731498</v>
      </c>
      <c r="G43" s="1030"/>
      <c r="H43" s="1030"/>
    </row>
    <row r="44" spans="1:12" x14ac:dyDescent="0.2">
      <c r="A44" s="1030"/>
      <c r="B44" s="1030"/>
      <c r="C44" s="1030"/>
      <c r="D44" s="1030"/>
      <c r="E44" s="1030"/>
      <c r="F44" s="1030"/>
      <c r="G44" s="1030"/>
      <c r="H44" s="1030"/>
    </row>
    <row r="45" spans="1:12" x14ac:dyDescent="0.2">
      <c r="A45" s="1065"/>
      <c r="B45" s="1065"/>
      <c r="C45" s="1065"/>
      <c r="D45" s="1065"/>
      <c r="E45" s="1065"/>
      <c r="F45" s="1065"/>
      <c r="G45" s="1065"/>
      <c r="H45" s="1065"/>
    </row>
    <row r="46" spans="1:12" x14ac:dyDescent="0.2">
      <c r="A46" s="1030"/>
      <c r="B46" s="1030"/>
      <c r="C46" s="1030"/>
      <c r="D46" s="1030"/>
      <c r="E46" s="1030"/>
      <c r="F46" s="1030"/>
      <c r="G46" s="1030"/>
      <c r="H46" s="1030"/>
    </row>
    <row r="47" spans="1:12" x14ac:dyDescent="0.2">
      <c r="A47" s="1055" t="s">
        <v>631</v>
      </c>
      <c r="B47" s="1290" t="s">
        <v>632</v>
      </c>
      <c r="C47" s="1290"/>
      <c r="D47" s="1290"/>
      <c r="E47" s="1290"/>
      <c r="F47" s="1290"/>
      <c r="G47" s="1030"/>
      <c r="H47" s="1030"/>
    </row>
    <row r="48" spans="1:12" x14ac:dyDescent="0.2">
      <c r="A48" s="1069" t="s">
        <v>633</v>
      </c>
      <c r="B48" s="1068" t="s">
        <v>622</v>
      </c>
      <c r="C48" s="1068" t="s">
        <v>623</v>
      </c>
      <c r="D48" s="1068" t="s">
        <v>624</v>
      </c>
      <c r="E48" s="1068" t="s">
        <v>625</v>
      </c>
      <c r="F48" s="1068" t="s">
        <v>626</v>
      </c>
      <c r="G48" s="1030"/>
      <c r="H48" s="1030"/>
    </row>
    <row r="49" spans="1:13" x14ac:dyDescent="0.2">
      <c r="A49" s="1067">
        <v>0.2</v>
      </c>
      <c r="B49" s="1056">
        <v>165</v>
      </c>
      <c r="C49" s="1056">
        <v>65</v>
      </c>
      <c r="D49" s="1056">
        <v>45</v>
      </c>
      <c r="E49" s="1056">
        <v>20</v>
      </c>
      <c r="F49" s="1056">
        <v>20</v>
      </c>
      <c r="G49" s="1165" t="s">
        <v>724</v>
      </c>
      <c r="H49" s="1030"/>
    </row>
    <row r="50" spans="1:13" x14ac:dyDescent="0.2">
      <c r="A50" s="1067">
        <v>0.4</v>
      </c>
      <c r="B50" s="1056">
        <v>0</v>
      </c>
      <c r="C50" s="1056">
        <v>100</v>
      </c>
      <c r="D50" s="1056">
        <v>75</v>
      </c>
      <c r="E50" s="1056">
        <v>80</v>
      </c>
      <c r="F50" s="1056">
        <v>80</v>
      </c>
      <c r="G50" s="1165" t="s">
        <v>725</v>
      </c>
      <c r="H50" s="1030"/>
      <c r="I50" s="1030"/>
      <c r="J50" s="1030"/>
      <c r="K50" s="1030"/>
      <c r="L50" s="1030"/>
      <c r="M50" s="1030"/>
    </row>
    <row r="51" spans="1:13" x14ac:dyDescent="0.2">
      <c r="A51" s="1067">
        <v>0.8</v>
      </c>
      <c r="B51" s="1056">
        <v>0</v>
      </c>
      <c r="C51" s="1056">
        <v>0</v>
      </c>
      <c r="D51" s="1056">
        <v>45</v>
      </c>
      <c r="E51" s="1056">
        <v>65</v>
      </c>
      <c r="F51" s="1056">
        <v>65</v>
      </c>
      <c r="G51" s="1165" t="s">
        <v>726</v>
      </c>
      <c r="H51" s="1030"/>
      <c r="I51" s="1030"/>
      <c r="J51" s="1030"/>
      <c r="K51" s="1030"/>
      <c r="L51" s="1030"/>
      <c r="M51" s="1030"/>
    </row>
    <row r="52" spans="1:13" x14ac:dyDescent="0.2">
      <c r="A52" s="1061" t="s">
        <v>595</v>
      </c>
      <c r="B52" s="1062">
        <f>SUM(B49:B51)</f>
        <v>165</v>
      </c>
      <c r="C52" s="1169">
        <f t="shared" ref="C52:F52" si="6">SUM(C49:C51)</f>
        <v>165</v>
      </c>
      <c r="D52" s="1169">
        <f t="shared" si="6"/>
        <v>165</v>
      </c>
      <c r="E52" s="1169">
        <f t="shared" si="6"/>
        <v>165</v>
      </c>
      <c r="F52" s="1169">
        <f t="shared" si="6"/>
        <v>165</v>
      </c>
      <c r="G52" s="1030"/>
      <c r="H52" s="1030"/>
      <c r="I52" s="1030"/>
      <c r="J52" s="1030"/>
      <c r="K52" s="1030"/>
      <c r="L52" s="1030"/>
      <c r="M52" s="1030"/>
    </row>
    <row r="53" spans="1:13" x14ac:dyDescent="0.2">
      <c r="A53" s="1056"/>
      <c r="B53" s="1056"/>
      <c r="C53" s="1056"/>
      <c r="D53" s="1056"/>
      <c r="E53" s="1056"/>
      <c r="F53" s="1056"/>
      <c r="G53" s="1030"/>
      <c r="H53" s="1030"/>
      <c r="I53" s="1030"/>
      <c r="J53" s="1030"/>
      <c r="K53" s="1030"/>
      <c r="L53" s="1030"/>
      <c r="M53" s="1030"/>
    </row>
    <row r="54" spans="1:13" x14ac:dyDescent="0.2">
      <c r="A54" s="1034"/>
      <c r="B54" s="1060"/>
      <c r="C54" s="1060"/>
      <c r="D54" s="1060"/>
      <c r="E54" s="1060"/>
      <c r="F54" s="1060"/>
      <c r="G54" s="1060"/>
      <c r="H54" s="1060"/>
      <c r="I54" s="1060"/>
      <c r="J54" s="1060"/>
      <c r="K54" s="1060"/>
      <c r="L54" s="1030"/>
      <c r="M54" s="1037"/>
    </row>
    <row r="55" spans="1:13" x14ac:dyDescent="0.2">
      <c r="A55" s="1030"/>
      <c r="B55" s="1291" t="s">
        <v>634</v>
      </c>
      <c r="C55" s="1291"/>
      <c r="D55" s="1291"/>
      <c r="E55" s="1291"/>
      <c r="F55" s="1292"/>
      <c r="G55" s="1032"/>
      <c r="H55" s="1060"/>
      <c r="I55" s="1060"/>
      <c r="J55" s="1060"/>
      <c r="K55" s="1060"/>
      <c r="L55" s="1030"/>
      <c r="M55" s="1037"/>
    </row>
    <row r="56" spans="1:13" x14ac:dyDescent="0.2">
      <c r="A56" s="1030"/>
      <c r="B56" s="1068" t="s">
        <v>622</v>
      </c>
      <c r="C56" s="1068" t="s">
        <v>623</v>
      </c>
      <c r="D56" s="1068" t="s">
        <v>624</v>
      </c>
      <c r="E56" s="1068" t="s">
        <v>625</v>
      </c>
      <c r="F56" s="1068" t="s">
        <v>626</v>
      </c>
      <c r="G56" s="1030"/>
      <c r="H56" s="1030"/>
      <c r="I56" s="1060"/>
      <c r="J56" s="1060"/>
      <c r="K56" s="1060"/>
      <c r="L56" s="1030"/>
      <c r="M56" s="1037"/>
    </row>
    <row r="57" spans="1:13" x14ac:dyDescent="0.2">
      <c r="A57" s="1030"/>
      <c r="B57" s="1165">
        <f>B49*$A49</f>
        <v>33</v>
      </c>
      <c r="C57" s="1165">
        <f t="shared" ref="C57:F57" si="7">C49*$A49</f>
        <v>13</v>
      </c>
      <c r="D57" s="1165">
        <f t="shared" si="7"/>
        <v>9</v>
      </c>
      <c r="E57" s="1165">
        <f t="shared" si="7"/>
        <v>4</v>
      </c>
      <c r="F57" s="1165">
        <f t="shared" si="7"/>
        <v>4</v>
      </c>
      <c r="G57" s="1030"/>
      <c r="H57" s="1060"/>
      <c r="I57" s="1060"/>
      <c r="J57" s="1060"/>
      <c r="K57" s="1060"/>
      <c r="L57" s="1030"/>
      <c r="M57" s="1030"/>
    </row>
    <row r="58" spans="1:13" x14ac:dyDescent="0.2">
      <c r="A58" s="1030"/>
      <c r="B58" s="1165">
        <f>B50*$A50</f>
        <v>0</v>
      </c>
      <c r="C58" s="1165">
        <f t="shared" ref="C58:F58" si="8">C50*$A50</f>
        <v>40</v>
      </c>
      <c r="D58" s="1165">
        <f t="shared" si="8"/>
        <v>30</v>
      </c>
      <c r="E58" s="1165">
        <f t="shared" si="8"/>
        <v>32</v>
      </c>
      <c r="F58" s="1165">
        <f t="shared" si="8"/>
        <v>32</v>
      </c>
      <c r="G58" s="1036"/>
      <c r="H58" s="1060"/>
      <c r="I58" s="1060"/>
      <c r="J58" s="1060"/>
      <c r="K58" s="1060"/>
      <c r="L58" s="1030"/>
      <c r="M58" s="1030"/>
    </row>
    <row r="59" spans="1:13" x14ac:dyDescent="0.2">
      <c r="A59" s="1030"/>
      <c r="B59" s="1165">
        <f>B51*$A51</f>
        <v>0</v>
      </c>
      <c r="C59" s="1165">
        <f t="shared" ref="C59:F59" si="9">C51*$A51</f>
        <v>0</v>
      </c>
      <c r="D59" s="1165">
        <f t="shared" si="9"/>
        <v>36</v>
      </c>
      <c r="E59" s="1165">
        <f t="shared" si="9"/>
        <v>52</v>
      </c>
      <c r="F59" s="1165">
        <f t="shared" si="9"/>
        <v>52</v>
      </c>
      <c r="G59" s="1038"/>
      <c r="H59" s="1060"/>
      <c r="I59" s="1060"/>
      <c r="J59" s="1060"/>
      <c r="K59" s="1060"/>
      <c r="L59" s="1030"/>
      <c r="M59" s="1030"/>
    </row>
    <row r="60" spans="1:13" x14ac:dyDescent="0.2">
      <c r="A60" s="1064" t="s">
        <v>635</v>
      </c>
      <c r="B60" s="1062">
        <f>SUM(B57:B59)</f>
        <v>33</v>
      </c>
      <c r="C60" s="1169">
        <f t="shared" ref="C60:F60" si="10">SUM(C57:C59)</f>
        <v>53</v>
      </c>
      <c r="D60" s="1169">
        <f t="shared" si="10"/>
        <v>75</v>
      </c>
      <c r="E60" s="1169">
        <f t="shared" si="10"/>
        <v>88</v>
      </c>
      <c r="F60" s="1169">
        <f t="shared" si="10"/>
        <v>88</v>
      </c>
      <c r="G60" s="1038"/>
      <c r="H60" s="1059"/>
      <c r="I60" s="1059"/>
      <c r="J60" s="1059"/>
      <c r="K60" s="1059"/>
      <c r="L60" s="1030"/>
      <c r="M60" s="1030"/>
    </row>
    <row r="61" spans="1:13" x14ac:dyDescent="0.2">
      <c r="A61" s="1063" t="s">
        <v>636</v>
      </c>
      <c r="B61" s="1170">
        <f>B60*$B$63</f>
        <v>66000</v>
      </c>
      <c r="C61" s="1170">
        <f t="shared" ref="C61:F61" si="11">C60*$B$63</f>
        <v>106000</v>
      </c>
      <c r="D61" s="1170">
        <f t="shared" si="11"/>
        <v>150000</v>
      </c>
      <c r="E61" s="1170">
        <f t="shared" si="11"/>
        <v>176000</v>
      </c>
      <c r="F61" s="1170">
        <f t="shared" si="11"/>
        <v>176000</v>
      </c>
      <c r="G61" s="1038"/>
      <c r="H61" s="1059"/>
      <c r="I61" s="1059"/>
      <c r="J61" s="1059"/>
      <c r="K61" s="1059"/>
      <c r="L61" s="1030"/>
      <c r="M61" s="1030"/>
    </row>
    <row r="62" spans="1:13" x14ac:dyDescent="0.2">
      <c r="A62" s="1059"/>
      <c r="B62" s="1059"/>
      <c r="C62" s="1059"/>
      <c r="D62" s="1059"/>
      <c r="E62" s="1059"/>
      <c r="F62" s="1059"/>
      <c r="G62" s="1059"/>
      <c r="H62" s="1059"/>
      <c r="I62" s="1059"/>
      <c r="J62" s="1059"/>
      <c r="K62" s="1059"/>
      <c r="L62" s="1030"/>
      <c r="M62" s="1030"/>
    </row>
    <row r="63" spans="1:13" x14ac:dyDescent="0.2">
      <c r="A63" s="1070" t="s">
        <v>637</v>
      </c>
      <c r="B63" s="1071">
        <v>2000</v>
      </c>
      <c r="C63" s="1059"/>
      <c r="D63" s="1059"/>
      <c r="E63" s="1059"/>
      <c r="F63" s="1059"/>
      <c r="G63" s="1059"/>
      <c r="H63" s="1059"/>
      <c r="I63" s="1059"/>
      <c r="J63" s="1059"/>
      <c r="K63" s="1059"/>
      <c r="L63" s="1030"/>
      <c r="M63" s="1030"/>
    </row>
    <row r="64" spans="1:13" x14ac:dyDescent="0.2">
      <c r="A64" s="1030"/>
      <c r="B64" s="1059" t="s">
        <v>638</v>
      </c>
      <c r="C64" s="1059"/>
      <c r="D64" s="1059"/>
      <c r="E64" s="1059"/>
      <c r="F64" s="1059"/>
      <c r="G64" s="1059"/>
      <c r="H64" s="1059"/>
      <c r="I64" s="1059"/>
      <c r="J64" s="1059"/>
      <c r="K64" s="1059"/>
      <c r="L64" s="1030"/>
      <c r="M64" s="1030"/>
    </row>
    <row r="65" spans="1:13" x14ac:dyDescent="0.2">
      <c r="A65" s="1030"/>
      <c r="B65" s="1030"/>
      <c r="C65" s="1030"/>
      <c r="D65" s="1030"/>
      <c r="E65" s="1030"/>
      <c r="F65" s="1030"/>
      <c r="G65" s="1030"/>
      <c r="H65" s="1030"/>
      <c r="I65" s="1030"/>
      <c r="J65" s="1030"/>
      <c r="K65" s="1030"/>
      <c r="L65" s="1030"/>
      <c r="M65" s="1030"/>
    </row>
    <row r="66" spans="1:13" x14ac:dyDescent="0.2">
      <c r="A66" s="1065"/>
      <c r="B66" s="1065"/>
      <c r="C66" s="1065"/>
      <c r="D66" s="1065"/>
      <c r="E66" s="1065"/>
      <c r="F66" s="1065"/>
      <c r="G66" s="1065"/>
      <c r="H66" s="1065"/>
      <c r="I66" s="1065"/>
      <c r="J66" s="1065"/>
      <c r="K66" s="1065"/>
      <c r="L66" s="1065"/>
    </row>
    <row r="67" spans="1:13" x14ac:dyDescent="0.2">
      <c r="A67" s="1030"/>
      <c r="B67" s="1030"/>
      <c r="C67" s="1030"/>
      <c r="D67" s="1030"/>
      <c r="E67" s="1030"/>
      <c r="F67" s="1030"/>
      <c r="G67" s="1030"/>
      <c r="H67" s="1030"/>
      <c r="I67" s="1030"/>
      <c r="J67" s="1030"/>
      <c r="K67" s="1030"/>
      <c r="L67" s="1030"/>
    </row>
    <row r="68" spans="1:13" x14ac:dyDescent="0.2">
      <c r="A68" s="1072" t="s">
        <v>639</v>
      </c>
      <c r="B68" s="1030"/>
      <c r="C68" s="1030"/>
      <c r="D68" s="1030"/>
      <c r="E68" s="1030"/>
      <c r="F68" s="1030"/>
      <c r="G68" s="1030"/>
      <c r="H68" s="1030"/>
      <c r="I68" s="1030"/>
      <c r="J68" s="1030"/>
      <c r="K68" s="1030"/>
      <c r="L68" s="1030"/>
    </row>
    <row r="69" spans="1:13" ht="13.5" x14ac:dyDescent="0.2">
      <c r="A69" s="1035"/>
      <c r="B69" s="1068" t="s">
        <v>640</v>
      </c>
      <c r="C69" s="1068" t="s">
        <v>622</v>
      </c>
      <c r="D69" s="1068" t="s">
        <v>623</v>
      </c>
      <c r="E69" s="1068" t="s">
        <v>624</v>
      </c>
      <c r="F69" s="1068" t="s">
        <v>625</v>
      </c>
      <c r="G69" s="1068" t="s">
        <v>626</v>
      </c>
      <c r="H69" s="1038"/>
      <c r="I69" s="1038"/>
      <c r="J69" s="1073" t="s">
        <v>612</v>
      </c>
      <c r="K69" s="1038"/>
      <c r="L69" s="1038"/>
    </row>
    <row r="70" spans="1:13" x14ac:dyDescent="0.2">
      <c r="A70" s="1035" t="s">
        <v>641</v>
      </c>
      <c r="B70" s="1038"/>
      <c r="C70" s="1164">
        <f>$I70*B$52</f>
        <v>24750</v>
      </c>
      <c r="D70" s="1164">
        <f>$I70*C$52</f>
        <v>24750</v>
      </c>
      <c r="E70" s="1164">
        <f t="shared" ref="E70:G70" si="12">$I70*D$52</f>
        <v>24750</v>
      </c>
      <c r="F70" s="1164">
        <f t="shared" si="12"/>
        <v>24750</v>
      </c>
      <c r="G70" s="1164">
        <f t="shared" si="12"/>
        <v>24750</v>
      </c>
      <c r="H70" s="1038"/>
      <c r="I70" s="1071">
        <v>150</v>
      </c>
      <c r="J70" s="1038" t="s">
        <v>642</v>
      </c>
      <c r="K70" s="1038"/>
      <c r="L70" s="1038"/>
    </row>
    <row r="71" spans="1:13" x14ac:dyDescent="0.2">
      <c r="A71" s="1035" t="s">
        <v>643</v>
      </c>
      <c r="B71" s="1038"/>
      <c r="C71" s="1171">
        <f>$I71*B$52</f>
        <v>3300</v>
      </c>
      <c r="D71" s="1171">
        <f t="shared" ref="D71:G71" si="13">$I71*C$52</f>
        <v>3300</v>
      </c>
      <c r="E71" s="1171">
        <f t="shared" si="13"/>
        <v>3300</v>
      </c>
      <c r="F71" s="1171">
        <f t="shared" si="13"/>
        <v>3300</v>
      </c>
      <c r="G71" s="1171">
        <f t="shared" si="13"/>
        <v>3300</v>
      </c>
      <c r="H71" s="1038"/>
      <c r="I71" s="1071">
        <v>20</v>
      </c>
      <c r="J71" s="1038" t="s">
        <v>642</v>
      </c>
      <c r="K71" s="1038"/>
      <c r="L71" s="1038"/>
    </row>
    <row r="72" spans="1:13" x14ac:dyDescent="0.2">
      <c r="A72" s="1035" t="s">
        <v>644</v>
      </c>
      <c r="B72" s="1030"/>
      <c r="C72" s="1172">
        <f>$I72*(B$52)+20000</f>
        <v>21650</v>
      </c>
      <c r="D72" s="1172">
        <f t="shared" ref="D72:G72" si="14">$I72*(C$52)+20000</f>
        <v>21650</v>
      </c>
      <c r="E72" s="1172">
        <f t="shared" si="14"/>
        <v>21650</v>
      </c>
      <c r="F72" s="1172">
        <f t="shared" si="14"/>
        <v>21650</v>
      </c>
      <c r="G72" s="1172">
        <f t="shared" si="14"/>
        <v>21650</v>
      </c>
      <c r="H72" s="1030"/>
      <c r="I72" s="1071">
        <v>10</v>
      </c>
      <c r="J72" s="1038" t="s">
        <v>645</v>
      </c>
      <c r="K72" s="1030"/>
      <c r="L72" s="1030"/>
    </row>
    <row r="73" spans="1:13" x14ac:dyDescent="0.2">
      <c r="A73" s="1035" t="s">
        <v>646</v>
      </c>
      <c r="B73" s="1038"/>
      <c r="C73" s="1172">
        <f>$I$73*B52+(40*I72)</f>
        <v>41650</v>
      </c>
      <c r="D73" s="1172">
        <f>$I$73*C52+(40*I72)</f>
        <v>41650</v>
      </c>
      <c r="E73" s="1172">
        <f>$I$73*D52+(40*I72)</f>
        <v>41650</v>
      </c>
      <c r="F73" s="1172">
        <f>$I$73*E52+(40*I72)</f>
        <v>41650</v>
      </c>
      <c r="G73" s="1172">
        <f>$I$73*F52+(40*I72)</f>
        <v>41650</v>
      </c>
      <c r="H73" s="1030"/>
      <c r="I73" s="1071">
        <v>250</v>
      </c>
      <c r="J73" s="1038" t="s">
        <v>647</v>
      </c>
      <c r="K73" s="1030"/>
      <c r="L73" s="1030"/>
    </row>
    <row r="74" spans="1:13" x14ac:dyDescent="0.2">
      <c r="A74" s="1035" t="s">
        <v>648</v>
      </c>
      <c r="B74" s="1038">
        <v>30000</v>
      </c>
      <c r="C74" s="1038">
        <v>10000</v>
      </c>
      <c r="D74" s="1038">
        <v>5000</v>
      </c>
      <c r="E74" s="1038">
        <v>5000</v>
      </c>
      <c r="F74" s="1038">
        <v>5000</v>
      </c>
      <c r="G74" s="1038">
        <v>5000</v>
      </c>
      <c r="H74" s="1030"/>
      <c r="I74" s="1030"/>
      <c r="J74" s="1038" t="s">
        <v>649</v>
      </c>
      <c r="K74" s="1030"/>
      <c r="L74" s="1030"/>
    </row>
    <row r="75" spans="1:13" x14ac:dyDescent="0.2">
      <c r="A75" s="1035"/>
      <c r="B75" s="1030"/>
      <c r="C75" s="1030"/>
      <c r="D75" s="1030"/>
      <c r="E75" s="1030"/>
      <c r="F75" s="1030"/>
      <c r="G75" s="1030"/>
      <c r="H75" s="1030"/>
      <c r="I75" s="1030"/>
      <c r="J75" s="1030"/>
      <c r="K75" s="1030"/>
      <c r="L75" s="1030"/>
    </row>
    <row r="76" spans="1:13" x14ac:dyDescent="0.2">
      <c r="A76" s="1035"/>
      <c r="B76" s="1030"/>
      <c r="C76" s="1030"/>
      <c r="D76" s="1030"/>
      <c r="E76" s="1030"/>
      <c r="F76" s="1030"/>
      <c r="G76" s="1030"/>
      <c r="H76" s="1030"/>
      <c r="I76" s="1030"/>
      <c r="J76" s="1030"/>
      <c r="K76" s="1030"/>
      <c r="L76" s="1030"/>
    </row>
    <row r="77" spans="1:13" x14ac:dyDescent="0.2">
      <c r="A77" s="1076"/>
      <c r="B77" s="1065"/>
      <c r="C77" s="1065"/>
      <c r="D77" s="1065"/>
      <c r="E77" s="1065"/>
      <c r="F77" s="1065"/>
      <c r="G77" s="1065"/>
      <c r="H77" s="1065"/>
      <c r="I77" s="1065"/>
      <c r="J77" s="1065"/>
      <c r="K77" s="1065"/>
      <c r="L77" s="1065"/>
    </row>
    <row r="78" spans="1:13" x14ac:dyDescent="0.2">
      <c r="A78" s="1030"/>
      <c r="B78" s="1030"/>
      <c r="C78" s="1030"/>
      <c r="D78" s="1030"/>
      <c r="E78" s="1030"/>
      <c r="F78" s="1030"/>
      <c r="G78" s="1030"/>
      <c r="H78" s="1030"/>
      <c r="I78" s="1030"/>
      <c r="J78" s="1030"/>
      <c r="K78" s="1030"/>
      <c r="L78" s="1030"/>
    </row>
    <row r="79" spans="1:13" x14ac:dyDescent="0.2">
      <c r="A79" s="1072" t="s">
        <v>650</v>
      </c>
      <c r="B79" s="1030"/>
      <c r="C79" s="1030"/>
      <c r="D79" s="1030"/>
      <c r="E79" s="1030"/>
      <c r="F79" s="1030"/>
      <c r="G79" s="1030"/>
      <c r="H79" s="1030"/>
      <c r="I79" s="1030"/>
      <c r="J79" s="1030"/>
      <c r="K79" s="1030"/>
      <c r="L79" s="1030"/>
    </row>
    <row r="80" spans="1:13" x14ac:dyDescent="0.2">
      <c r="A80" s="1148" t="s">
        <v>697</v>
      </c>
      <c r="B80" s="1078">
        <v>23500</v>
      </c>
      <c r="C80" s="1079">
        <v>8</v>
      </c>
      <c r="D80" s="1030"/>
      <c r="E80" s="1030"/>
      <c r="F80" s="1030"/>
      <c r="G80" s="1030"/>
      <c r="H80" s="1030"/>
      <c r="I80" s="1030"/>
      <c r="J80" s="1030"/>
      <c r="K80" s="1030"/>
      <c r="L80" s="1030"/>
    </row>
    <row r="81" spans="1:12" x14ac:dyDescent="0.2">
      <c r="A81" s="1030"/>
      <c r="B81" s="1075"/>
      <c r="C81" s="1030"/>
      <c r="D81" s="1030"/>
      <c r="E81" s="1030"/>
      <c r="F81" s="1030"/>
      <c r="G81" s="1030"/>
      <c r="H81" s="1030"/>
      <c r="I81" s="1030"/>
      <c r="J81" s="1030"/>
      <c r="K81" s="1030"/>
      <c r="L81" s="1030"/>
    </row>
    <row r="82" spans="1:12" ht="45" x14ac:dyDescent="0.2">
      <c r="A82" s="1030"/>
      <c r="B82" s="1080" t="s">
        <v>651</v>
      </c>
      <c r="C82" s="1081" t="s">
        <v>652</v>
      </c>
      <c r="D82" s="1081" t="s">
        <v>653</v>
      </c>
    </row>
    <row r="83" spans="1:12" x14ac:dyDescent="0.2">
      <c r="A83" s="1035" t="s">
        <v>599</v>
      </c>
      <c r="B83" s="1074">
        <v>23500</v>
      </c>
      <c r="C83" s="1077">
        <v>8</v>
      </c>
      <c r="D83" s="1149" t="s">
        <v>715</v>
      </c>
    </row>
    <row r="84" spans="1:12" x14ac:dyDescent="0.2">
      <c r="A84" s="1148" t="s">
        <v>657</v>
      </c>
      <c r="B84" s="1074">
        <v>23500</v>
      </c>
      <c r="C84" s="1077">
        <v>8</v>
      </c>
      <c r="D84" s="1149" t="s">
        <v>716</v>
      </c>
    </row>
    <row r="85" spans="1:12" x14ac:dyDescent="0.2">
      <c r="A85" s="1035" t="s">
        <v>600</v>
      </c>
      <c r="B85" s="1074">
        <v>23500</v>
      </c>
      <c r="C85" s="1077">
        <v>8</v>
      </c>
      <c r="D85" s="1077" t="s">
        <v>655</v>
      </c>
    </row>
    <row r="86" spans="1:12" x14ac:dyDescent="0.2">
      <c r="A86" s="1035" t="s">
        <v>601</v>
      </c>
      <c r="B86" s="1074">
        <v>23500</v>
      </c>
      <c r="C86" s="1077">
        <v>8</v>
      </c>
      <c r="D86" s="1077" t="s">
        <v>654</v>
      </c>
    </row>
    <row r="87" spans="1:12" x14ac:dyDescent="0.2">
      <c r="A87" s="1035" t="s">
        <v>602</v>
      </c>
      <c r="B87" s="1074">
        <v>23500</v>
      </c>
      <c r="C87" s="1077">
        <v>8</v>
      </c>
      <c r="D87" s="1077" t="s">
        <v>656</v>
      </c>
    </row>
  </sheetData>
  <mergeCells count="2">
    <mergeCell ref="B47:F47"/>
    <mergeCell ref="B55:F55"/>
  </mergeCells>
  <phoneticPr fontId="2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Archived_x0020_Page xmlns="0c6f7e77-2932-4e3f-bbde-04c941bb7697">false</Archived_x0020_Pag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2" ma:contentTypeDescription="Create a new document." ma:contentTypeScope="" ma:versionID="d36aa25430ab6cef8de3e7648b38a6c4">
  <xsd:schema xmlns:xsd="http://www.w3.org/2001/XMLSchema" xmlns:p="http://schemas.microsoft.com/office/2006/metadata/properties" xmlns:ns1="http://schemas.microsoft.com/sharepoint/v3" xmlns:ns2="0c6f7e77-2932-4e3f-bbde-04c941bb7697" targetNamespace="http://schemas.microsoft.com/office/2006/metadata/properties" ma:root="true" ma:fieldsID="903fd0c18c669cb180bfa14dd1acea7e" ns1:_="" ns2:_="">
    <xsd:import namespace="http://schemas.microsoft.com/sharepoint/v3"/>
    <xsd:import namespace="0c6f7e77-2932-4e3f-bbde-04c941bb7697"/>
    <xsd:element name="properties">
      <xsd:complexType>
        <xsd:sequence>
          <xsd:element name="documentManagement">
            <xsd:complexType>
              <xsd:all>
                <xsd:element ref="ns1:PublishingStartDate" minOccurs="0"/>
                <xsd:element ref="ns1:PublishingExpirationDate" minOccurs="0"/>
                <xsd:element ref="ns2:Archived_x0020_P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0c6f7e77-2932-4e3f-bbde-04c941bb7697" elementFormDefault="qualified">
    <xsd:import namespace="http://schemas.microsoft.com/office/2006/documentManagement/types"/>
    <xsd:element name="Archived_x0020_Page" ma:index="10" nillable="true" ma:displayName="Archived Page" ma:default="0" ma:description="Check to mark this page as archived" ma:internalName="Archived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48F2C5-3765-49EA-8C9D-65DED41527F3}">
  <ds:schemaRefs>
    <ds:schemaRef ds:uri="http://schemas.microsoft.com/office/2006/documentManagement/types"/>
    <ds:schemaRef ds:uri="http://schemas.microsoft.com/sharepoint/v3"/>
    <ds:schemaRef ds:uri="http://schemas.microsoft.com/office/2006/metadata/properties"/>
    <ds:schemaRef ds:uri="http://schemas.openxmlformats.org/package/2006/metadata/core-properties"/>
    <ds:schemaRef ds:uri="http://purl.org/dc/terms/"/>
    <ds:schemaRef ds:uri="0c6f7e77-2932-4e3f-bbde-04c941bb7697"/>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565D0FF3-5960-408B-A677-2D219674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6f7e77-2932-4e3f-bbde-04c941bb76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8D9CF8C-E97A-41FE-AF9C-0ADDBA2D6B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lpstr>Central Ops Cost</vt:lpstr>
      <vt:lpstr>'Budget Summary '!Print_Titles</vt:lpstr>
      <vt:lpstr>'Budget with Assumptions'!Print_Titles</vt:lpstr>
    </vt:vector>
  </TitlesOfParts>
  <Company>IFF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dc:creator>
  <cp:lastModifiedBy>Chicago Public Schools</cp:lastModifiedBy>
  <cp:lastPrinted>2014-11-24T19:32:35Z</cp:lastPrinted>
  <dcterms:created xsi:type="dcterms:W3CDTF">2008-07-31T19:00:10Z</dcterms:created>
  <dcterms:modified xsi:type="dcterms:W3CDTF">2015-04-17T20:07:30Z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